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A61C764D-3743-4926-B41D-12B7A54EB0B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6" i="22" l="1"/>
  <c r="A3" i="23"/>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<sst xmlns="http://schemas.openxmlformats.org/spreadsheetml/2006/main" count="2501" uniqueCount="922">
  <si>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</si>
  <si>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</si>
  <si>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</si>
  <si>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</si>
  <si>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</si>
  <si>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</si>
  <si>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</si>
  <si>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</si>
  <si>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</si>
  <si>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</si>
  <si>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</si>
  <si>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</si>
  <si>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</si>
  <si>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</si>
  <si>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</si>
  <si>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</si>
  <si>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</si>
  <si>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</si>
  <si>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</si>
  <si>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</si>
  <si>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</si>
  <si>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</si>
  <si>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</si>
  <si>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</si>
  <si>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</si>
  <si>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</si>
  <si>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</si>
  <si>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</si>
  <si>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</si>
  <si>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</si>
  <si>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</si>
  <si>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</si>
  <si>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</si>
  <si>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</si>
  <si>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</si>
  <si>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</si>
  <si>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</si>
  <si>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</si>
  <si>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</si>
  <si>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</si>
  <si>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</si>
  <si>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</si>
  <si>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</si>
  <si>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</si>
  <si>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</si>
  <si>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</si>
  <si>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</si>
  <si>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</si>
  <si>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</si>
  <si>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</si>
  <si>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</si>
  <si>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</si>
  <si>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</si>
  <si>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</si>
  <si>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</si>
  <si>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</si>
  <si>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</si>
  <si>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</si>
  <si>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</si>
  <si>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</si>
  <si>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</si>
  <si>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</si>
  <si>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</si>
  <si>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</si>
  <si>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</si>
  <si>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</si>
  <si>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</si>
  <si>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</si>
  <si>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</si>
  <si>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</si>
  <si>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</si>
  <si>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</si>
  <si>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</si>
  <si>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</si>
  <si>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</si>
  <si>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</si>
  <si>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</si>
  <si>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</si>
  <si>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</si>
  <si>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</si>
  <si>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</si>
  <si>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</si>
  <si>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</si>
  <si>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</si>
  <si>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</si>
  <si>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</si>
  <si>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</si>
  <si>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</si>
  <si>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</si>
  <si>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</si>
  <si>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</si>
  <si>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</si>
  <si>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</si>
  <si>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</si>
  <si>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</si>
  <si>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</si>
  <si>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</si>
  <si>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</si>
  <si>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</si>
  <si>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</si>
  <si>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</si>
  <si>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</si>
  <si>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</si>
  <si>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</si>
  <si>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</si>
  <si>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</si>
  <si>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</si>
  <si>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</si>
  <si>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</si>
  <si>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</si>
  <si>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</si>
  <si>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</si>
  <si>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</si>
  <si>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</si>
  <si>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</si>
  <si>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</si>
  <si>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</si>
  <si>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</si>
  <si>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</si>
  <si>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</si>
  <si>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</si>
  <si>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</si>
  <si>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</si>
  <si>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</si>
  <si>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</si>
  <si>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</si>
  <si>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</si>
  <si>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</si>
  <si>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</si>
  <si>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</si>
  <si>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</si>
  <si>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</si>
  <si>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</si>
  <si>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</si>
  <si>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</si>
  <si>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</si>
  <si>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</si>
  <si>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</si>
  <si>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</si>
  <si>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</si>
  <si>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</si>
  <si>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</si>
  <si>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</si>
  <si>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</si>
  <si>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</si>
  <si>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</si>
  <si>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</si>
  <si>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</si>
  <si>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</si>
  <si>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</si>
  <si>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</si>
  <si>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</si>
  <si>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</si>
  <si>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</si>
  <si>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</si>
  <si>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</si>
  <si>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</si>
  <si>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</si>
  <si>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</si>
  <si>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</si>
  <si>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</si>
  <si>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</si>
  <si>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</si>
  <si>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</si>
  <si>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</si>
  <si>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</si>
  <si>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</si>
  <si>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</si>
  <si>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</si>
  <si>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</si>
  <si>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</si>
  <si>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</si>
  <si>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</si>
  <si>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</si>
  <si>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</si>
  <si>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</si>
  <si>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</si>
  <si>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</si>
  <si>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</si>
  <si>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</si>
  <si>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</si>
  <si>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</si>
  <si>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</si>
  <si>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</si>
  <si>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</si>
  <si>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</si>
  <si>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</si>
  <si>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</si>
  <si>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</si>
  <si>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</si>
  <si>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</si>
  <si>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</si>
  <si>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</si>
  <si>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</si>
  <si>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</si>
  <si>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</si>
  <si>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</si>
  <si>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</si>
  <si>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</si>
  <si>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</si>
  <si>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</si>
  <si>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</si>
  <si>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</si>
  <si>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</si>
  <si>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</si>
  <si>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</si>
  <si>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</si>
  <si>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</si>
  <si>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</si>
  <si>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</si>
  <si>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</si>
  <si>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</si>
  <si>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</si>
  <si>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</si>
  <si>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</si>
  <si>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</si>
  <si>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</si>
  <si>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</si>
  <si>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</si>
  <si>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</si>
  <si>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</si>
  <si>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</si>
  <si>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</si>
  <si>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</si>
  <si>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</si>
  <si>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</si>
  <si>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</si>
  <si>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</si>
  <si>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</si>
  <si>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</si>
  <si>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</si>
  <si>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</si>
  <si>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</si>
  <si>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</si>
  <si>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</si>
  <si>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</si>
  <si>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</si>
  <si>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</si>
  <si>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</si>
  <si>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</si>
  <si>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</si>
  <si>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</si>
  <si>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</si>
  <si>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</si>
  <si>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</si>
  <si>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</si>
  <si>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</si>
  <si>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</si>
  <si>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</si>
  <si>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</si>
  <si>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</si>
  <si>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</si>
  <si>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</si>
  <si>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</si>
  <si>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</si>
  <si>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</si>
  <si>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</si>
  <si>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</si>
  <si>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</si>
  <si>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</si>
  <si>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</si>
  <si>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</si>
  <si>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</si>
  <si>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</si>
  <si>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</si>
  <si>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</si>
  <si>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</si>
  <si>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</si>
  <si>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</si>
  <si>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</si>
  <si>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</si>
  <si>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</si>
  <si>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</si>
  <si>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</si>
  <si>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</si>
  <si>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</si>
  <si>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</si>
  <si>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</si>
  <si>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</si>
  <si>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</si>
  <si>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</si>
  <si>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</si>
  <si>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</si>
  <si>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</si>
  <si>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</si>
  <si>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</si>
  <si>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</si>
  <si>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</si>
  <si>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</si>
  <si>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</si>
  <si>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</si>
  <si>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</si>
  <si>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</si>
  <si>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</si>
  <si>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</si>
  <si>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</si>
  <si>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</si>
  <si>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</si>
  <si>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</si>
  <si>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</si>
  <si>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</si>
  <si>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</si>
  <si>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</si>
  <si>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</si>
  <si>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</si>
  <si>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</si>
  <si>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</si>
  <si>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</si>
  <si>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</si>
  <si>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</si>
  <si>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</si>
  <si>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</si>
  <si>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</si>
  <si>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</si>
  <si>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</si>
  <si>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</si>
  <si>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</si>
  <si>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</si>
  <si>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</si>
  <si>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</si>
  <si>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</si>
  <si>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</si>
  <si>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</si>
  <si>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</si>
  <si>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</si>
  <si>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</si>
  <si>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</si>
  <si>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</si>
  <si>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</si>
  <si>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</si>
  <si>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</si>
  <si>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</si>
  <si>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</si>
  <si>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</si>
  <si>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</si>
  <si>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</si>
  <si>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</si>
  <si>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</si>
  <si>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</si>
  <si>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</si>
  <si>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</si>
  <si>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</si>
  <si>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</si>
  <si>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</si>
  <si>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</si>
  <si>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</si>
  <si>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</si>
  <si>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</si>
  <si>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</si>
  <si>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</si>
  <si>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</si>
  <si>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</si>
  <si>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</si>
  <si>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</si>
  <si>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</si>
  <si>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</si>
  <si>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</si>
  <si>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</si>
  <si>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</si>
  <si>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</si>
  <si>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</si>
  <si>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</si>
  <si>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</si>
  <si>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</si>
  <si>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</si>
  <si>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</si>
  <si>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</si>
  <si>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</si>
  <si>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</si>
  <si>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</si>
  <si>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</si>
  <si>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</si>
  <si>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</si>
  <si>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</si>
  <si>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</si>
  <si>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</si>
  <si>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</si>
  <si>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</si>
  <si>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</si>
  <si>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</si>
  <si>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</si>
  <si>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</si>
  <si>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</si>
  <si>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</si>
  <si>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</si>
  <si>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</si>
  <si>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</si>
  <si>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</si>
  <si>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</si>
  <si>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</si>
  <si>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</si>
  <si>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</si>
  <si>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</si>
  <si>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</si>
  <si>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</si>
  <si>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</si>
  <si>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</si>
  <si>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</si>
  <si>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</si>
  <si>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</si>
  <si>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</si>
  <si>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</si>
  <si>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</si>
  <si>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</si>
  <si>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</si>
  <si>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</si>
  <si>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</si>
  <si>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</si>
  <si>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</si>
  <si>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</si>
  <si>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</si>
  <si>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</si>
  <si>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</si>
  <si>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</si>
  <si>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</si>
  <si>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</si>
  <si>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</si>
  <si>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</si>
  <si>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</si>
  <si>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</si>
  <si>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</si>
  <si>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</si>
  <si>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</si>
  <si>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</si>
  <si>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</si>
  <si>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</si>
  <si>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</si>
  <si>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</si>
  <si>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</si>
  <si>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</si>
  <si>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</si>
  <si>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</si>
  <si>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</si>
  <si>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</si>
  <si>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</si>
  <si>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</si>
  <si>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</si>
  <si>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</si>
  <si>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</si>
  <si>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</si>
  <si>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</si>
  <si>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</si>
  <si>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</si>
  <si>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</si>
  <si>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</si>
  <si>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</si>
  <si>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</si>
  <si>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</si>
  <si>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</si>
  <si>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</si>
  <si>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</si>
  <si>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</si>
  <si>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</si>
  <si>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</si>
  <si>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</si>
  <si>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</si>
  <si>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</si>
  <si>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</si>
  <si>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</si>
  <si>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</si>
  <si>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</si>
  <si>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</si>
  <si>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</si>
  <si>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</si>
  <si>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</si>
  <si>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</si>
  <si>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</si>
  <si>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</si>
  <si>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</si>
  <si>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</si>
  <si>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</si>
  <si>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</si>
  <si>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</si>
  <si>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</si>
  <si>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</si>
  <si>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</si>
  <si>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</si>
  <si>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</si>
  <si>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</si>
  <si>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</si>
  <si>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</si>
  <si>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</si>
  <si>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</si>
  <si>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</si>
  <si>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</si>
  <si>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</si>
  <si>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</si>
  <si>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</si>
  <si>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</si>
  <si>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</si>
  <si>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</si>
  <si>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</si>
  <si>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</si>
  <si>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</si>
  <si>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</si>
  <si>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</si>
  <si>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</si>
  <si>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</si>
  <si>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</si>
  <si>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</si>
  <si>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</si>
  <si>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</si>
  <si>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</si>
  <si>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</si>
  <si>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</si>
  <si>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</si>
  <si>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</si>
  <si>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</si>
  <si>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</si>
  <si>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</si>
  <si>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</si>
  <si>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</si>
  <si>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</si>
  <si>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</si>
  <si>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</si>
  <si>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</si>
  <si>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</si>
  <si>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</si>
  <si>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</si>
  <si>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</si>
  <si>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</si>
  <si>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</si>
  <si>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</si>
  <si>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</si>
  <si>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</si>
  <si>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</si>
  <si>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</si>
  <si>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</si>
  <si>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</si>
  <si>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</si>
  <si>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</si>
  <si>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</si>
  <si>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</si>
  <si>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</si>
  <si>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</si>
  <si>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</si>
  <si>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</si>
  <si>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</si>
  <si>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</si>
  <si>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</si>
  <si>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</si>
  <si>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</si>
  <si>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</si>
  <si>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</si>
  <si>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</si>
  <si>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</si>
  <si>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</si>
  <si>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</si>
  <si>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</si>
  <si>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</si>
  <si>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</si>
  <si>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</si>
  <si>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</si>
  <si>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</si>
  <si>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</si>
  <si>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</si>
  <si>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</si>
  <si>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</si>
  <si>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</si>
  <si>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</si>
  <si>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</si>
  <si>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</si>
  <si>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</si>
  <si>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</si>
  <si>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</si>
  <si>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</si>
  <si>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</si>
  <si>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</si>
  <si>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</si>
  <si>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</si>
  <si>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</si>
  <si>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</si>
  <si>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</si>
  <si>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</si>
  <si>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</si>
  <si>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</si>
  <si>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</si>
  <si>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</si>
  <si>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</si>
  <si>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</si>
  <si>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</si>
  <si>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</si>
  <si>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</si>
  <si>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</si>
  <si>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</si>
  <si>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</si>
  <si>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</si>
  <si>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</si>
  <si>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</si>
  <si>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</si>
  <si>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</si>
  <si>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</si>
  <si>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</si>
  <si>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</si>
  <si>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</si>
  <si>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</si>
  <si>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</si>
  <si>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</si>
  <si>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</si>
  <si>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</si>
  <si>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</si>
  <si>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</si>
  <si>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</si>
  <si>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</si>
  <si>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</si>
  <si>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</si>
  <si>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</si>
  <si>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</si>
  <si>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</si>
  <si>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</si>
  <si>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</si>
  <si>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</si>
  <si>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</si>
  <si>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</si>
  <si>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</si>
  <si>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</si>
  <si>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</si>
  <si>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</si>
  <si>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</si>
  <si>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</si>
  <si>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</si>
  <si>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</si>
  <si>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</si>
  <si>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</si>
  <si>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</si>
  <si>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</si>
  <si>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</si>
  <si>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</si>
  <si>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</si>
  <si>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</si>
  <si>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</si>
  <si>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</si>
  <si>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</si>
  <si>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</si>
  <si>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</si>
  <si>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</si>
  <si>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</si>
  <si>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</si>
  <si>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</si>
  <si>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</si>
  <si>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</si>
  <si>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</si>
  <si>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</si>
  <si>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</si>
  <si>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</si>
  <si>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</si>
  <si>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</si>
  <si>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</si>
  <si>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</si>
  <si>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</si>
  <si>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</si>
  <si>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</si>
  <si>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</si>
  <si>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</si>
  <si>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</si>
  <si>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</si>
  <si>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</si>
  <si>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</si>
  <si>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</si>
  <si>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</si>
  <si>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</si>
  <si>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</si>
  <si>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</si>
  <si>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</si>
  <si>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</si>
  <si>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</si>
  <si>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</si>
  <si>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</si>
  <si>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</si>
  <si>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</si>
  <si>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</si>
  <si>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</si>
  <si>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</si>
  <si>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</si>
  <si>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</si>
  <si>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</si>
  <si>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</si>
  <si>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</si>
  <si>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</si>
  <si>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</si>
  <si>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</si>
  <si>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</si>
  <si>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</si>
  <si>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</si>
  <si>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</si>
  <si>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</si>
  <si>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</si>
  <si>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</si>
  <si>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</si>
  <si>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</si>
  <si>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</si>
  <si>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</si>
  <si>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</si>
  <si>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</si>
  <si>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</si>
  <si>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</si>
  <si>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</si>
  <si>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</si>
  <si>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</si>
  <si>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</si>
  <si>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</si>
  <si>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</si>
  <si>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</si>
  <si>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</si>
  <si>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</si>
  <si>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</si>
  <si>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</si>
  <si>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</si>
  <si>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</si>
  <si>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</si>
  <si>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</si>
  <si>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</si>
  <si>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</si>
  <si>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</si>
  <si>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</si>
  <si>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</si>
  <si>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</si>
  <si>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</si>
  <si>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</si>
  <si>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</si>
  <si>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</si>
  <si>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</si>
  <si>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</si>
  <si>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</si>
  <si>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</si>
  <si>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</si>
  <si>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</si>
  <si>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</si>
  <si>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</si>
  <si>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</si>
  <si>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</si>
  <si>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</si>
  <si>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</si>
  <si>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</si>
  <si>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</si>
  <si>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</si>
  <si>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</si>
  <si>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</si>
  <si>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</si>
  <si>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</si>
  <si>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</si>
  <si>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</si>
  <si>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</si>
  <si>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</si>
  <si>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</si>
  <si>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</si>
  <si>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</si>
  <si>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</si>
  <si>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</si>
  <si>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</si>
  <si>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</si>
  <si>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</si>
  <si>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</si>
  <si>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</si>
  <si>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</si>
  <si>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</si>
  <si>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</si>
  <si>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</si>
  <si>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</si>
  <si>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</si>
  <si>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</si>
  <si>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</si>
  <si>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</si>
  <si>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</si>
  <si>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</si>
  <si>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</si>
  <si>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</si>
  <si>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</si>
  <si>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</si>
  <si>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</si>
  <si>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</si>
  <si>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</si>
  <si>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</si>
  <si>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</si>
  <si>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</si>
  <si>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</si>
  <si>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</si>
  <si>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</si>
  <si>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</si>
  <si>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</si>
  <si>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</si>
  <si>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</si>
  <si>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</si>
  <si>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</si>
  <si>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</si>
  <si>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</si>
  <si>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</si>
  <si>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</si>
  <si>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</si>
  <si>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</si>
  <si>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</si>
  <si>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</si>
  <si>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</si>
  <si>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</si>
  <si>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</si>
  <si>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</si>
  <si>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</si>
  <si>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</si>
  <si>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</si>
  <si>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</si>
  <si>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</si>
  <si>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</si>
  <si>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</si>
  <si>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</si>
  <si>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</si>
  <si>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</si>
  <si>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</si>
  <si>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</si>
  <si>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</si>
  <si>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</si>
  <si>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</si>
  <si>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</si>
  <si>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</si>
  <si>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</si>
  <si>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</si>
  <si>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</si>
  <si>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</si>
  <si>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</si>
  <si>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</si>
  <si>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</si>
  <si>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</si>
  <si>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</si>
  <si>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</si>
  <si>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</si>
  <si>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</si>
  <si>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</si>
  <si>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</si>
  <si>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</si>
  <si>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</si>
  <si>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</si>
  <si>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</si>
  <si>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</si>
  <si>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</si>
  <si>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</si>
  <si>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</si>
  <si>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</si>
  <si>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</si>
  <si>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</si>
  <si>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</si>
  <si>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</si>
  <si>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</si>
  <si>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</si>
  <si>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</si>
  <si>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</si>
  <si>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</si>
  <si>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</si>
  <si>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</si>
  <si>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</si>
  <si>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</si>
  <si>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</si>
  <si>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</si>
  <si>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</si>
  <si>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</si>
  <si>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</si>
  <si>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</si>
  <si>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</si>
  <si>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</si>
  <si>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</si>
  <si>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</si>
  <si>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</si>
  <si>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</si>
  <si>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</si>
  <si>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</si>
  <si>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</si>
  <si>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</si>
  <si>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</si>
  <si>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</si>
  <si>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</si>
  <si>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</si>
  <si>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</si>
  <si>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</si>
  <si>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</si>
  <si>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</si>
  <si>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</si>
  <si>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</si>
  <si>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</si>
  <si>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</si>
  <si>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</si>
  <si>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</si>
  <si>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</si>
  <si>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</si>
  <si>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</si>
  <si>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</si>
  <si>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</si>
  <si>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</si>
  <si>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</si>
  <si>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</si>
  <si>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</si>
  <si>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</si>
  <si>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</si>
  <si>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</si>
  <si>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</si>
  <si>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</si>
  <si>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</si>
  <si>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</si>
  <si>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</si>
  <si>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</si>
  <si>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</si>
  <si>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</si>
  <si>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</si>
  <si>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</si>
  <si>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</si>
  <si>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</si>
  <si>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</si>
  <si>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</si>
  <si>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</si>
  <si>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</si>
  <si>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</si>
  <si>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</si>
  <si>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</si>
  <si>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</si>
  <si>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</si>
  <si>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</si>
  <si>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</si>
  <si>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</si>
  <si>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</si>
  <si>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23032</t>
  </si>
  <si>
    <t>HERNE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</si>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</sst>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D7D0A2F6-EAD6-4856-A8F4-6D50FD086050}"/>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58065.110486794583</c:v>
                </c:pt>
                <c:pt idx="1">
                  <c:v>6066.2134955832507</c:v>
                </c:pt>
                <c:pt idx="2">
                  <c:v>562.27700000000004</c:v>
                </c:pt>
                <c:pt idx="3">
                  <c:v>3058.6366367159408</c:v>
                </c:pt>
                <c:pt idx="4">
                  <c:v>61288.412304604732</c:v>
                </c:pt>
                <c:pt idx="5">
                  <c:v>51560.33361212325</c:v>
                </c:pt>
                <c:pt idx="6">
                  <c:v>394.90901203731084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58065.110486794583</c:v>
                </c:pt>
                <c:pt idx="1">
                  <c:v>6066.2134955832507</c:v>
                </c:pt>
                <c:pt idx="2">
                  <c:v>562.27700000000004</c:v>
                </c:pt>
                <c:pt idx="3">
                  <c:v>3058.6366367159408</c:v>
                </c:pt>
                <c:pt idx="4">
                  <c:v>61288.412304604732</c:v>
                </c:pt>
                <c:pt idx="5">
                  <c:v>51560.33361212325</c:v>
                </c:pt>
                <c:pt idx="6">
                  <c:v>394.90901203731084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13306.899999980857</c:v>
                </c:pt>
                <c:pt idx="2">
                  <c:v>1247.6465600028423</c:v>
                </c:pt>
                <c:pt idx="3">
                  <c:v>119.06132491385499</c:v>
                </c:pt>
                <c:pt idx="4">
                  <c:v>780.56564358894514</c:v>
                </c:pt>
                <c:pt idx="5">
                  <c:v>12725.172864040007</c:v>
                </c:pt>
                <c:pt idx="6">
                  <c:v>12920.240431328257</c:v>
                </c:pt>
                <c:pt idx="7">
                  <c:v>99.621267596793629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13306.899999980857</c:v>
                </c:pt>
                <c:pt idx="2">
                  <c:v>1247.6465600028423</c:v>
                </c:pt>
                <c:pt idx="3">
                  <c:v>119.06132491385499</c:v>
                </c:pt>
                <c:pt idx="4">
                  <c:v>780.56564358894514</c:v>
                </c:pt>
                <c:pt idx="5">
                  <c:v>12725.172864040007</c:v>
                </c:pt>
                <c:pt idx="6">
                  <c:v>12920.240431328257</c:v>
                </c:pt>
                <c:pt idx="7">
                  <c:v>99.621267596793629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23032</v>
      </c>
      <c r="B6" s="383"/>
      <c r="C6" s="384"/>
    </row>
    <row r="7" spans="1:7" s="381" customFormat="1" ht="15.75" customHeight="1">
      <c r="A7" s="385" t="str">
        <f>txtMunicipality</f>
        <v>HERNE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4083.1680000000001</v>
      </c>
      <c r="D10" s="983">
        <f ca="1">tertiair!C16</f>
        <v>0</v>
      </c>
      <c r="E10" s="983">
        <f ca="1">tertiair!D16</f>
        <v>1780.386542</v>
      </c>
      <c r="F10" s="983">
        <f>tertiair!E16</f>
        <v>35.012615800979809</v>
      </c>
      <c r="G10" s="983">
        <f ca="1">tertiair!F16</f>
        <v>503.80951980042772</v>
      </c>
      <c r="H10" s="983">
        <f>tertiair!G16</f>
        <v>0</v>
      </c>
      <c r="I10" s="983">
        <f>tertiair!H16</f>
        <v>0</v>
      </c>
      <c r="J10" s="983">
        <f>tertiair!I16</f>
        <v>0</v>
      </c>
      <c r="K10" s="983">
        <f>tertiair!J16</f>
        <v>0</v>
      </c>
      <c r="L10" s="983">
        <f>tertiair!K16</f>
        <v>0</v>
      </c>
      <c r="M10" s="983">
        <f ca="1">tertiair!L16</f>
        <v>0</v>
      </c>
      <c r="N10" s="983">
        <f>tertiair!M16</f>
        <v>0</v>
      </c>
      <c r="O10" s="983">
        <f ca="1">tertiair!N16</f>
        <v>224.55048464851043</v>
      </c>
      <c r="P10" s="983">
        <f>tertiair!O16</f>
        <v>1.5633333333333335</v>
      </c>
      <c r="Q10" s="984">
        <f>tertiair!P16</f>
        <v>0</v>
      </c>
      <c r="R10" s="667">
        <f ca="1">SUM(C10:Q10)</f>
        <v>6628.4904955832508</v>
      </c>
      <c r="S10" s="67"/>
    </row>
    <row r="11" spans="1:19" s="440" customFormat="1">
      <c r="A11" s="776" t="s">
        <v>214</v>
      </c>
      <c r="B11" s="781"/>
      <c r="C11" s="983">
        <f>huishoudens!B8</f>
        <v>12437.340674815374</v>
      </c>
      <c r="D11" s="983">
        <f>huishoudens!C8</f>
        <v>0</v>
      </c>
      <c r="E11" s="983">
        <f>huishoudens!D8</f>
        <v>8453.3175979999996</v>
      </c>
      <c r="F11" s="983">
        <f>huishoudens!E8</f>
        <v>1006.205794905198</v>
      </c>
      <c r="G11" s="983">
        <f>huishoudens!F8</f>
        <v>31742.653663101832</v>
      </c>
      <c r="H11" s="983">
        <f>huishoudens!G8</f>
        <v>0</v>
      </c>
      <c r="I11" s="983">
        <f>huishoudens!H8</f>
        <v>0</v>
      </c>
      <c r="J11" s="983">
        <f>huishoudens!I8</f>
        <v>0</v>
      </c>
      <c r="K11" s="983">
        <f>huishoudens!J8</f>
        <v>740.23748429995385</v>
      </c>
      <c r="L11" s="983">
        <f>huishoudens!K8</f>
        <v>0</v>
      </c>
      <c r="M11" s="983">
        <f>huishoudens!L8</f>
        <v>0</v>
      </c>
      <c r="N11" s="983">
        <f>huishoudens!M8</f>
        <v>0</v>
      </c>
      <c r="O11" s="983">
        <f>huishoudens!N8</f>
        <v>3311.5019383388881</v>
      </c>
      <c r="P11" s="983">
        <f>huishoudens!O8</f>
        <v>68.786666666666676</v>
      </c>
      <c r="Q11" s="984">
        <f>huishoudens!P8</f>
        <v>305.06666666666666</v>
      </c>
      <c r="R11" s="667">
        <f>SUM(C11:Q11)</f>
        <v>58065.110486794583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11217.28</v>
      </c>
      <c r="D13" s="983">
        <f>industrie!C18</f>
        <v>0</v>
      </c>
      <c r="E13" s="983">
        <f>industrie!D18</f>
        <v>23463.096404000004</v>
      </c>
      <c r="F13" s="983">
        <f>industrie!E18</f>
        <v>243.51383469945057</v>
      </c>
      <c r="G13" s="983">
        <f>industrie!F18</f>
        <v>20468.637269758026</v>
      </c>
      <c r="H13" s="983">
        <f>industrie!G18</f>
        <v>0</v>
      </c>
      <c r="I13" s="983">
        <f>industrie!H18</f>
        <v>0</v>
      </c>
      <c r="J13" s="983">
        <f>industrie!I18</f>
        <v>0</v>
      </c>
      <c r="K13" s="983">
        <f>industrie!J18</f>
        <v>254.18393769840139</v>
      </c>
      <c r="L13" s="983">
        <f>industrie!K18</f>
        <v>0</v>
      </c>
      <c r="M13" s="983">
        <f>industrie!L18</f>
        <v>0</v>
      </c>
      <c r="N13" s="983">
        <f>industrie!M18</f>
        <v>0</v>
      </c>
      <c r="O13" s="983">
        <f>industrie!N18</f>
        <v>5641.7008584488476</v>
      </c>
      <c r="P13" s="983">
        <f>industrie!O18</f>
        <v>0</v>
      </c>
      <c r="Q13" s="984">
        <f>industrie!P18</f>
        <v>0</v>
      </c>
      <c r="R13" s="667">
        <f>SUM(C13:Q13)</f>
        <v>61288.412304604732</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27737.788674815376</v>
      </c>
      <c r="D16" s="699">
        <f t="shared" ref="D16:R16" ca="1" si="0">SUM(D9:D15)</f>
        <v>0</v>
      </c>
      <c r="E16" s="699">
        <f t="shared" ca="1" si="0"/>
        <v>33696.800544000005</v>
      </c>
      <c r="F16" s="699">
        <f t="shared" si="0"/>
        <v>1284.7322454056284</v>
      </c>
      <c r="G16" s="699">
        <f t="shared" ca="1" si="0"/>
        <v>52715.100452660285</v>
      </c>
      <c r="H16" s="699">
        <f t="shared" si="0"/>
        <v>0</v>
      </c>
      <c r="I16" s="699">
        <f t="shared" si="0"/>
        <v>0</v>
      </c>
      <c r="J16" s="699">
        <f t="shared" si="0"/>
        <v>0</v>
      </c>
      <c r="K16" s="699">
        <f t="shared" si="0"/>
        <v>994.4214219983553</v>
      </c>
      <c r="L16" s="699">
        <f t="shared" si="0"/>
        <v>0</v>
      </c>
      <c r="M16" s="699">
        <f t="shared" ca="1" si="0"/>
        <v>0</v>
      </c>
      <c r="N16" s="699">
        <f t="shared" si="0"/>
        <v>0</v>
      </c>
      <c r="O16" s="699">
        <f t="shared" ca="1" si="0"/>
        <v>9177.7532814362457</v>
      </c>
      <c r="P16" s="699">
        <f t="shared" si="0"/>
        <v>70.350000000000009</v>
      </c>
      <c r="Q16" s="699">
        <f t="shared" si="0"/>
        <v>305.06666666666666</v>
      </c>
      <c r="R16" s="699">
        <f t="shared" ca="1" si="0"/>
        <v>125982.01328698258</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1.9608661727728258</v>
      </c>
      <c r="D19" s="983">
        <f>transport!C54</f>
        <v>0</v>
      </c>
      <c r="E19" s="983">
        <f>transport!D54</f>
        <v>0</v>
      </c>
      <c r="F19" s="983">
        <f>transport!E54</f>
        <v>0</v>
      </c>
      <c r="G19" s="983">
        <f>transport!F54</f>
        <v>0</v>
      </c>
      <c r="H19" s="983">
        <f>transport!G54</f>
        <v>371.55826621217994</v>
      </c>
      <c r="I19" s="983">
        <f>transport!H54</f>
        <v>0</v>
      </c>
      <c r="J19" s="983">
        <f>transport!I54</f>
        <v>0</v>
      </c>
      <c r="K19" s="983">
        <f>transport!J54</f>
        <v>0</v>
      </c>
      <c r="L19" s="983">
        <f>transport!K54</f>
        <v>0</v>
      </c>
      <c r="M19" s="983">
        <f>transport!L54</f>
        <v>0</v>
      </c>
      <c r="N19" s="983">
        <f>transport!M54</f>
        <v>21.389879652358026</v>
      </c>
      <c r="O19" s="983">
        <f>transport!N54</f>
        <v>0</v>
      </c>
      <c r="P19" s="983">
        <f>transport!O54</f>
        <v>0</v>
      </c>
      <c r="Q19" s="984">
        <f>transport!P54</f>
        <v>0</v>
      </c>
      <c r="R19" s="667">
        <f>SUM(C19:Q19)</f>
        <v>394.90901203731084</v>
      </c>
      <c r="S19" s="67"/>
    </row>
    <row r="20" spans="1:19" s="440" customFormat="1">
      <c r="A20" s="776" t="s">
        <v>296</v>
      </c>
      <c r="B20" s="781"/>
      <c r="C20" s="983">
        <f>transport!B14</f>
        <v>8.7346550934404714</v>
      </c>
      <c r="D20" s="983">
        <f>transport!C14</f>
        <v>0</v>
      </c>
      <c r="E20" s="983">
        <f>transport!D14</f>
        <v>13.692948767701159</v>
      </c>
      <c r="F20" s="983">
        <f>transport!E14</f>
        <v>133.62891905146668</v>
      </c>
      <c r="G20" s="983">
        <f>transport!F14</f>
        <v>0</v>
      </c>
      <c r="H20" s="983">
        <f>transport!G14</f>
        <v>40883.696130178105</v>
      </c>
      <c r="I20" s="983">
        <f>transport!H14</f>
        <v>7909.0131484736594</v>
      </c>
      <c r="J20" s="983">
        <f>transport!I14</f>
        <v>0</v>
      </c>
      <c r="K20" s="983">
        <f>transport!J14</f>
        <v>0</v>
      </c>
      <c r="L20" s="983">
        <f>transport!K14</f>
        <v>0</v>
      </c>
      <c r="M20" s="983">
        <f>transport!L14</f>
        <v>0</v>
      </c>
      <c r="N20" s="983">
        <f>transport!M14</f>
        <v>2611.5678105588836</v>
      </c>
      <c r="O20" s="983">
        <f>transport!N14</f>
        <v>0</v>
      </c>
      <c r="P20" s="983">
        <f>transport!O14</f>
        <v>0</v>
      </c>
      <c r="Q20" s="984">
        <f>transport!P14</f>
        <v>0</v>
      </c>
      <c r="R20" s="667">
        <f>SUM(C20:Q20)</f>
        <v>51560.33361212325</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10.695521266213298</v>
      </c>
      <c r="D22" s="779">
        <f t="shared" ref="D22:R22" si="1">SUM(D18:D21)</f>
        <v>0</v>
      </c>
      <c r="E22" s="779">
        <f t="shared" si="1"/>
        <v>13.692948767701159</v>
      </c>
      <c r="F22" s="779">
        <f t="shared" si="1"/>
        <v>133.62891905146668</v>
      </c>
      <c r="G22" s="779">
        <f t="shared" si="1"/>
        <v>0</v>
      </c>
      <c r="H22" s="779">
        <f t="shared" si="1"/>
        <v>41255.254396390286</v>
      </c>
      <c r="I22" s="779">
        <f t="shared" si="1"/>
        <v>7909.0131484736594</v>
      </c>
      <c r="J22" s="779">
        <f t="shared" si="1"/>
        <v>0</v>
      </c>
      <c r="K22" s="779">
        <f t="shared" si="1"/>
        <v>0</v>
      </c>
      <c r="L22" s="779">
        <f t="shared" si="1"/>
        <v>0</v>
      </c>
      <c r="M22" s="779">
        <f t="shared" si="1"/>
        <v>0</v>
      </c>
      <c r="N22" s="779">
        <f t="shared" si="1"/>
        <v>2632.9576902112417</v>
      </c>
      <c r="O22" s="779">
        <f t="shared" si="1"/>
        <v>0</v>
      </c>
      <c r="P22" s="779">
        <f t="shared" si="1"/>
        <v>0</v>
      </c>
      <c r="Q22" s="779">
        <f t="shared" si="1"/>
        <v>0</v>
      </c>
      <c r="R22" s="779">
        <f t="shared" si="1"/>
        <v>51955.242624160557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820.99099999999999</v>
      </c>
      <c r="D24" s="983">
        <f>+landbouw!C8</f>
        <v>0</v>
      </c>
      <c r="E24" s="983">
        <f>+landbouw!D8</f>
        <v>21.163626000000001</v>
      </c>
      <c r="F24" s="983">
        <f>+landbouw!E8</f>
        <v>7.6043625046393162</v>
      </c>
      <c r="G24" s="983">
        <f>+landbouw!F8</f>
        <v>2083.0105656250007</v>
      </c>
      <c r="H24" s="983">
        <f>+landbouw!G8</f>
        <v>0</v>
      </c>
      <c r="I24" s="983">
        <f>+landbouw!H8</f>
        <v>0</v>
      </c>
      <c r="J24" s="983">
        <f>+landbouw!I8</f>
        <v>0</v>
      </c>
      <c r="K24" s="983">
        <f>+landbouw!J8</f>
        <v>125.86708258630102</v>
      </c>
      <c r="L24" s="983">
        <f>+landbouw!K8</f>
        <v>0</v>
      </c>
      <c r="M24" s="983">
        <f>+landbouw!L8</f>
        <v>0</v>
      </c>
      <c r="N24" s="983">
        <f>+landbouw!M8</f>
        <v>0</v>
      </c>
      <c r="O24" s="983">
        <f>+landbouw!N8</f>
        <v>0</v>
      </c>
      <c r="P24" s="983">
        <f>+landbouw!O8</f>
        <v>0</v>
      </c>
      <c r="Q24" s="984">
        <f>+landbouw!P8</f>
        <v>0</v>
      </c>
      <c r="R24" s="667">
        <f>SUM(C24:Q24)</f>
        <v>3058.6366367159408</v>
      </c>
      <c r="S24" s="67"/>
    </row>
    <row r="25" spans="1:19" s="440" customFormat="1" ht="15" thickBot="1">
      <c r="A25" s="798" t="s">
        <v>829</v>
      </c>
      <c r="B25" s="986"/>
      <c r="C25" s="987">
        <f>IF(Onbekend_ele_kWh="---",0,Onbekend_ele_kWh)/1000+IF(REST_rest_ele_kWh="---",0,REST_rest_ele_kWh)/1000</f>
        <v>280.73399999999998</v>
      </c>
      <c r="D25" s="987"/>
      <c r="E25" s="987">
        <f>IF(onbekend_gas_kWh="---",0,onbekend_gas_kWh)/1000+IF(REST_rest_gas_kWh="---",0,REST_rest_gas_kWh)/1000</f>
        <v>302.91500000000002</v>
      </c>
      <c r="F25" s="987"/>
      <c r="G25" s="987"/>
      <c r="H25" s="987"/>
      <c r="I25" s="987"/>
      <c r="J25" s="987"/>
      <c r="K25" s="987"/>
      <c r="L25" s="987"/>
      <c r="M25" s="987"/>
      <c r="N25" s="987"/>
      <c r="O25" s="987"/>
      <c r="P25" s="987"/>
      <c r="Q25" s="988"/>
      <c r="R25" s="667">
        <f>SUM(C25:Q25)</f>
        <v>583.649</v>
      </c>
      <c r="S25" s="67"/>
    </row>
    <row r="26" spans="1:19" s="440" customFormat="1" ht="15.75" thickBot="1">
      <c r="A26" s="672" t="s">
        <v>830</v>
      </c>
      <c r="B26" s="784"/>
      <c r="C26" s="779">
        <f>SUM(C24:C25)</f>
        <v>1101.7249999999999</v>
      </c>
      <c r="D26" s="779">
        <f t="shared" ref="D26:R26" si="2">SUM(D24:D25)</f>
        <v>0</v>
      </c>
      <c r="E26" s="779">
        <f t="shared" si="2"/>
        <v>324.07862600000004</v>
      </c>
      <c r="F26" s="779">
        <f t="shared" si="2"/>
        <v>7.6043625046393162</v>
      </c>
      <c r="G26" s="779">
        <f t="shared" si="2"/>
        <v>2083.0105656250007</v>
      </c>
      <c r="H26" s="779">
        <f t="shared" si="2"/>
        <v>0</v>
      </c>
      <c r="I26" s="779">
        <f t="shared" si="2"/>
        <v>0</v>
      </c>
      <c r="J26" s="779">
        <f t="shared" si="2"/>
        <v>0</v>
      </c>
      <c r="K26" s="779">
        <f t="shared" si="2"/>
        <v>125.86708258630102</v>
      </c>
      <c r="L26" s="779">
        <f t="shared" si="2"/>
        <v>0</v>
      </c>
      <c r="M26" s="779">
        <f t="shared" si="2"/>
        <v>0</v>
      </c>
      <c r="N26" s="779">
        <f t="shared" si="2"/>
        <v>0</v>
      </c>
      <c r="O26" s="779">
        <f t="shared" si="2"/>
        <v>0</v>
      </c>
      <c r="P26" s="779">
        <f t="shared" si="2"/>
        <v>0</v>
      </c>
      <c r="Q26" s="779">
        <f t="shared" si="2"/>
        <v>0</v>
      </c>
      <c r="R26" s="779">
        <f t="shared" si="2"/>
        <v>3642.2856367159407</v>
      </c>
      <c r="S26" s="67"/>
    </row>
    <row r="27" spans="1:19" s="440" customFormat="1" ht="17.25" thickTop="1" thickBot="1">
      <c r="A27" s="673" t="s">
        <v>109</v>
      </c>
      <c r="B27" s="772"/>
      <c r="C27" s="674">
        <f ca="1">C22+C16+C26</f>
        <v>28850.209196081589</v>
      </c>
      <c r="D27" s="674">
        <f t="shared" ref="D27:R27" ca="1" si="3">D22+D16+D26</f>
        <v>0</v>
      </c>
      <c r="E27" s="674">
        <f t="shared" ca="1" si="3"/>
        <v>34034.572118767712</v>
      </c>
      <c r="F27" s="674">
        <f t="shared" si="3"/>
        <v>1425.9655269617344</v>
      </c>
      <c r="G27" s="674">
        <f t="shared" ca="1" si="3"/>
        <v>54798.111018285286</v>
      </c>
      <c r="H27" s="674">
        <f t="shared" si="3"/>
        <v>41255.254396390286</v>
      </c>
      <c r="I27" s="674">
        <f t="shared" si="3"/>
        <v>7909.0131484736594</v>
      </c>
      <c r="J27" s="674">
        <f t="shared" si="3"/>
        <v>0</v>
      </c>
      <c r="K27" s="674">
        <f t="shared" si="3"/>
        <v>1120.2885045846563</v>
      </c>
      <c r="L27" s="674">
        <f t="shared" si="3"/>
        <v>0</v>
      </c>
      <c r="M27" s="674">
        <f t="shared" ca="1" si="3"/>
        <v>0</v>
      </c>
      <c r="N27" s="674">
        <f t="shared" si="3"/>
        <v>2632.9576902112417</v>
      </c>
      <c r="O27" s="674">
        <f t="shared" ca="1" si="3"/>
        <v>9177.7532814362457</v>
      </c>
      <c r="P27" s="674">
        <f t="shared" si="3"/>
        <v>70.350000000000009</v>
      </c>
      <c r="Q27" s="674">
        <f t="shared" si="3"/>
        <v>305.06666666666666</v>
      </c>
      <c r="R27" s="674">
        <f t="shared" ca="1" si="3"/>
        <v>181579.54154785909</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864.60479785916084</v>
      </c>
      <c r="D40" s="983">
        <f ca="1">tertiair!C20</f>
        <v>0</v>
      </c>
      <c r="E40" s="983">
        <f ca="1">tertiair!D20</f>
        <v>359.638081484</v>
      </c>
      <c r="F40" s="983">
        <f>tertiair!E20</f>
        <v>7.9478637868224169</v>
      </c>
      <c r="G40" s="983">
        <f ca="1">tertiair!F20</f>
        <v>134.51714178671421</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1366.7078849166974</v>
      </c>
    </row>
    <row r="41" spans="1:18">
      <c r="A41" s="789" t="s">
        <v>214</v>
      </c>
      <c r="B41" s="796"/>
      <c r="C41" s="983">
        <f ca="1">huishoudens!B12</f>
        <v>2633.5885322510035</v>
      </c>
      <c r="D41" s="983">
        <f ca="1">huishoudens!C12</f>
        <v>0</v>
      </c>
      <c r="E41" s="983">
        <f>huishoudens!D12</f>
        <v>1707.570154796</v>
      </c>
      <c r="F41" s="983">
        <f>huishoudens!E12</f>
        <v>228.40871544347996</v>
      </c>
      <c r="G41" s="983">
        <f>huishoudens!F12</f>
        <v>8475.2885280481896</v>
      </c>
      <c r="H41" s="983">
        <f>huishoudens!G12</f>
        <v>0</v>
      </c>
      <c r="I41" s="983">
        <f>huishoudens!H12</f>
        <v>0</v>
      </c>
      <c r="J41" s="983">
        <f>huishoudens!I12</f>
        <v>0</v>
      </c>
      <c r="K41" s="983">
        <f>huishoudens!J12</f>
        <v>262.04406944218363</v>
      </c>
      <c r="L41" s="983">
        <f>huishoudens!K12</f>
        <v>0</v>
      </c>
      <c r="M41" s="983">
        <f>huishoudens!L12</f>
        <v>0</v>
      </c>
      <c r="N41" s="983">
        <f>huishoudens!M12</f>
        <v>0</v>
      </c>
      <c r="O41" s="983">
        <f>huishoudens!N12</f>
        <v>0</v>
      </c>
      <c r="P41" s="983">
        <f>huishoudens!O12</f>
        <v>0</v>
      </c>
      <c r="Q41" s="741">
        <f>huishoudens!P12</f>
        <v>0</v>
      </c>
      <c r="R41" s="817">
        <f t="shared" ca="1" si="4"/>
        <v>13306.899999980857</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2375.2424849846025</v>
      </c>
      <c r="D43" s="983">
        <f ca="1">industrie!C22</f>
        <v>0</v>
      </c>
      <c r="E43" s="983">
        <f>industrie!D22</f>
        <v>4739.545473608001</v>
      </c>
      <c r="F43" s="983">
        <f>industrie!E22</f>
        <v>55.277640476775282</v>
      </c>
      <c r="G43" s="983">
        <f>industrie!F22</f>
        <v>5465.1261510253935</v>
      </c>
      <c r="H43" s="983">
        <f>industrie!G22</f>
        <v>0</v>
      </c>
      <c r="I43" s="983">
        <f>industrie!H22</f>
        <v>0</v>
      </c>
      <c r="J43" s="983">
        <f>industrie!I22</f>
        <v>0</v>
      </c>
      <c r="K43" s="983">
        <f>industrie!J22</f>
        <v>89.981113945234085</v>
      </c>
      <c r="L43" s="983">
        <f>industrie!K22</f>
        <v>0</v>
      </c>
      <c r="M43" s="983">
        <f>industrie!L22</f>
        <v>0</v>
      </c>
      <c r="N43" s="983">
        <f>industrie!M22</f>
        <v>0</v>
      </c>
      <c r="O43" s="983">
        <f>industrie!N22</f>
        <v>0</v>
      </c>
      <c r="P43" s="983">
        <f>industrie!O22</f>
        <v>0</v>
      </c>
      <c r="Q43" s="741">
        <f>industrie!P22</f>
        <v>0</v>
      </c>
      <c r="R43" s="816">
        <f t="shared" ca="1" si="4"/>
        <v>12725.172864040007</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5873.4358150947664</v>
      </c>
      <c r="D46" s="699">
        <f t="shared" ref="D46:Q46" ca="1" si="5">SUM(D39:D45)</f>
        <v>0</v>
      </c>
      <c r="E46" s="699">
        <f t="shared" ca="1" si="5"/>
        <v>6806.7537098880011</v>
      </c>
      <c r="F46" s="699">
        <f t="shared" si="5"/>
        <v>291.63421970707765</v>
      </c>
      <c r="G46" s="699">
        <f t="shared" ca="1" si="5"/>
        <v>14074.931820860298</v>
      </c>
      <c r="H46" s="699">
        <f t="shared" si="5"/>
        <v>0</v>
      </c>
      <c r="I46" s="699">
        <f t="shared" si="5"/>
        <v>0</v>
      </c>
      <c r="J46" s="699">
        <f t="shared" si="5"/>
        <v>0</v>
      </c>
      <c r="K46" s="699">
        <f t="shared" si="5"/>
        <v>352.02518338741771</v>
      </c>
      <c r="L46" s="699">
        <f t="shared" si="5"/>
        <v>0</v>
      </c>
      <c r="M46" s="699">
        <f t="shared" ca="1" si="5"/>
        <v>0</v>
      </c>
      <c r="N46" s="699">
        <f t="shared" si="5"/>
        <v>0</v>
      </c>
      <c r="O46" s="699">
        <f t="shared" ca="1" si="5"/>
        <v>0</v>
      </c>
      <c r="P46" s="699">
        <f t="shared" si="5"/>
        <v>0</v>
      </c>
      <c r="Q46" s="699">
        <f t="shared" si="5"/>
        <v>0</v>
      </c>
      <c r="R46" s="699">
        <f ca="1">SUM(R39:R45)</f>
        <v>27398.780748937563</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0.41521051814157917</v>
      </c>
      <c r="D49" s="983">
        <f ca="1">transport!C58</f>
        <v>0</v>
      </c>
      <c r="E49" s="983">
        <f>transport!D58</f>
        <v>0</v>
      </c>
      <c r="F49" s="983">
        <f>transport!E58</f>
        <v>0</v>
      </c>
      <c r="G49" s="983">
        <f>transport!F58</f>
        <v>0</v>
      </c>
      <c r="H49" s="983">
        <f>transport!G58</f>
        <v>99.206057078652051</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99.621267596793629</v>
      </c>
    </row>
    <row r="50" spans="1:18">
      <c r="A50" s="792" t="s">
        <v>296</v>
      </c>
      <c r="B50" s="802"/>
      <c r="C50" s="670">
        <f ca="1">transport!B18</f>
        <v>1.8495503250009768</v>
      </c>
      <c r="D50" s="670">
        <f>transport!C18</f>
        <v>0</v>
      </c>
      <c r="E50" s="670">
        <f>transport!D18</f>
        <v>2.7659756510756344</v>
      </c>
      <c r="F50" s="670">
        <f>transport!E18</f>
        <v>30.333764624682939</v>
      </c>
      <c r="G50" s="670">
        <f>transport!F18</f>
        <v>0</v>
      </c>
      <c r="H50" s="670">
        <f>transport!G18</f>
        <v>10915.946866757555</v>
      </c>
      <c r="I50" s="670">
        <f>transport!H18</f>
        <v>1969.3442739699412</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12920.240431328257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2.2647608431425561</v>
      </c>
      <c r="D52" s="699">
        <f t="shared" ref="D52:Q52" ca="1" si="6">SUM(D48:D51)</f>
        <v>0</v>
      </c>
      <c r="E52" s="699">
        <f t="shared" si="6"/>
        <v>2.7659756510756344</v>
      </c>
      <c r="F52" s="699">
        <f t="shared" si="6"/>
        <v>30.333764624682939</v>
      </c>
      <c r="G52" s="699">
        <f t="shared" si="6"/>
        <v>0</v>
      </c>
      <c r="H52" s="699">
        <f t="shared" si="6"/>
        <v>11015.152923836207</v>
      </c>
      <c r="I52" s="699">
        <f t="shared" si="6"/>
        <v>1969.3442739699412</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13019.861698925051</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173.84363259096622</v>
      </c>
      <c r="D54" s="670">
        <f ca="1">+landbouw!C12</f>
        <v>0</v>
      </c>
      <c r="E54" s="670">
        <f>+landbouw!D12</f>
        <v>4.2750524520000006</v>
      </c>
      <c r="F54" s="670">
        <f>+landbouw!E12</f>
        <v>1.7261902885531248</v>
      </c>
      <c r="G54" s="670">
        <f>+landbouw!F12</f>
        <v>556.16382102187526</v>
      </c>
      <c r="H54" s="670">
        <f>+landbouw!G12</f>
        <v>0</v>
      </c>
      <c r="I54" s="670">
        <f>+landbouw!H12</f>
        <v>0</v>
      </c>
      <c r="J54" s="670">
        <f>+landbouw!I12</f>
        <v>0</v>
      </c>
      <c r="K54" s="670">
        <f>+landbouw!J12</f>
        <v>44.55694723555056</v>
      </c>
      <c r="L54" s="670">
        <f>+landbouw!K12</f>
        <v>0</v>
      </c>
      <c r="M54" s="670">
        <f>+landbouw!L12</f>
        <v>0</v>
      </c>
      <c r="N54" s="670">
        <f>+landbouw!M12</f>
        <v>0</v>
      </c>
      <c r="O54" s="670">
        <f>+landbouw!N12</f>
        <v>0</v>
      </c>
      <c r="P54" s="670">
        <f>+landbouw!O12</f>
        <v>0</v>
      </c>
      <c r="Q54" s="671">
        <f>+landbouw!P12</f>
        <v>0</v>
      </c>
      <c r="R54" s="698">
        <f ca="1">SUM(C54:Q54)</f>
        <v>780.56564358894514</v>
      </c>
    </row>
    <row r="55" spans="1:18" ht="15" thickBot="1">
      <c r="A55" s="792" t="s">
        <v>829</v>
      </c>
      <c r="B55" s="802"/>
      <c r="C55" s="670">
        <f ca="1">C25*'EF ele_warmte'!B12</f>
        <v>59.445010178908547</v>
      </c>
      <c r="D55" s="670"/>
      <c r="E55" s="670">
        <f>E25*EF_CO2_aardgas</f>
        <v>61.18883000000001</v>
      </c>
      <c r="F55" s="670"/>
      <c r="G55" s="670"/>
      <c r="H55" s="670"/>
      <c r="I55" s="670"/>
      <c r="J55" s="670"/>
      <c r="K55" s="670"/>
      <c r="L55" s="670"/>
      <c r="M55" s="670"/>
      <c r="N55" s="670"/>
      <c r="O55" s="670"/>
      <c r="P55" s="670"/>
      <c r="Q55" s="671"/>
      <c r="R55" s="698">
        <f ca="1">SUM(C55:Q55)</f>
        <v>120.63384017890856</v>
      </c>
    </row>
    <row r="56" spans="1:18" ht="15.75" thickBot="1">
      <c r="A56" s="790" t="s">
        <v>830</v>
      </c>
      <c r="B56" s="803"/>
      <c r="C56" s="699">
        <f ca="1">SUM(C54:C55)</f>
        <v>233.28864276987477</v>
      </c>
      <c r="D56" s="699">
        <f t="shared" ref="D56:Q56" ca="1" si="7">SUM(D54:D55)</f>
        <v>0</v>
      </c>
      <c r="E56" s="699">
        <f t="shared" si="7"/>
        <v>65.463882452000007</v>
      </c>
      <c r="F56" s="699">
        <f t="shared" si="7"/>
        <v>1.7261902885531248</v>
      </c>
      <c r="G56" s="699">
        <f t="shared" si="7"/>
        <v>556.16382102187526</v>
      </c>
      <c r="H56" s="699">
        <f t="shared" si="7"/>
        <v>0</v>
      </c>
      <c r="I56" s="699">
        <f t="shared" si="7"/>
        <v>0</v>
      </c>
      <c r="J56" s="699">
        <f t="shared" si="7"/>
        <v>0</v>
      </c>
      <c r="K56" s="699">
        <f t="shared" si="7"/>
        <v>44.55694723555056</v>
      </c>
      <c r="L56" s="699">
        <f t="shared" si="7"/>
        <v>0</v>
      </c>
      <c r="M56" s="699">
        <f t="shared" si="7"/>
        <v>0</v>
      </c>
      <c r="N56" s="699">
        <f t="shared" si="7"/>
        <v>0</v>
      </c>
      <c r="O56" s="699">
        <f t="shared" si="7"/>
        <v>0</v>
      </c>
      <c r="P56" s="699">
        <f t="shared" si="7"/>
        <v>0</v>
      </c>
      <c r="Q56" s="700">
        <f t="shared" si="7"/>
        <v>0</v>
      </c>
      <c r="R56" s="701">
        <f ca="1">SUM(R54:R55)</f>
        <v>901.19948376785374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6108.9892187077839</v>
      </c>
      <c r="D61" s="707">
        <f t="shared" ref="D61:Q61" ca="1" si="8">D46+D52+D56</f>
        <v>0</v>
      </c>
      <c r="E61" s="707">
        <f t="shared" ca="1" si="8"/>
        <v>6874.9835679910766</v>
      </c>
      <c r="F61" s="707">
        <f t="shared" si="8"/>
        <v>323.69417462031373</v>
      </c>
      <c r="G61" s="707">
        <f t="shared" ca="1" si="8"/>
        <v>14631.095641882173</v>
      </c>
      <c r="H61" s="707">
        <f t="shared" si="8"/>
        <v>11015.152923836207</v>
      </c>
      <c r="I61" s="707">
        <f t="shared" si="8"/>
        <v>1969.3442739699412</v>
      </c>
      <c r="J61" s="707">
        <f t="shared" si="8"/>
        <v>0</v>
      </c>
      <c r="K61" s="707">
        <f t="shared" si="8"/>
        <v>396.58213062296829</v>
      </c>
      <c r="L61" s="707">
        <f t="shared" si="8"/>
        <v>0</v>
      </c>
      <c r="M61" s="707">
        <f t="shared" ca="1" si="8"/>
        <v>0</v>
      </c>
      <c r="N61" s="707">
        <f t="shared" si="8"/>
        <v>0</v>
      </c>
      <c r="O61" s="707">
        <f t="shared" ca="1" si="8"/>
        <v>0</v>
      </c>
      <c r="P61" s="707">
        <f t="shared" si="8"/>
        <v>0</v>
      </c>
      <c r="Q61" s="707">
        <f t="shared" si="8"/>
        <v>0</v>
      </c>
      <c r="R61" s="707">
        <f ca="1">R46+R52+R56</f>
        <v>41319.841931630464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0.2117485241506499</v>
      </c>
      <c r="D63" s="748">
        <f t="shared" ca="1" si="9"/>
        <v>0</v>
      </c>
      <c r="E63" s="994">
        <f t="shared" ca="1" si="9"/>
        <v>0.20199999999999996</v>
      </c>
      <c r="F63" s="748">
        <f t="shared" si="9"/>
        <v>0.22700000000000001</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1207.7240435576794</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1207.7240435576794</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12437.340674815374</v>
      </c>
      <c r="C4" s="444">
        <f>huishoudens!C8</f>
        <v>0</v>
      </c>
      <c r="D4" s="444">
        <f>huishoudens!D8</f>
        <v>8453.3175979999996</v>
      </c>
      <c r="E4" s="444">
        <f>huishoudens!E8</f>
        <v>1006.205794905198</v>
      </c>
      <c r="F4" s="444">
        <f>huishoudens!F8</f>
        <v>31742.653663101832</v>
      </c>
      <c r="G4" s="444">
        <f>huishoudens!G8</f>
        <v>0</v>
      </c>
      <c r="H4" s="444">
        <f>huishoudens!H8</f>
        <v>0</v>
      </c>
      <c r="I4" s="444">
        <f>huishoudens!I8</f>
        <v>0</v>
      </c>
      <c r="J4" s="444">
        <f>huishoudens!J8</f>
        <v>740.23748429995385</v>
      </c>
      <c r="K4" s="444">
        <f>huishoudens!K8</f>
        <v>0</v>
      </c>
      <c r="L4" s="444">
        <f>huishoudens!L8</f>
        <v>0</v>
      </c>
      <c r="M4" s="444">
        <f>huishoudens!M8</f>
        <v>0</v>
      </c>
      <c r="N4" s="444">
        <f>huishoudens!N8</f>
        <v>3311.5019383388881</v>
      </c>
      <c r="O4" s="444">
        <f>huishoudens!O8</f>
        <v>68.786666666666676</v>
      </c>
      <c r="P4" s="445">
        <f>huishoudens!P8</f>
        <v>305.06666666666666</v>
      </c>
      <c r="Q4" s="446">
        <f>SUM(B4:P4)</f>
        <v>58065.110486794583</v>
      </c>
    </row>
    <row r="5" spans="1:17">
      <c r="A5" s="443" t="s">
        <v>149</v>
      </c>
      <c r="B5" s="444">
        <f ca="1">tertiair!B16</f>
        <v>3520.8910000000001</v>
      </c>
      <c r="C5" s="444">
        <f ca="1">tertiair!C16</f>
        <v>0</v>
      </c>
      <c r="D5" s="444">
        <f ca="1">tertiair!D16</f>
        <v>1780.386542</v>
      </c>
      <c r="E5" s="444">
        <f>tertiair!E16</f>
        <v>35.012615800979809</v>
      </c>
      <c r="F5" s="444">
        <f ca="1">tertiair!F16</f>
        <v>503.80951980042772</v>
      </c>
      <c r="G5" s="444">
        <f>tertiair!G16</f>
        <v>0</v>
      </c>
      <c r="H5" s="444">
        <f>tertiair!H16</f>
        <v>0</v>
      </c>
      <c r="I5" s="444">
        <f>tertiair!I16</f>
        <v>0</v>
      </c>
      <c r="J5" s="444">
        <f>tertiair!J16</f>
        <v>0</v>
      </c>
      <c r="K5" s="444">
        <f>tertiair!K16</f>
        <v>0</v>
      </c>
      <c r="L5" s="444">
        <f ca="1">tertiair!L16</f>
        <v>0</v>
      </c>
      <c r="M5" s="444">
        <f>tertiair!M16</f>
        <v>0</v>
      </c>
      <c r="N5" s="444">
        <f ca="1">tertiair!N16</f>
        <v>224.55048464851043</v>
      </c>
      <c r="O5" s="444">
        <f>tertiair!O16</f>
        <v>1.5633333333333335</v>
      </c>
      <c r="P5" s="445">
        <f>tertiair!P16</f>
        <v>0</v>
      </c>
      <c r="Q5" s="443">
        <f t="shared" ref="Q5:Q14" ca="1" si="0">SUM(B5:P5)</f>
        <v>6066.2134955832507</v>
      </c>
    </row>
    <row r="6" spans="1:17">
      <c r="A6" s="443" t="s">
        <v>187</v>
      </c>
      <c r="B6" s="444">
        <f>'openbare verlichting'!B8</f>
        <v>562.27700000000004</v>
      </c>
      <c r="C6" s="444"/>
      <c r="D6" s="444"/>
      <c r="E6" s="444"/>
      <c r="F6" s="444"/>
      <c r="G6" s="444"/>
      <c r="H6" s="444"/>
      <c r="I6" s="444"/>
      <c r="J6" s="444"/>
      <c r="K6" s="444"/>
      <c r="L6" s="444"/>
      <c r="M6" s="444"/>
      <c r="N6" s="444"/>
      <c r="O6" s="444"/>
      <c r="P6" s="445"/>
      <c r="Q6" s="443">
        <f t="shared" si="0"/>
        <v>562.27700000000004</v>
      </c>
    </row>
    <row r="7" spans="1:17">
      <c r="A7" s="443" t="s">
        <v>105</v>
      </c>
      <c r="B7" s="444">
        <f>landbouw!B8</f>
        <v>820.99099999999999</v>
      </c>
      <c r="C7" s="444">
        <f>landbouw!C8</f>
        <v>0</v>
      </c>
      <c r="D7" s="444">
        <f>landbouw!D8</f>
        <v>21.163626000000001</v>
      </c>
      <c r="E7" s="444">
        <f>landbouw!E8</f>
        <v>7.6043625046393162</v>
      </c>
      <c r="F7" s="444">
        <f>landbouw!F8</f>
        <v>2083.0105656250007</v>
      </c>
      <c r="G7" s="444">
        <f>landbouw!G8</f>
        <v>0</v>
      </c>
      <c r="H7" s="444">
        <f>landbouw!H8</f>
        <v>0</v>
      </c>
      <c r="I7" s="444">
        <f>landbouw!I8</f>
        <v>0</v>
      </c>
      <c r="J7" s="444">
        <f>landbouw!J8</f>
        <v>125.86708258630102</v>
      </c>
      <c r="K7" s="444">
        <f>landbouw!K8</f>
        <v>0</v>
      </c>
      <c r="L7" s="444">
        <f>landbouw!L8</f>
        <v>0</v>
      </c>
      <c r="M7" s="444">
        <f>landbouw!M8</f>
        <v>0</v>
      </c>
      <c r="N7" s="444">
        <f>landbouw!N8</f>
        <v>0</v>
      </c>
      <c r="O7" s="444">
        <f>landbouw!O8</f>
        <v>0</v>
      </c>
      <c r="P7" s="445">
        <f>landbouw!P8</f>
        <v>0</v>
      </c>
      <c r="Q7" s="443">
        <f t="shared" si="0"/>
        <v>3058.6366367159408</v>
      </c>
    </row>
    <row r="8" spans="1:17">
      <c r="A8" s="443" t="s">
        <v>637</v>
      </c>
      <c r="B8" s="444">
        <f>industrie!B18</f>
        <v>11217.28</v>
      </c>
      <c r="C8" s="444">
        <f>industrie!C18</f>
        <v>0</v>
      </c>
      <c r="D8" s="444">
        <f>industrie!D18</f>
        <v>23463.096404000004</v>
      </c>
      <c r="E8" s="444">
        <f>industrie!E18</f>
        <v>243.51383469945057</v>
      </c>
      <c r="F8" s="444">
        <f>industrie!F18</f>
        <v>20468.637269758026</v>
      </c>
      <c r="G8" s="444">
        <f>industrie!G18</f>
        <v>0</v>
      </c>
      <c r="H8" s="444">
        <f>industrie!H18</f>
        <v>0</v>
      </c>
      <c r="I8" s="444">
        <f>industrie!I18</f>
        <v>0</v>
      </c>
      <c r="J8" s="444">
        <f>industrie!J18</f>
        <v>254.18393769840139</v>
      </c>
      <c r="K8" s="444">
        <f>industrie!K18</f>
        <v>0</v>
      </c>
      <c r="L8" s="444">
        <f>industrie!L18</f>
        <v>0</v>
      </c>
      <c r="M8" s="444">
        <f>industrie!M18</f>
        <v>0</v>
      </c>
      <c r="N8" s="444">
        <f>industrie!N18</f>
        <v>5641.7008584488476</v>
      </c>
      <c r="O8" s="444">
        <f>industrie!O18</f>
        <v>0</v>
      </c>
      <c r="P8" s="445">
        <f>industrie!P18</f>
        <v>0</v>
      </c>
      <c r="Q8" s="443">
        <f t="shared" si="0"/>
        <v>61288.412304604732</v>
      </c>
    </row>
    <row r="9" spans="1:17" s="449" customFormat="1">
      <c r="A9" s="447" t="s">
        <v>558</v>
      </c>
      <c r="B9" s="448">
        <f>transport!B14</f>
        <v>8.7346550934404714</v>
      </c>
      <c r="C9" s="448">
        <f>transport!C14</f>
        <v>0</v>
      </c>
      <c r="D9" s="448">
        <f>transport!D14</f>
        <v>13.692948767701159</v>
      </c>
      <c r="E9" s="448">
        <f>transport!E14</f>
        <v>133.62891905146668</v>
      </c>
      <c r="F9" s="448">
        <f>transport!F14</f>
        <v>0</v>
      </c>
      <c r="G9" s="448">
        <f>transport!G14</f>
        <v>40883.696130178105</v>
      </c>
      <c r="H9" s="448">
        <f>transport!H14</f>
        <v>7909.0131484736594</v>
      </c>
      <c r="I9" s="448">
        <f>transport!I14</f>
        <v>0</v>
      </c>
      <c r="J9" s="448">
        <f>transport!J14</f>
        <v>0</v>
      </c>
      <c r="K9" s="448">
        <f>transport!K14</f>
        <v>0</v>
      </c>
      <c r="L9" s="448">
        <f>transport!L14</f>
        <v>0</v>
      </c>
      <c r="M9" s="448">
        <f>transport!M14</f>
        <v>2611.5678105588836</v>
      </c>
      <c r="N9" s="448">
        <f>transport!N14</f>
        <v>0</v>
      </c>
      <c r="O9" s="448">
        <f>transport!O14</f>
        <v>0</v>
      </c>
      <c r="P9" s="448">
        <f>transport!P14</f>
        <v>0</v>
      </c>
      <c r="Q9" s="447">
        <f>SUM(B9:P9)</f>
        <v>51560.33361212325</v>
      </c>
    </row>
    <row r="10" spans="1:17">
      <c r="A10" s="443" t="s">
        <v>548</v>
      </c>
      <c r="B10" s="444">
        <f>transport!B54</f>
        <v>1.9608661727728258</v>
      </c>
      <c r="C10" s="444">
        <f>transport!C54</f>
        <v>0</v>
      </c>
      <c r="D10" s="444">
        <f>transport!D54</f>
        <v>0</v>
      </c>
      <c r="E10" s="444">
        <f>transport!E54</f>
        <v>0</v>
      </c>
      <c r="F10" s="444">
        <f>transport!F54</f>
        <v>0</v>
      </c>
      <c r="G10" s="444">
        <f>transport!G54</f>
        <v>371.55826621217994</v>
      </c>
      <c r="H10" s="444">
        <f>transport!H54</f>
        <v>0</v>
      </c>
      <c r="I10" s="444">
        <f>transport!I54</f>
        <v>0</v>
      </c>
      <c r="J10" s="444">
        <f>transport!J54</f>
        <v>0</v>
      </c>
      <c r="K10" s="444">
        <f>transport!K54</f>
        <v>0</v>
      </c>
      <c r="L10" s="444">
        <f>transport!L54</f>
        <v>0</v>
      </c>
      <c r="M10" s="444">
        <f>transport!M54</f>
        <v>21.389879652358026</v>
      </c>
      <c r="N10" s="444">
        <f>transport!N54</f>
        <v>0</v>
      </c>
      <c r="O10" s="444">
        <f>transport!O54</f>
        <v>0</v>
      </c>
      <c r="P10" s="445">
        <f>transport!P54</f>
        <v>0</v>
      </c>
      <c r="Q10" s="443">
        <f t="shared" si="0"/>
        <v>394.90901203731084</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280.73399999999998</v>
      </c>
      <c r="C14" s="451"/>
      <c r="D14" s="451">
        <f>'SEAP template'!E25</f>
        <v>302.91500000000002</v>
      </c>
      <c r="E14" s="451"/>
      <c r="F14" s="451"/>
      <c r="G14" s="451"/>
      <c r="H14" s="451"/>
      <c r="I14" s="451"/>
      <c r="J14" s="451"/>
      <c r="K14" s="451"/>
      <c r="L14" s="451"/>
      <c r="M14" s="451"/>
      <c r="N14" s="451"/>
      <c r="O14" s="451"/>
      <c r="P14" s="452"/>
      <c r="Q14" s="443">
        <f t="shared" si="0"/>
        <v>583.649</v>
      </c>
    </row>
    <row r="15" spans="1:17" s="453" customFormat="1">
      <c r="A15" s="1009" t="s">
        <v>552</v>
      </c>
      <c r="B15" s="949">
        <f ca="1">SUM(B4:B14)</f>
        <v>28850.209196081585</v>
      </c>
      <c r="C15" s="949">
        <f t="shared" ref="C15:Q15" ca="1" si="1">SUM(C4:C14)</f>
        <v>0</v>
      </c>
      <c r="D15" s="949">
        <f t="shared" ca="1" si="1"/>
        <v>34034.572118767712</v>
      </c>
      <c r="E15" s="949">
        <f t="shared" si="1"/>
        <v>1425.9655269617344</v>
      </c>
      <c r="F15" s="949">
        <f t="shared" ca="1" si="1"/>
        <v>54798.111018285286</v>
      </c>
      <c r="G15" s="949">
        <f t="shared" si="1"/>
        <v>41255.254396390286</v>
      </c>
      <c r="H15" s="949">
        <f t="shared" si="1"/>
        <v>7909.0131484736594</v>
      </c>
      <c r="I15" s="949">
        <f t="shared" si="1"/>
        <v>0</v>
      </c>
      <c r="J15" s="949">
        <f t="shared" si="1"/>
        <v>1120.2885045846563</v>
      </c>
      <c r="K15" s="949">
        <f t="shared" si="1"/>
        <v>0</v>
      </c>
      <c r="L15" s="949">
        <f t="shared" ca="1" si="1"/>
        <v>0</v>
      </c>
      <c r="M15" s="949">
        <f t="shared" si="1"/>
        <v>2632.9576902112417</v>
      </c>
      <c r="N15" s="949">
        <f t="shared" ca="1" si="1"/>
        <v>9177.7532814362457</v>
      </c>
      <c r="O15" s="949">
        <f t="shared" si="1"/>
        <v>70.350000000000009</v>
      </c>
      <c r="P15" s="949">
        <f t="shared" si="1"/>
        <v>305.06666666666666</v>
      </c>
      <c r="Q15" s="949">
        <f t="shared" ca="1" si="1"/>
        <v>181579.54154785906</v>
      </c>
    </row>
    <row r="17" spans="1:17">
      <c r="A17" s="454" t="s">
        <v>553</v>
      </c>
      <c r="B17" s="753">
        <f ca="1">huishoudens!B10</f>
        <v>0.2117485241506499</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2633.5885322510035</v>
      </c>
      <c r="C22" s="444">
        <f t="shared" ref="C22:C32" ca="1" si="3">C4*$C$17</f>
        <v>0</v>
      </c>
      <c r="D22" s="444">
        <f t="shared" ref="D22:D32" si="4">D4*$D$17</f>
        <v>1707.570154796</v>
      </c>
      <c r="E22" s="444">
        <f t="shared" ref="E22:E32" si="5">E4*$E$17</f>
        <v>228.40871544347996</v>
      </c>
      <c r="F22" s="444">
        <f t="shared" ref="F22:F32" si="6">F4*$F$17</f>
        <v>8475.2885280481896</v>
      </c>
      <c r="G22" s="444">
        <f t="shared" ref="G22:G32" si="7">G4*$G$17</f>
        <v>0</v>
      </c>
      <c r="H22" s="444">
        <f t="shared" ref="H22:H32" si="8">H4*$H$17</f>
        <v>0</v>
      </c>
      <c r="I22" s="444">
        <f t="shared" ref="I22:I32" si="9">I4*$I$17</f>
        <v>0</v>
      </c>
      <c r="J22" s="444">
        <f t="shared" ref="J22:J32" si="10">J4*$J$17</f>
        <v>262.04406944218363</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13306.899999980857</v>
      </c>
    </row>
    <row r="23" spans="1:17">
      <c r="A23" s="443" t="s">
        <v>149</v>
      </c>
      <c r="B23" s="444">
        <f t="shared" ca="1" si="2"/>
        <v>745.54347294530589</v>
      </c>
      <c r="C23" s="444">
        <f t="shared" ca="1" si="3"/>
        <v>0</v>
      </c>
      <c r="D23" s="444">
        <f t="shared" ca="1" si="4"/>
        <v>359.638081484</v>
      </c>
      <c r="E23" s="444">
        <f t="shared" si="5"/>
        <v>7.9478637868224169</v>
      </c>
      <c r="F23" s="444">
        <f t="shared" ca="1" si="6"/>
        <v>134.51714178671421</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1247.6465600028423</v>
      </c>
    </row>
    <row r="24" spans="1:17">
      <c r="A24" s="443" t="s">
        <v>187</v>
      </c>
      <c r="B24" s="444">
        <f t="shared" ca="1" si="2"/>
        <v>119.06132491385499</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119.06132491385499</v>
      </c>
    </row>
    <row r="25" spans="1:17">
      <c r="A25" s="443" t="s">
        <v>105</v>
      </c>
      <c r="B25" s="444">
        <f t="shared" ca="1" si="2"/>
        <v>173.84363259096622</v>
      </c>
      <c r="C25" s="444">
        <f t="shared" ca="1" si="3"/>
        <v>0</v>
      </c>
      <c r="D25" s="444">
        <f t="shared" si="4"/>
        <v>4.2750524520000006</v>
      </c>
      <c r="E25" s="444">
        <f t="shared" si="5"/>
        <v>1.7261902885531248</v>
      </c>
      <c r="F25" s="444">
        <f t="shared" si="6"/>
        <v>556.16382102187526</v>
      </c>
      <c r="G25" s="444">
        <f t="shared" si="7"/>
        <v>0</v>
      </c>
      <c r="H25" s="444">
        <f t="shared" si="8"/>
        <v>0</v>
      </c>
      <c r="I25" s="444">
        <f t="shared" si="9"/>
        <v>0</v>
      </c>
      <c r="J25" s="444">
        <f t="shared" si="10"/>
        <v>44.55694723555056</v>
      </c>
      <c r="K25" s="444">
        <f t="shared" si="11"/>
        <v>0</v>
      </c>
      <c r="L25" s="444">
        <f t="shared" si="12"/>
        <v>0</v>
      </c>
      <c r="M25" s="444">
        <f t="shared" si="13"/>
        <v>0</v>
      </c>
      <c r="N25" s="444">
        <f t="shared" si="14"/>
        <v>0</v>
      </c>
      <c r="O25" s="444">
        <f t="shared" si="15"/>
        <v>0</v>
      </c>
      <c r="P25" s="445">
        <f t="shared" si="16"/>
        <v>0</v>
      </c>
      <c r="Q25" s="443">
        <f t="shared" ca="1" si="17"/>
        <v>780.56564358894514</v>
      </c>
    </row>
    <row r="26" spans="1:17">
      <c r="A26" s="443" t="s">
        <v>637</v>
      </c>
      <c r="B26" s="444">
        <f t="shared" ca="1" si="2"/>
        <v>2375.2424849846025</v>
      </c>
      <c r="C26" s="444">
        <f t="shared" ca="1" si="3"/>
        <v>0</v>
      </c>
      <c r="D26" s="444">
        <f t="shared" si="4"/>
        <v>4739.545473608001</v>
      </c>
      <c r="E26" s="444">
        <f t="shared" si="5"/>
        <v>55.277640476775282</v>
      </c>
      <c r="F26" s="444">
        <f t="shared" si="6"/>
        <v>5465.1261510253935</v>
      </c>
      <c r="G26" s="444">
        <f t="shared" si="7"/>
        <v>0</v>
      </c>
      <c r="H26" s="444">
        <f t="shared" si="8"/>
        <v>0</v>
      </c>
      <c r="I26" s="444">
        <f t="shared" si="9"/>
        <v>0</v>
      </c>
      <c r="J26" s="444">
        <f t="shared" si="10"/>
        <v>89.981113945234085</v>
      </c>
      <c r="K26" s="444">
        <f t="shared" si="11"/>
        <v>0</v>
      </c>
      <c r="L26" s="444">
        <f t="shared" si="12"/>
        <v>0</v>
      </c>
      <c r="M26" s="444">
        <f t="shared" si="13"/>
        <v>0</v>
      </c>
      <c r="N26" s="444">
        <f t="shared" si="14"/>
        <v>0</v>
      </c>
      <c r="O26" s="444">
        <f t="shared" si="15"/>
        <v>0</v>
      </c>
      <c r="P26" s="445">
        <f t="shared" si="16"/>
        <v>0</v>
      </c>
      <c r="Q26" s="443">
        <f t="shared" ca="1" si="17"/>
        <v>12725.172864040007</v>
      </c>
    </row>
    <row r="27" spans="1:17" s="449" customFormat="1">
      <c r="A27" s="447" t="s">
        <v>558</v>
      </c>
      <c r="B27" s="747">
        <f t="shared" ca="1" si="2"/>
        <v>1.8495503250009768</v>
      </c>
      <c r="C27" s="448">
        <f t="shared" ca="1" si="3"/>
        <v>0</v>
      </c>
      <c r="D27" s="448">
        <f t="shared" si="4"/>
        <v>2.7659756510756344</v>
      </c>
      <c r="E27" s="448">
        <f t="shared" si="5"/>
        <v>30.333764624682939</v>
      </c>
      <c r="F27" s="448">
        <f t="shared" si="6"/>
        <v>0</v>
      </c>
      <c r="G27" s="448">
        <f t="shared" si="7"/>
        <v>10915.946866757555</v>
      </c>
      <c r="H27" s="448">
        <f t="shared" si="8"/>
        <v>1969.3442739699412</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12920.240431328257</v>
      </c>
    </row>
    <row r="28" spans="1:17">
      <c r="A28" s="443" t="s">
        <v>548</v>
      </c>
      <c r="B28" s="444">
        <f t="shared" ca="1" si="2"/>
        <v>0.41521051814157917</v>
      </c>
      <c r="C28" s="444">
        <f t="shared" ca="1" si="3"/>
        <v>0</v>
      </c>
      <c r="D28" s="444">
        <f t="shared" si="4"/>
        <v>0</v>
      </c>
      <c r="E28" s="444">
        <f t="shared" si="5"/>
        <v>0</v>
      </c>
      <c r="F28" s="444">
        <f t="shared" si="6"/>
        <v>0</v>
      </c>
      <c r="G28" s="444">
        <f t="shared" si="7"/>
        <v>99.206057078652051</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99.621267596793629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59.445010178908547</v>
      </c>
      <c r="C32" s="444">
        <f t="shared" ca="1" si="3"/>
        <v>0</v>
      </c>
      <c r="D32" s="444">
        <f t="shared" si="4"/>
        <v>61.18883000000001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120.63384017890856</v>
      </c>
    </row>
    <row r="33" spans="1:17" s="453" customFormat="1">
      <c r="A33" s="1009" t="s">
        <v>552</v>
      </c>
      <c r="B33" s="949">
        <f ca="1">SUM(B22:B32)</f>
        <v>6108.9892187077839</v>
      </c>
      <c r="C33" s="949">
        <f t="shared" ref="C33:Q33" ca="1" si="18">SUM(C22:C32)</f>
        <v>0</v>
      </c>
      <c r="D33" s="949">
        <f t="shared" ca="1" si="18"/>
        <v>6874.9835679910775</v>
      </c>
      <c r="E33" s="949">
        <f t="shared" si="18"/>
        <v>323.69417462031373</v>
      </c>
      <c r="F33" s="949">
        <f t="shared" ca="1" si="18"/>
        <v>14631.095641882173</v>
      </c>
      <c r="G33" s="949">
        <f t="shared" si="18"/>
        <v>11015.152923836207</v>
      </c>
      <c r="H33" s="949">
        <f t="shared" si="18"/>
        <v>1969.3442739699412</v>
      </c>
      <c r="I33" s="949">
        <f t="shared" si="18"/>
        <v>0</v>
      </c>
      <c r="J33" s="949">
        <f t="shared" si="18"/>
        <v>396.58213062296829</v>
      </c>
      <c r="K33" s="949">
        <f t="shared" si="18"/>
        <v>0</v>
      </c>
      <c r="L33" s="949">
        <f t="shared" ca="1" si="18"/>
        <v>0</v>
      </c>
      <c r="M33" s="949">
        <f t="shared" si="18"/>
        <v>0</v>
      </c>
      <c r="N33" s="949">
        <f t="shared" ca="1" si="18"/>
        <v>0</v>
      </c>
      <c r="O33" s="949">
        <f t="shared" si="18"/>
        <v>0</v>
      </c>
      <c r="P33" s="949">
        <f t="shared" si="18"/>
        <v>0</v>
      </c>
      <c r="Q33" s="949">
        <f t="shared" ca="1" si="18"/>
        <v>41319.841931630464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1207.7240435576794</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1207.7240435576794</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0.2117485241506499</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0.2117485241506499</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0.2117485241506499</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0.2117485241506499</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2568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3381</v>
      </c>
      <c r="C14" s="324"/>
      <c r="D14" s="324"/>
      <c r="E14" s="324"/>
      <c r="F14" s="324"/>
    </row>
    <row r="15" spans="1:6">
      <c r="A15" s="1302" t="s">
        <v>177</v>
      </c>
      <c r="B15" s="1303">
        <v>36</v>
      </c>
      <c r="C15" s="324"/>
      <c r="D15" s="324"/>
      <c r="E15" s="324"/>
      <c r="F15" s="324"/>
    </row>
    <row r="16" spans="1:6">
      <c r="A16" s="1302" t="s">
        <v>6</v>
      </c>
      <c r="B16" s="1303">
        <v>1117</v>
      </c>
      <c r="C16" s="324"/>
      <c r="D16" s="324"/>
      <c r="E16" s="324"/>
      <c r="F16" s="324"/>
    </row>
    <row r="17" spans="1:6">
      <c r="A17" s="1302" t="s">
        <v>7</v>
      </c>
      <c r="B17" s="1303">
        <v>880</v>
      </c>
      <c r="C17" s="324"/>
      <c r="D17" s="324"/>
      <c r="E17" s="324"/>
      <c r="F17" s="324"/>
    </row>
    <row r="18" spans="1:6">
      <c r="A18" s="1302" t="s">
        <v>8</v>
      </c>
      <c r="B18" s="1303">
        <v>1242</v>
      </c>
      <c r="C18" s="324"/>
      <c r="D18" s="324"/>
      <c r="E18" s="324"/>
      <c r="F18" s="324"/>
    </row>
    <row r="19" spans="1:6">
      <c r="A19" s="1302" t="s">
        <v>9</v>
      </c>
      <c r="B19" s="1303">
        <v>1239</v>
      </c>
      <c r="C19" s="324"/>
      <c r="D19" s="324"/>
      <c r="E19" s="324"/>
      <c r="F19" s="324"/>
    </row>
    <row r="20" spans="1:6">
      <c r="A20" s="1302" t="s">
        <v>10</v>
      </c>
      <c r="B20" s="1303">
        <v>935</v>
      </c>
      <c r="C20" s="324"/>
      <c r="D20" s="324"/>
      <c r="E20" s="324"/>
      <c r="F20" s="324"/>
    </row>
    <row r="21" spans="1:6">
      <c r="A21" s="1302" t="s">
        <v>11</v>
      </c>
      <c r="B21" s="1303">
        <v>0</v>
      </c>
      <c r="C21" s="324"/>
      <c r="D21" s="324"/>
      <c r="E21" s="324"/>
      <c r="F21" s="324"/>
    </row>
    <row r="22" spans="1:6">
      <c r="A22" s="1302" t="s">
        <v>12</v>
      </c>
      <c r="B22" s="1303">
        <v>1651</v>
      </c>
      <c r="C22" s="324"/>
      <c r="D22" s="324"/>
      <c r="E22" s="324"/>
      <c r="F22" s="324"/>
    </row>
    <row r="23" spans="1:6">
      <c r="A23" s="1302" t="s">
        <v>13</v>
      </c>
      <c r="B23" s="1303">
        <v>20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111</v>
      </c>
      <c r="C26" s="324"/>
      <c r="D26" s="324"/>
      <c r="E26" s="324"/>
      <c r="F26" s="324"/>
    </row>
    <row r="27" spans="1:6">
      <c r="A27" s="1302" t="s">
        <v>17</v>
      </c>
      <c r="B27" s="1303">
        <v>45</v>
      </c>
      <c r="C27" s="324"/>
      <c r="D27" s="324"/>
      <c r="E27" s="324"/>
      <c r="F27" s="324"/>
    </row>
    <row r="28" spans="1:6">
      <c r="A28" s="1302" t="s">
        <v>18</v>
      </c>
      <c r="B28" s="1304">
        <v>43229</v>
      </c>
      <c r="C28" s="324"/>
      <c r="D28" s="324"/>
      <c r="E28" s="324"/>
      <c r="F28" s="324"/>
    </row>
    <row r="29" spans="1:6">
      <c r="A29" s="1302" t="s">
        <v>918</v>
      </c>
      <c r="B29" s="1304">
        <v>63</v>
      </c>
      <c r="C29" s="324"/>
      <c r="D29" s="324"/>
      <c r="E29" s="324"/>
      <c r="F29" s="324"/>
    </row>
    <row r="30" spans="1:6">
      <c r="A30" s="1297" t="s">
        <v>919</v>
      </c>
      <c r="B30" s="1305">
        <v>81</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9</v>
      </c>
      <c r="F36" s="1303">
        <v>82520</v>
      </c>
    </row>
    <row r="37" spans="1:6">
      <c r="A37" s="1302" t="s">
        <v>24</v>
      </c>
      <c r="B37" s="1302" t="s">
        <v>27</v>
      </c>
      <c r="C37" s="1303">
        <v>0</v>
      </c>
      <c r="D37" s="1303">
        <v>0</v>
      </c>
      <c r="E37" s="1303">
        <v>0</v>
      </c>
      <c r="F37" s="1303">
        <v>0</v>
      </c>
    </row>
    <row r="38" spans="1:6">
      <c r="A38" s="1302" t="s">
        <v>24</v>
      </c>
      <c r="B38" s="1302" t="s">
        <v>28</v>
      </c>
      <c r="C38" s="1303">
        <v>0</v>
      </c>
      <c r="D38" s="1303">
        <v>0</v>
      </c>
      <c r="E38" s="1303">
        <v>1</v>
      </c>
      <c r="F38" s="1303">
        <v>3729</v>
      </c>
    </row>
    <row r="39" spans="1:6">
      <c r="A39" s="1302" t="s">
        <v>29</v>
      </c>
      <c r="B39" s="1302" t="s">
        <v>30</v>
      </c>
      <c r="C39" s="1303">
        <v>582</v>
      </c>
      <c r="D39" s="1303">
        <v>9371749</v>
      </c>
      <c r="E39" s="1303">
        <v>2542</v>
      </c>
      <c r="F39" s="1303">
        <v>11325072</v>
      </c>
    </row>
    <row r="40" spans="1:6">
      <c r="A40" s="1302" t="s">
        <v>29</v>
      </c>
      <c r="B40" s="1302" t="s">
        <v>28</v>
      </c>
      <c r="C40" s="1303">
        <v>0</v>
      </c>
      <c r="D40" s="1303">
        <v>0</v>
      </c>
      <c r="E40" s="1303">
        <v>0</v>
      </c>
      <c r="F40" s="1303">
        <v>0</v>
      </c>
    </row>
    <row r="41" spans="1:6">
      <c r="A41" s="1302" t="s">
        <v>31</v>
      </c>
      <c r="B41" s="1302" t="s">
        <v>32</v>
      </c>
      <c r="C41" s="1303">
        <v>9</v>
      </c>
      <c r="D41" s="1303">
        <v>155308</v>
      </c>
      <c r="E41" s="1303">
        <v>56</v>
      </c>
      <c r="F41" s="1303">
        <v>484684</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7</v>
      </c>
      <c r="F44" s="1303">
        <v>75934</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4</v>
      </c>
      <c r="F47" s="1303">
        <v>36136</v>
      </c>
    </row>
    <row r="48" spans="1:6">
      <c r="A48" s="1302" t="s">
        <v>31</v>
      </c>
      <c r="B48" s="1302" t="s">
        <v>28</v>
      </c>
      <c r="C48" s="1303">
        <v>1</v>
      </c>
      <c r="D48" s="1303">
        <v>36506</v>
      </c>
      <c r="E48" s="1303">
        <v>1</v>
      </c>
      <c r="F48" s="1303">
        <v>0</v>
      </c>
    </row>
    <row r="49" spans="1:6">
      <c r="A49" s="1302" t="s">
        <v>31</v>
      </c>
      <c r="B49" s="1302" t="s">
        <v>39</v>
      </c>
      <c r="C49" s="1303">
        <v>0</v>
      </c>
      <c r="D49" s="1303">
        <v>0</v>
      </c>
      <c r="E49" s="1303">
        <v>0</v>
      </c>
      <c r="F49" s="1303">
        <v>0</v>
      </c>
    </row>
    <row r="50" spans="1:6">
      <c r="A50" s="1302" t="s">
        <v>31</v>
      </c>
      <c r="B50" s="1302" t="s">
        <v>40</v>
      </c>
      <c r="C50" s="1303">
        <v>3</v>
      </c>
      <c r="D50" s="1303">
        <v>25820488</v>
      </c>
      <c r="E50" s="1303">
        <v>12</v>
      </c>
      <c r="F50" s="1303">
        <v>10620526</v>
      </c>
    </row>
    <row r="51" spans="1:6">
      <c r="A51" s="1302" t="s">
        <v>41</v>
      </c>
      <c r="B51" s="1302" t="s">
        <v>42</v>
      </c>
      <c r="C51" s="1303">
        <v>3</v>
      </c>
      <c r="D51" s="1303">
        <v>23463</v>
      </c>
      <c r="E51" s="1303">
        <v>94</v>
      </c>
      <c r="F51" s="1303">
        <v>820991</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2</v>
      </c>
      <c r="F54" s="1303">
        <v>562277</v>
      </c>
    </row>
    <row r="55" spans="1:6">
      <c r="A55" s="1302" t="s">
        <v>45</v>
      </c>
      <c r="B55" s="1302" t="s">
        <v>28</v>
      </c>
      <c r="C55" s="1303">
        <v>0</v>
      </c>
      <c r="D55" s="1303">
        <v>0</v>
      </c>
      <c r="E55" s="1303">
        <v>0</v>
      </c>
      <c r="F55" s="1303">
        <v>0</v>
      </c>
    </row>
    <row r="56" spans="1:6">
      <c r="A56" s="1302" t="s">
        <v>47</v>
      </c>
      <c r="B56" s="1302" t="s">
        <v>28</v>
      </c>
      <c r="C56" s="1303">
        <v>17</v>
      </c>
      <c r="D56" s="1303">
        <v>302915</v>
      </c>
      <c r="E56" s="1303">
        <v>65</v>
      </c>
      <c r="F56" s="1303">
        <v>280734</v>
      </c>
    </row>
    <row r="57" spans="1:6">
      <c r="A57" s="1302" t="s">
        <v>48</v>
      </c>
      <c r="B57" s="1302" t="s">
        <v>49</v>
      </c>
      <c r="C57" s="1303">
        <v>8</v>
      </c>
      <c r="D57" s="1303">
        <v>327705</v>
      </c>
      <c r="E57" s="1303">
        <v>35</v>
      </c>
      <c r="F57" s="1303">
        <v>283610</v>
      </c>
    </row>
    <row r="58" spans="1:6">
      <c r="A58" s="1302" t="s">
        <v>48</v>
      </c>
      <c r="B58" s="1302" t="s">
        <v>50</v>
      </c>
      <c r="C58" s="1303">
        <v>4</v>
      </c>
      <c r="D58" s="1303">
        <v>209472</v>
      </c>
      <c r="E58" s="1303">
        <v>12</v>
      </c>
      <c r="F58" s="1303">
        <v>395425</v>
      </c>
    </row>
    <row r="59" spans="1:6">
      <c r="A59" s="1302" t="s">
        <v>48</v>
      </c>
      <c r="B59" s="1302" t="s">
        <v>51</v>
      </c>
      <c r="C59" s="1303">
        <v>6</v>
      </c>
      <c r="D59" s="1303">
        <v>148754</v>
      </c>
      <c r="E59" s="1303">
        <v>63</v>
      </c>
      <c r="F59" s="1303">
        <v>1172945</v>
      </c>
    </row>
    <row r="60" spans="1:6">
      <c r="A60" s="1302" t="s">
        <v>48</v>
      </c>
      <c r="B60" s="1302" t="s">
        <v>52</v>
      </c>
      <c r="C60" s="1303">
        <v>13</v>
      </c>
      <c r="D60" s="1303">
        <v>471888</v>
      </c>
      <c r="E60" s="1303">
        <v>22</v>
      </c>
      <c r="F60" s="1303">
        <v>420287</v>
      </c>
    </row>
    <row r="61" spans="1:6">
      <c r="A61" s="1302" t="s">
        <v>48</v>
      </c>
      <c r="B61" s="1302" t="s">
        <v>53</v>
      </c>
      <c r="C61" s="1303">
        <v>19</v>
      </c>
      <c r="D61" s="1303">
        <v>664715</v>
      </c>
      <c r="E61" s="1303">
        <v>124</v>
      </c>
      <c r="F61" s="1303">
        <v>1188584</v>
      </c>
    </row>
    <row r="62" spans="1:6">
      <c r="A62" s="1302" t="s">
        <v>48</v>
      </c>
      <c r="B62" s="1302" t="s">
        <v>54</v>
      </c>
      <c r="C62" s="1303">
        <v>0</v>
      </c>
      <c r="D62" s="1303">
        <v>0</v>
      </c>
      <c r="E62" s="1303">
        <v>3</v>
      </c>
      <c r="F62" s="1303">
        <v>60040</v>
      </c>
    </row>
    <row r="63" spans="1:6">
      <c r="A63" s="1302" t="s">
        <v>48</v>
      </c>
      <c r="B63" s="1302" t="s">
        <v>28</v>
      </c>
      <c r="C63" s="1303">
        <v>1</v>
      </c>
      <c r="D63" s="1303">
        <v>151287</v>
      </c>
      <c r="E63" s="1303">
        <v>0</v>
      </c>
      <c r="F63" s="1303">
        <v>0</v>
      </c>
    </row>
    <row r="64" spans="1:6">
      <c r="A64" s="1302" t="s">
        <v>55</v>
      </c>
      <c r="B64" s="1302" t="s">
        <v>56</v>
      </c>
      <c r="C64" s="1303">
        <v>0</v>
      </c>
      <c r="D64" s="1303">
        <v>0</v>
      </c>
      <c r="E64" s="1303">
        <v>0</v>
      </c>
      <c r="F64" s="1303">
        <v>0</v>
      </c>
    </row>
    <row r="65" spans="1:6">
      <c r="A65" s="1302" t="s">
        <v>55</v>
      </c>
      <c r="B65" s="1302" t="s">
        <v>28</v>
      </c>
      <c r="C65" s="1303">
        <v>1</v>
      </c>
      <c r="D65" s="1303">
        <v>30872</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7</v>
      </c>
      <c r="F68" s="1305">
        <v>21814</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55762139</v>
      </c>
      <c r="E73" s="442"/>
      <c r="F73" s="324"/>
    </row>
    <row r="74" spans="1:6">
      <c r="A74" s="1302" t="s">
        <v>63</v>
      </c>
      <c r="B74" s="1302" t="s">
        <v>695</v>
      </c>
      <c r="C74" s="1315" t="s">
        <v>697</v>
      </c>
      <c r="D74" s="1303">
        <v>3856711.0837087752</v>
      </c>
      <c r="E74" s="442"/>
      <c r="F74" s="324"/>
    </row>
    <row r="75" spans="1:6">
      <c r="A75" s="1302" t="s">
        <v>64</v>
      </c>
      <c r="B75" s="1302" t="s">
        <v>694</v>
      </c>
      <c r="C75" s="1315" t="s">
        <v>698</v>
      </c>
      <c r="D75" s="1303">
        <v>8042409</v>
      </c>
      <c r="E75" s="442"/>
      <c r="F75" s="324"/>
    </row>
    <row r="76" spans="1:6">
      <c r="A76" s="1302" t="s">
        <v>64</v>
      </c>
      <c r="B76" s="1302" t="s">
        <v>695</v>
      </c>
      <c r="C76" s="1315" t="s">
        <v>699</v>
      </c>
      <c r="D76" s="1303">
        <v>212485.08370877535</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106065.83258244932</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1112.2686748153731</v>
      </c>
      <c r="C91" s="324"/>
      <c r="D91" s="324"/>
      <c r="E91" s="324"/>
      <c r="F91" s="324"/>
    </row>
    <row r="92" spans="1:6">
      <c r="A92" s="1297" t="s">
        <v>68</v>
      </c>
      <c r="B92" s="1298">
        <v>95.455368742306263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127</v>
      </c>
      <c r="C97" s="324"/>
      <c r="D97" s="324"/>
      <c r="E97" s="324"/>
      <c r="F97" s="324"/>
    </row>
    <row r="98" spans="1:6">
      <c r="A98" s="1302" t="s">
        <v>71</v>
      </c>
      <c r="B98" s="1303">
        <v>2</v>
      </c>
      <c r="C98" s="324"/>
      <c r="D98" s="324"/>
      <c r="E98" s="324"/>
      <c r="F98" s="324"/>
    </row>
    <row r="99" spans="1:6">
      <c r="A99" s="1302" t="s">
        <v>72</v>
      </c>
      <c r="B99" s="1303">
        <v>102</v>
      </c>
      <c r="C99" s="324"/>
      <c r="D99" s="324"/>
      <c r="E99" s="324"/>
      <c r="F99" s="324"/>
    </row>
    <row r="100" spans="1:6">
      <c r="A100" s="1302" t="s">
        <v>73</v>
      </c>
      <c r="B100" s="1303">
        <v>176</v>
      </c>
      <c r="C100" s="324"/>
      <c r="D100" s="324"/>
      <c r="E100" s="324"/>
      <c r="F100" s="324"/>
    </row>
    <row r="101" spans="1:6">
      <c r="A101" s="1302" t="s">
        <v>74</v>
      </c>
      <c r="B101" s="1303">
        <v>76</v>
      </c>
      <c r="C101" s="324"/>
      <c r="D101" s="324"/>
      <c r="E101" s="324"/>
      <c r="F101" s="324"/>
    </row>
    <row r="102" spans="1:6">
      <c r="A102" s="1302" t="s">
        <v>75</v>
      </c>
      <c r="B102" s="1303">
        <v>26</v>
      </c>
      <c r="C102" s="324"/>
      <c r="D102" s="324"/>
      <c r="E102" s="324"/>
      <c r="F102" s="324"/>
    </row>
    <row r="103" spans="1:6">
      <c r="A103" s="1302" t="s">
        <v>76</v>
      </c>
      <c r="B103" s="1303">
        <v>110</v>
      </c>
      <c r="C103" s="324"/>
      <c r="D103" s="324"/>
      <c r="E103" s="324"/>
      <c r="F103" s="324"/>
    </row>
    <row r="104" spans="1:6">
      <c r="A104" s="1302" t="s">
        <v>77</v>
      </c>
      <c r="B104" s="1303">
        <v>1712</v>
      </c>
      <c r="C104" s="324"/>
      <c r="D104" s="324"/>
      <c r="E104" s="324"/>
      <c r="F104" s="324"/>
    </row>
    <row r="105" spans="1:6">
      <c r="A105" s="1297" t="s">
        <v>78</v>
      </c>
      <c r="B105" s="130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7</v>
      </c>
      <c r="C123" s="1303">
        <v>4</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40</v>
      </c>
      <c r="C129" s="324"/>
      <c r="D129" s="324"/>
      <c r="E129" s="324"/>
      <c r="F129" s="324"/>
    </row>
    <row r="130" spans="1:6">
      <c r="A130" s="1302" t="s">
        <v>284</v>
      </c>
      <c r="B130" s="1303">
        <v>1</v>
      </c>
      <c r="C130" s="324"/>
      <c r="D130" s="324"/>
      <c r="E130" s="324"/>
      <c r="F130" s="324"/>
    </row>
    <row r="131" spans="1:6">
      <c r="A131" s="1302" t="s">
        <v>285</v>
      </c>
      <c r="B131" s="1303">
        <v>0</v>
      </c>
      <c r="C131" s="324"/>
      <c r="D131" s="324"/>
      <c r="E131" s="324"/>
      <c r="F131" s="324"/>
    </row>
    <row r="132" spans="1:6">
      <c r="A132" s="1297" t="s">
        <v>286</v>
      </c>
      <c r="B132" s="1298">
        <v>9</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28850.209196081589</v>
      </c>
      <c r="C3" s="43" t="s">
        <v>163</v>
      </c>
      <c r="D3" s="43"/>
      <c r="E3" s="154"/>
      <c r="F3" s="43"/>
      <c r="G3" s="43"/>
      <c r="H3" s="43"/>
      <c r="I3" s="43"/>
      <c r="J3" s="43"/>
      <c r="K3" s="96"/>
    </row>
    <row r="4" spans="1:11">
      <c r="A4" s="351" t="s">
        <v>164</v>
      </c>
      <c r="B4" s="49">
        <f>IF(ISERROR('SEAP template'!B78+'SEAP template'!C78),0,'SEAP template'!B78+'SEAP template'!C78)</f>
        <v>1207.7240435576794</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0.2117485241506499</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562.27700000000004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562.27700000000004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0.2117485241506499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119.06132491385499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11325.072</v>
      </c>
      <c r="C5" s="17">
        <f>IF(ISERROR('Eigen informatie GS &amp; warmtenet'!B57),0,'Eigen informatie GS &amp; warmtenet'!B57)</f>
        <v>0</v>
      </c>
      <c r="D5" s="30">
        <f>(SUM(HH_hh_gas_kWh,HH_rest_gas_kWh)/1000)*0.902</f>
        <v>8453.3175979999996</v>
      </c>
      <c r="E5" s="17">
        <f>B32*B41</f>
        <v>1006.205794905198</v>
      </c>
      <c r="F5" s="17">
        <f>B36*B45</f>
        <v>31742.653663101832</v>
      </c>
      <c r="G5" s="18"/>
      <c r="H5" s="17"/>
      <c r="I5" s="17"/>
      <c r="J5" s="17">
        <f>B35*B44+C35*C44</f>
        <v>740.23748429995385</v>
      </c>
      <c r="K5" s="17"/>
      <c r="L5" s="17"/>
      <c r="M5" s="17"/>
      <c r="N5" s="17">
        <f>B34*B43+C34*C43</f>
        <v>3311.5019383388881</v>
      </c>
      <c r="O5" s="17">
        <f>B52*B53*B54</f>
        <v>68.786666666666676</v>
      </c>
      <c r="P5" s="17">
        <f>B60*B61*B62/1000-B60*B61*B62/1000/B63</f>
        <v>305.06666666666666</v>
      </c>
    </row>
    <row r="6" spans="1:16">
      <c r="A6" s="16" t="s">
        <v>618</v>
      </c>
      <c r="B6" s="755">
        <f>kWh_PV_kleiner_dan_10kW</f>
        <v>1112.2686748153731</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12437.340674815374</v>
      </c>
      <c r="C8" s="21">
        <f>C5</f>
        <v>0</v>
      </c>
      <c r="D8" s="21">
        <f>D5</f>
        <v>8453.3175979999996</v>
      </c>
      <c r="E8" s="21">
        <f>E5</f>
        <v>1006.205794905198</v>
      </c>
      <c r="F8" s="21">
        <f>F5</f>
        <v>31742.653663101832</v>
      </c>
      <c r="G8" s="21"/>
      <c r="H8" s="21"/>
      <c r="I8" s="21"/>
      <c r="J8" s="21">
        <f>J5</f>
        <v>740.23748429995385</v>
      </c>
      <c r="K8" s="21"/>
      <c r="L8" s="21">
        <f>L5</f>
        <v>0</v>
      </c>
      <c r="M8" s="21">
        <f>M5</f>
        <v>0</v>
      </c>
      <c r="N8" s="21">
        <f>N5</f>
        <v>3311.5019383388881</v>
      </c>
      <c r="O8" s="21">
        <f>O5</f>
        <v>68.786666666666676</v>
      </c>
      <c r="P8" s="21">
        <f>P5</f>
        <v>305.06666666666666</v>
      </c>
    </row>
    <row r="9" spans="1:16">
      <c r="B9" s="19"/>
      <c r="C9" s="19"/>
      <c r="D9" s="254"/>
      <c r="E9" s="19"/>
      <c r="F9" s="19"/>
      <c r="G9" s="19"/>
      <c r="H9" s="19"/>
      <c r="I9" s="19"/>
      <c r="J9" s="19"/>
      <c r="K9" s="19"/>
      <c r="L9" s="19"/>
      <c r="M9" s="19"/>
      <c r="N9" s="19"/>
      <c r="O9" s="19"/>
      <c r="P9" s="19"/>
    </row>
    <row r="10" spans="1:16">
      <c r="A10" s="24" t="s">
        <v>207</v>
      </c>
      <c r="B10" s="25">
        <f ca="1">'EF ele_warmte'!B12</f>
        <v>0.2117485241506499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2633.5885322510035</v>
      </c>
      <c r="C12" s="23">
        <f ca="1">C10*C8</f>
        <v>0</v>
      </c>
      <c r="D12" s="23">
        <f>D8*D10</f>
        <v>1707.570154796</v>
      </c>
      <c r="E12" s="23">
        <f>E10*E8</f>
        <v>228.40871544347996</v>
      </c>
      <c r="F12" s="23">
        <f>F10*F8</f>
        <v>8475.2885280481896</v>
      </c>
      <c r="G12" s="23"/>
      <c r="H12" s="23"/>
      <c r="I12" s="23"/>
      <c r="J12" s="23">
        <f>J10*J8</f>
        <v>262.04406944218363</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2568</v>
      </c>
      <c r="C26" s="36"/>
      <c r="D26" s="225"/>
    </row>
    <row r="27" spans="1:5" s="15" customFormat="1">
      <c r="A27" s="227" t="s">
        <v>721</v>
      </c>
      <c r="B27" s="37">
        <f>SUM(HH_hh_gas_aantal,HH_rest_gas_aantal)</f>
        <v>582</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552.9</v>
      </c>
      <c r="C31" s="34" t="s">
        <v>104</v>
      </c>
      <c r="D31" s="171"/>
    </row>
    <row r="32" spans="1:5">
      <c r="A32" s="168" t="s">
        <v>72</v>
      </c>
      <c r="B32" s="33">
        <f>IF((B21*($B$26-($B$27-0.05*$B$27)-$B$60))&lt;0,0,B21*($B$26-($B$27-0.05*$B$27)-$B$60))</f>
        <v>12.604766200804761</v>
      </c>
      <c r="C32" s="34" t="s">
        <v>104</v>
      </c>
      <c r="D32" s="171"/>
    </row>
    <row r="33" spans="1:6">
      <c r="A33" s="168" t="s">
        <v>73</v>
      </c>
      <c r="B33" s="33">
        <f>IF((B22*($B$26-($B$27-0.05*$B$27)-$B$60))&lt;0,0,B22*($B$26-($B$27-0.05*$B$27)-$B$60))</f>
        <v>438.94374862897803</v>
      </c>
      <c r="C33" s="34" t="s">
        <v>104</v>
      </c>
      <c r="D33" s="171"/>
    </row>
    <row r="34" spans="1:6">
      <c r="A34" s="168" t="s">
        <v>74</v>
      </c>
      <c r="B34" s="33">
        <f>IF((B24*($B$26-($B$27-0.05*$B$27)-$B$60))&lt;0,0,B24*($B$26-($B$27-0.05*$B$27)-$B$60))</f>
        <v>87.128392248329575</v>
      </c>
      <c r="C34" s="33">
        <f>B26*C24</f>
        <v>525.41198446611338</v>
      </c>
      <c r="D34" s="230"/>
    </row>
    <row r="35" spans="1:6">
      <c r="A35" s="168" t="s">
        <v>76</v>
      </c>
      <c r="B35" s="33">
        <f>IF((B19*($B$26-($B$27-0.05*$B$27)-$B$60))&lt;0,0,B19*($B$26-($B$27-0.05*$B$27)-$B$60))</f>
        <v>42.567174568247083</v>
      </c>
      <c r="C35" s="33">
        <f>B35/2</f>
        <v>21.283587284123541</v>
      </c>
      <c r="D35" s="230"/>
    </row>
    <row r="36" spans="1:6">
      <c r="A36" s="168" t="s">
        <v>77</v>
      </c>
      <c r="B36" s="33">
        <f>IF((B18*($B$26-($B$27-0.05*$B$27)-$B$60))&lt;0,0,B18*($B$26-($B$27-0.05*$B$27)-$B$60))</f>
        <v>1417.8559183536411</v>
      </c>
      <c r="C36" s="34" t="s">
        <v>104</v>
      </c>
      <c r="D36" s="171"/>
    </row>
    <row r="37" spans="1:6">
      <c r="A37" s="168" t="s">
        <v>78</v>
      </c>
      <c r="B37" s="33">
        <f>B60</f>
        <v>16</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44</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16</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3520.8910000000001</v>
      </c>
      <c r="C5" s="17">
        <f>IF(ISERROR('Eigen informatie GS &amp; warmtenet'!B58),0,'Eigen informatie GS &amp; warmtenet'!B58)</f>
        <v>0</v>
      </c>
      <c r="D5" s="30">
        <f>SUM(D6:D12)</f>
        <v>1780.386542</v>
      </c>
      <c r="E5" s="17">
        <f>SUM(E6:E12)</f>
        <v>35.012615800979809</v>
      </c>
      <c r="F5" s="17">
        <f>SUM(F6:F12)</f>
        <v>503.80951980042772</v>
      </c>
      <c r="G5" s="18"/>
      <c r="H5" s="17"/>
      <c r="I5" s="17"/>
      <c r="J5" s="17">
        <f>SUM(J6:J12)</f>
        <v>0</v>
      </c>
      <c r="K5" s="17"/>
      <c r="L5" s="17"/>
      <c r="M5" s="17"/>
      <c r="N5" s="17">
        <f>SUM(N6:N12)</f>
        <v>224.55048464851043</v>
      </c>
      <c r="O5" s="17">
        <f>B38*B39*B40</f>
        <v>1.5633333333333335</v>
      </c>
      <c r="P5" s="17">
        <f>B46*B47*B48/1000-B46*B47*B48/1000/B49</f>
        <v>0</v>
      </c>
      <c r="R5" s="32"/>
    </row>
    <row r="6" spans="1:18">
      <c r="A6" s="32" t="s">
        <v>53</v>
      </c>
      <c r="B6" s="37">
        <f>B26</f>
        <v>1188.5840000000001</v>
      </c>
      <c r="C6" s="33"/>
      <c r="D6" s="37">
        <f>IF(ISERROR(TER_kantoor_gas_kWh/1000),0,TER_kantoor_gas_kWh/1000)*0.902</f>
        <v>599.57293000000004</v>
      </c>
      <c r="E6" s="33">
        <f>$C$26*'E Balans VL '!I12/100/3.6*1000000</f>
        <v>3.4435022380000104</v>
      </c>
      <c r="F6" s="33">
        <f>$C$26*('E Balans VL '!L12+'E Balans VL '!N12)/100/3.6*1000000</f>
        <v>134.52152226417644</v>
      </c>
      <c r="G6" s="34"/>
      <c r="H6" s="33"/>
      <c r="I6" s="33"/>
      <c r="J6" s="33">
        <f>$C$26*('E Balans VL '!D12+'E Balans VL '!E12)/100/3.6*1000000</f>
        <v>0</v>
      </c>
      <c r="K6" s="33"/>
      <c r="L6" s="33"/>
      <c r="M6" s="33"/>
      <c r="N6" s="33">
        <f>$C$26*'E Balans VL '!Y12/100/3.6*1000000</f>
        <v>11.896850052205952</v>
      </c>
      <c r="O6" s="33"/>
      <c r="P6" s="33"/>
      <c r="R6" s="32"/>
    </row>
    <row r="7" spans="1:18">
      <c r="A7" s="32" t="s">
        <v>52</v>
      </c>
      <c r="B7" s="37">
        <f t="shared" ref="B7:B12" si="0">B27</f>
        <v>420.28699999999998</v>
      </c>
      <c r="C7" s="33"/>
      <c r="D7" s="37">
        <f>IF(ISERROR(TER_horeca_gas_kWh/1000),0,TER_horeca_gas_kWh/1000)*0.902</f>
        <v>425.64297599999998</v>
      </c>
      <c r="E7" s="33">
        <f>$C$27*'E Balans VL '!I9/100/3.6*1000000</f>
        <v>17.642474001329848</v>
      </c>
      <c r="F7" s="33">
        <f>$C$27*('E Balans VL '!L9+'E Balans VL '!N9)/100/3.6*1000000</f>
        <v>90.307280746678671</v>
      </c>
      <c r="G7" s="34"/>
      <c r="H7" s="33"/>
      <c r="I7" s="33"/>
      <c r="J7" s="33">
        <f>$C$27*('E Balans VL '!D9+'E Balans VL '!E9)/100/3.6*1000000</f>
        <v>0</v>
      </c>
      <c r="K7" s="33"/>
      <c r="L7" s="33"/>
      <c r="M7" s="33"/>
      <c r="N7" s="33">
        <f>$C$27*'E Balans VL '!Y9/100/3.6*1000000</f>
        <v>0.10830428435684615</v>
      </c>
      <c r="O7" s="33"/>
      <c r="P7" s="33"/>
      <c r="R7" s="32"/>
    </row>
    <row r="8" spans="1:18">
      <c r="A8" s="6" t="s">
        <v>51</v>
      </c>
      <c r="B8" s="37">
        <f t="shared" si="0"/>
        <v>1172.9449999999999</v>
      </c>
      <c r="C8" s="33"/>
      <c r="D8" s="37">
        <f>IF(ISERROR(TER_handel_gas_kWh/1000),0,TER_handel_gas_kWh/1000)*0.902</f>
        <v>134.176108</v>
      </c>
      <c r="E8" s="33">
        <f>$C$28*'E Balans VL '!I13/100/3.6*1000000</f>
        <v>12.59840551437305</v>
      </c>
      <c r="F8" s="33">
        <f>$C$28*('E Balans VL '!L13+'E Balans VL '!N13)/100/3.6*1000000</f>
        <v>151.84741623013551</v>
      </c>
      <c r="G8" s="34"/>
      <c r="H8" s="33"/>
      <c r="I8" s="33"/>
      <c r="J8" s="33">
        <f>$C$28*('E Balans VL '!D13+'E Balans VL '!E13)/100/3.6*1000000</f>
        <v>0</v>
      </c>
      <c r="K8" s="33"/>
      <c r="L8" s="33"/>
      <c r="M8" s="33"/>
      <c r="N8" s="33">
        <f>$C$28*'E Balans VL '!Y13/100/3.6*1000000</f>
        <v>9.5149938855816707</v>
      </c>
      <c r="O8" s="33"/>
      <c r="P8" s="33"/>
      <c r="R8" s="32"/>
    </row>
    <row r="9" spans="1:18">
      <c r="A9" s="32" t="s">
        <v>50</v>
      </c>
      <c r="B9" s="37">
        <f t="shared" si="0"/>
        <v>395.42500000000001</v>
      </c>
      <c r="C9" s="33"/>
      <c r="D9" s="37">
        <f>IF(ISERROR(TER_gezond_gas_kWh/1000),0,TER_gezond_gas_kWh/1000)*0.902</f>
        <v>188.94374400000001</v>
      </c>
      <c r="E9" s="33">
        <f>$C$29*'E Balans VL '!I10/100/3.6*1000000</f>
        <v>0.31478387540381464</v>
      </c>
      <c r="F9" s="33">
        <f>$C$29*('E Balans VL '!L10+'E Balans VL '!N10)/100/3.6*1000000</f>
        <v>48.069623155948854</v>
      </c>
      <c r="G9" s="34"/>
      <c r="H9" s="33"/>
      <c r="I9" s="33"/>
      <c r="J9" s="33">
        <f>$C$29*('E Balans VL '!D10+'E Balans VL '!E10)/100/3.6*1000000</f>
        <v>0</v>
      </c>
      <c r="K9" s="33"/>
      <c r="L9" s="33"/>
      <c r="M9" s="33"/>
      <c r="N9" s="33">
        <f>$C$29*'E Balans VL '!Y10/100/3.6*1000000</f>
        <v>3.1941383890294341</v>
      </c>
      <c r="O9" s="33"/>
      <c r="P9" s="33"/>
      <c r="R9" s="32"/>
    </row>
    <row r="10" spans="1:18">
      <c r="A10" s="32" t="s">
        <v>49</v>
      </c>
      <c r="B10" s="37">
        <f t="shared" si="0"/>
        <v>283.61</v>
      </c>
      <c r="C10" s="33"/>
      <c r="D10" s="37">
        <f>IF(ISERROR(TER_ander_gas_kWh/1000),0,TER_ander_gas_kWh/1000)*0.902</f>
        <v>295.58990999999997</v>
      </c>
      <c r="E10" s="33">
        <f>$C$30*'E Balans VL '!I14/100/3.6*1000000</f>
        <v>0.97194636895956277</v>
      </c>
      <c r="F10" s="33">
        <f>$C$30*('E Balans VL '!L14+'E Balans VL '!N14)/100/3.6*1000000</f>
        <v>63.346949447152014</v>
      </c>
      <c r="G10" s="34"/>
      <c r="H10" s="33"/>
      <c r="I10" s="33"/>
      <c r="J10" s="33">
        <f>$C$30*('E Balans VL '!D14+'E Balans VL '!E14)/100/3.6*1000000</f>
        <v>0</v>
      </c>
      <c r="K10" s="33"/>
      <c r="L10" s="33"/>
      <c r="M10" s="33"/>
      <c r="N10" s="33">
        <f>$C$30*'E Balans VL '!Y14/100/3.6*1000000</f>
        <v>199.7764333311448</v>
      </c>
      <c r="O10" s="33"/>
      <c r="P10" s="33"/>
      <c r="R10" s="32"/>
    </row>
    <row r="11" spans="1:18">
      <c r="A11" s="32" t="s">
        <v>54</v>
      </c>
      <c r="B11" s="37">
        <f t="shared" si="0"/>
        <v>60.04</v>
      </c>
      <c r="C11" s="33"/>
      <c r="D11" s="37">
        <f>IF(ISERROR(TER_onderwijs_gas_kWh/1000),0,TER_onderwijs_gas_kWh/1000)*0.902</f>
        <v>0</v>
      </c>
      <c r="E11" s="33">
        <f>$C$31*'E Balans VL '!I11/100/3.6*1000000</f>
        <v>4.1503802913525407E-2</v>
      </c>
      <c r="F11" s="33">
        <f>$C$31*('E Balans VL '!L11+'E Balans VL '!N11)/100/3.6*1000000</f>
        <v>15.716727956336205</v>
      </c>
      <c r="G11" s="34"/>
      <c r="H11" s="33"/>
      <c r="I11" s="33"/>
      <c r="J11" s="33">
        <f>$C$31*('E Balans VL '!D11+'E Balans VL '!E11)/100/3.6*1000000</f>
        <v>0</v>
      </c>
      <c r="K11" s="33"/>
      <c r="L11" s="33"/>
      <c r="M11" s="33"/>
      <c r="N11" s="33">
        <f>$C$31*'E Balans VL '!Y11/100/3.6*1000000</f>
        <v>5.9764706191719287E-2</v>
      </c>
      <c r="O11" s="33"/>
      <c r="P11" s="33"/>
      <c r="R11" s="32"/>
    </row>
    <row r="12" spans="1:18">
      <c r="A12" s="32" t="s">
        <v>249</v>
      </c>
      <c r="B12" s="37">
        <f t="shared" si="0"/>
        <v>0</v>
      </c>
      <c r="C12" s="33"/>
      <c r="D12" s="37">
        <f>IF(ISERROR(TER_rest_gas_kWh/1000),0,TER_rest_gas_kWh/1000)*0.902</f>
        <v>136.46087400000002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3520.8910000000001</v>
      </c>
      <c r="C16" s="21">
        <f t="shared" ca="1" si="1"/>
        <v>0</v>
      </c>
      <c r="D16" s="21">
        <f t="shared" ca="1" si="1"/>
        <v>1780.386542</v>
      </c>
      <c r="E16" s="21">
        <f t="shared" si="1"/>
        <v>35.012615800979809</v>
      </c>
      <c r="F16" s="21">
        <f t="shared" ca="1" si="1"/>
        <v>503.80951980042772</v>
      </c>
      <c r="G16" s="21">
        <f t="shared" si="1"/>
        <v>0</v>
      </c>
      <c r="H16" s="21">
        <f t="shared" si="1"/>
        <v>0</v>
      </c>
      <c r="I16" s="21">
        <f t="shared" si="1"/>
        <v>0</v>
      </c>
      <c r="J16" s="21">
        <f t="shared" si="1"/>
        <v>0</v>
      </c>
      <c r="K16" s="21">
        <f t="shared" si="1"/>
        <v>0</v>
      </c>
      <c r="L16" s="21">
        <f t="shared" ca="1" si="1"/>
        <v>0</v>
      </c>
      <c r="M16" s="21">
        <f t="shared" si="1"/>
        <v>0</v>
      </c>
      <c r="N16" s="21">
        <f t="shared" ca="1" si="1"/>
        <v>224.55048464851043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0.2117485241506499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745.54347294530589</v>
      </c>
      <c r="C20" s="23">
        <f t="shared" ref="C20:P20" ca="1" si="2">C16*C18</f>
        <v>0</v>
      </c>
      <c r="D20" s="23">
        <f t="shared" ca="1" si="2"/>
        <v>359.638081484</v>
      </c>
      <c r="E20" s="23">
        <f t="shared" si="2"/>
        <v>7.9478637868224169</v>
      </c>
      <c r="F20" s="23">
        <f t="shared" ca="1" si="2"/>
        <v>134.51714178671421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1188.5840000000001</v>
      </c>
      <c r="C26" s="39">
        <f>IF(ISERROR(B26*3.6/1000000/'E Balans VL '!Z12*100),0,B26*3.6/1000000/'E Balans VL '!Z12*100)</f>
        <v>2.6108621700706661E-2</v>
      </c>
      <c r="D26" s="233" t="s">
        <v>676</v>
      </c>
      <c r="F26" s="6"/>
    </row>
    <row r="27" spans="1:18">
      <c r="A27" s="228" t="s">
        <v>52</v>
      </c>
      <c r="B27" s="33">
        <f>IF(ISERROR(TER_horeca_ele_kWh/1000),0,TER_horeca_ele_kWh/1000)</f>
        <v>420.28699999999998</v>
      </c>
      <c r="C27" s="39">
        <f>IF(ISERROR(B27*3.6/1000000/'E Balans VL '!Z9*100),0,B27*3.6/1000000/'E Balans VL '!Z9*100)</f>
        <v>3.3774249920298163E-2</v>
      </c>
      <c r="D27" s="233" t="s">
        <v>676</v>
      </c>
      <c r="F27" s="6"/>
    </row>
    <row r="28" spans="1:18">
      <c r="A28" s="168" t="s">
        <v>51</v>
      </c>
      <c r="B28" s="33">
        <f>IF(ISERROR(TER_handel_ele_kWh/1000),0,TER_handel_ele_kWh/1000)</f>
        <v>1172.9449999999999</v>
      </c>
      <c r="C28" s="39">
        <f>IF(ISERROR(B28*3.6/1000000/'E Balans VL '!Z13*100),0,B28*3.6/1000000/'E Balans VL '!Z13*100)</f>
        <v>3.468316421341764E-2</v>
      </c>
      <c r="D28" s="233" t="s">
        <v>676</v>
      </c>
      <c r="F28" s="6"/>
    </row>
    <row r="29" spans="1:18">
      <c r="A29" s="228" t="s">
        <v>50</v>
      </c>
      <c r="B29" s="33">
        <f>IF(ISERROR(TER_gezond_ele_kWh/1000),0,TER_gezond_ele_kWh/1000)</f>
        <v>395.42500000000001</v>
      </c>
      <c r="C29" s="39">
        <f>IF(ISERROR(B29*3.6/1000000/'E Balans VL '!Z10*100),0,B29*3.6/1000000/'E Balans VL '!Z10*100)</f>
        <v>4.4554188526423295E-2</v>
      </c>
      <c r="D29" s="233" t="s">
        <v>676</v>
      </c>
      <c r="F29" s="6"/>
    </row>
    <row r="30" spans="1:18">
      <c r="A30" s="228" t="s">
        <v>49</v>
      </c>
      <c r="B30" s="33">
        <f>IF(ISERROR(TER_ander_ele_kWh/1000),0,TER_ander_ele_kWh/1000)</f>
        <v>283.61</v>
      </c>
      <c r="C30" s="39">
        <f>IF(ISERROR(B30*3.6/1000000/'E Balans VL '!Z14*100),0,B30*3.6/1000000/'E Balans VL '!Z14*100)</f>
        <v>2.1448939490603874E-2</v>
      </c>
      <c r="D30" s="233" t="s">
        <v>676</v>
      </c>
      <c r="F30" s="6"/>
    </row>
    <row r="31" spans="1:18">
      <c r="A31" s="228" t="s">
        <v>54</v>
      </c>
      <c r="B31" s="33">
        <f>IF(ISERROR(TER_onderwijs_ele_kWh/1000),0,TER_onderwijs_ele_kWh/1000)</f>
        <v>60.04</v>
      </c>
      <c r="C31" s="39">
        <f>IF(ISERROR(B31*3.6/1000000/'E Balans VL '!Z11*100),0,B31*3.6/1000000/'E Balans VL '!Z11*100)</f>
        <v>1.2462910231235086E-2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11217.28</v>
      </c>
      <c r="C5" s="17">
        <f>IF(ISERROR('Eigen informatie GS &amp; warmtenet'!B59),0,'Eigen informatie GS &amp; warmtenet'!B59)</f>
        <v>0</v>
      </c>
      <c r="D5" s="30">
        <f>SUM(D6:D15)</f>
        <v>23463.096404000004</v>
      </c>
      <c r="E5" s="17">
        <f>SUM(E6:E15)</f>
        <v>243.51383469945057</v>
      </c>
      <c r="F5" s="17">
        <f>SUM(F6:F15)</f>
        <v>20468.637269758026</v>
      </c>
      <c r="G5" s="18"/>
      <c r="H5" s="17"/>
      <c r="I5" s="17"/>
      <c r="J5" s="17">
        <f>SUM(J6:J15)</f>
        <v>254.18393769840139</v>
      </c>
      <c r="K5" s="17"/>
      <c r="L5" s="17"/>
      <c r="M5" s="17"/>
      <c r="N5" s="17">
        <f>SUM(N6:N15)</f>
        <v>5641.7008584488476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75.933999999999997</v>
      </c>
      <c r="C8" s="33"/>
      <c r="D8" s="37">
        <f>IF( ISERROR(IND_metaal_Gas_kWH/1000),0,IND_metaal_Gas_kWH/1000)*0.902</f>
        <v>0</v>
      </c>
      <c r="E8" s="33">
        <f>C30*'E Balans VL '!I18/100/3.6*1000000</f>
        <v>1.9003622566936074</v>
      </c>
      <c r="F8" s="33">
        <f>C30*'E Balans VL '!L18/100/3.6*1000000+C30*'E Balans VL '!N18/100/3.6*1000000</f>
        <v>23.79809331514112</v>
      </c>
      <c r="G8" s="34"/>
      <c r="H8" s="33"/>
      <c r="I8" s="33"/>
      <c r="J8" s="40">
        <f>C30*'E Balans VL '!D18/100/3.6*1000000+C30*'E Balans VL '!E18/100/3.6*1000000</f>
        <v>0</v>
      </c>
      <c r="K8" s="33"/>
      <c r="L8" s="33"/>
      <c r="M8" s="33"/>
      <c r="N8" s="33">
        <f>C30*'E Balans VL '!Y18/100/3.6*1000000</f>
        <v>1.90765914591428</v>
      </c>
      <c r="O8" s="33"/>
      <c r="P8" s="33"/>
      <c r="R8" s="32"/>
    </row>
    <row r="9" spans="1:18">
      <c r="A9" s="6" t="s">
        <v>32</v>
      </c>
      <c r="B9" s="37">
        <f t="shared" si="0"/>
        <v>484.68400000000003</v>
      </c>
      <c r="C9" s="33"/>
      <c r="D9" s="37">
        <f>IF( ISERROR(IND_andere_gas_kWh/1000),0,IND_andere_gas_kWh/1000)*0.902</f>
        <v>140.087816</v>
      </c>
      <c r="E9" s="33">
        <f>C31*'E Balans VL '!I19/100/3.6*1000000</f>
        <v>133.26822065879438</v>
      </c>
      <c r="F9" s="33">
        <f>C31*'E Balans VL '!L19/100/3.6*1000000+C31*'E Balans VL '!N19/100/3.6*1000000</f>
        <v>382.01533307151692</v>
      </c>
      <c r="G9" s="34"/>
      <c r="H9" s="33"/>
      <c r="I9" s="33"/>
      <c r="J9" s="40">
        <f>C31*'E Balans VL '!D19/100/3.6*1000000+C31*'E Balans VL '!E19/100/3.6*1000000</f>
        <v>0</v>
      </c>
      <c r="K9" s="33"/>
      <c r="L9" s="33"/>
      <c r="M9" s="33"/>
      <c r="N9" s="33">
        <f>C31*'E Balans VL '!Y19/100/3.6*1000000</f>
        <v>39.046448466275322</v>
      </c>
      <c r="O9" s="33"/>
      <c r="P9" s="33"/>
      <c r="R9" s="32"/>
    </row>
    <row r="10" spans="1:18">
      <c r="A10" s="6" t="s">
        <v>40</v>
      </c>
      <c r="B10" s="37">
        <f t="shared" si="0"/>
        <v>10620.526</v>
      </c>
      <c r="C10" s="33"/>
      <c r="D10" s="37">
        <f>IF( ISERROR(IND_voed_gas_kWh/1000),0,IND_voed_gas_kWh/1000)*0.902</f>
        <v>23290.080176000003</v>
      </c>
      <c r="E10" s="33">
        <f>C32*'E Balans VL '!I20/100/3.6*1000000</f>
        <v>108.27041168884135</v>
      </c>
      <c r="F10" s="33">
        <f>C32*'E Balans VL '!L20/100/3.6*1000000+C32*'E Balans VL '!N20/100/3.6*1000000</f>
        <v>20062.107189021939</v>
      </c>
      <c r="G10" s="34"/>
      <c r="H10" s="33"/>
      <c r="I10" s="33"/>
      <c r="J10" s="40">
        <f>C32*'E Balans VL '!D20/100/3.6*1000000+C32*'E Balans VL '!E20/100/3.6*1000000</f>
        <v>254.18393769840139</v>
      </c>
      <c r="K10" s="33"/>
      <c r="L10" s="33"/>
      <c r="M10" s="33"/>
      <c r="N10" s="33">
        <f>C32*'E Balans VL '!Y20/100/3.6*1000000</f>
        <v>5598.240536585552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36.136000000000003</v>
      </c>
      <c r="C13" s="33"/>
      <c r="D13" s="37">
        <f>IF( ISERROR(IND_papier_gas_kWh/1000),0,IND_papier_gas_kWh/1000)*0.902</f>
        <v>0</v>
      </c>
      <c r="E13" s="33">
        <f>C35*'E Balans VL '!I23/100/3.6*1000000</f>
        <v>7.4840095121267006E-2</v>
      </c>
      <c r="F13" s="33">
        <f>C35*'E Balans VL '!L23/100/3.6*1000000+C35*'E Balans VL '!N23/100/3.6*1000000</f>
        <v>0.7166543494266695</v>
      </c>
      <c r="G13" s="34"/>
      <c r="H13" s="33"/>
      <c r="I13" s="33"/>
      <c r="J13" s="40">
        <f>C35*'E Balans VL '!D23/100/3.6*1000000+C35*'E Balans VL '!E23/100/3.6*1000000</f>
        <v>0</v>
      </c>
      <c r="K13" s="33"/>
      <c r="L13" s="33"/>
      <c r="M13" s="33"/>
      <c r="N13" s="33">
        <f>C35*'E Balans VL '!Y23/100/3.6*1000000</f>
        <v>2.5062142511057131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ISERROR(IND_rest_gas_kWh/1000),0,IND_rest_gas_kWh/1000)*0.902</f>
        <v>32.928412000000002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11217.28</v>
      </c>
      <c r="C18" s="21">
        <f>C5+C16</f>
        <v>0</v>
      </c>
      <c r="D18" s="21">
        <f>MAX((D5+D16),0)</f>
        <v>23463.096404000004</v>
      </c>
      <c r="E18" s="21">
        <f>MAX((E5+E16),0)</f>
        <v>243.51383469945057</v>
      </c>
      <c r="F18" s="21">
        <f>MAX((F5+F16),0)</f>
        <v>20468.637269758026</v>
      </c>
      <c r="G18" s="21"/>
      <c r="H18" s="21"/>
      <c r="I18" s="21"/>
      <c r="J18" s="21">
        <f>MAX((J5+J16),0)</f>
        <v>254.18393769840139</v>
      </c>
      <c r="K18" s="21"/>
      <c r="L18" s="21">
        <f>MAX((L5+L16),0)</f>
        <v>0</v>
      </c>
      <c r="M18" s="21"/>
      <c r="N18" s="21">
        <f>MAX((N5+N16),0)</f>
        <v>5641.7008584488476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0.2117485241506499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2375.2424849846025</v>
      </c>
      <c r="C22" s="23">
        <f ca="1">C18*C20</f>
        <v>0</v>
      </c>
      <c r="D22" s="23">
        <f>D18*D20</f>
        <v>4739.545473608001</v>
      </c>
      <c r="E22" s="23">
        <f>E18*E20</f>
        <v>55.277640476775282</v>
      </c>
      <c r="F22" s="23">
        <f>F18*F20</f>
        <v>5465.1261510253935</v>
      </c>
      <c r="G22" s="23"/>
      <c r="H22" s="23"/>
      <c r="I22" s="23"/>
      <c r="J22" s="23">
        <f>J18*J20</f>
        <v>89.981113945234085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75.933999999999997</v>
      </c>
      <c r="C30" s="39">
        <f>IF(ISERROR(B30*3.6/1000000/'E Balans VL '!Z18*100),0,B30*3.6/1000000/'E Balans VL '!Z18*100)</f>
        <v>1.0628229471494478E-2</v>
      </c>
      <c r="D30" s="233" t="s">
        <v>676</v>
      </c>
    </row>
    <row r="31" spans="1:18">
      <c r="A31" s="6" t="s">
        <v>32</v>
      </c>
      <c r="B31" s="37">
        <f>IF( ISERROR(IND_ander_ele_kWh/1000),0,IND_ander_ele_kWh/1000)</f>
        <v>484.68400000000003</v>
      </c>
      <c r="C31" s="39">
        <f>IF(ISERROR(B31*3.6/1000000/'E Balans VL '!Z19*100),0,B31*3.6/1000000/'E Balans VL '!Z19*100)</f>
        <v>2.1214540053084333E-2</v>
      </c>
      <c r="D31" s="233" t="s">
        <v>676</v>
      </c>
    </row>
    <row r="32" spans="1:18">
      <c r="A32" s="168" t="s">
        <v>40</v>
      </c>
      <c r="B32" s="37">
        <f>IF( ISERROR(IND_voed_ele_kWh/1000),0,IND_voed_ele_kWh/1000)</f>
        <v>10620.526</v>
      </c>
      <c r="C32" s="39">
        <f>IF(ISERROR(B32*3.6/1000000/'E Balans VL '!Z20*100),0,B32*3.6/1000000/'E Balans VL '!Z20*100)</f>
        <v>2.6292895473281575</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36.136000000000003</v>
      </c>
      <c r="C35" s="39">
        <f>IF(ISERROR(B35*3.6/1000000/'E Balans VL '!Z22*100),0,B35*3.6/1000000/'E Balans VL '!Z22*100)</f>
        <v>1.0253922530433816E-3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0</v>
      </c>
      <c r="C37" s="39">
        <f>IF(ISERROR(B37*3.6/1000000/'E Balans VL '!Z15*100),0,B37*3.6/1000000/'E Balans VL '!Z15*100)</f>
        <v>0</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820.99099999999999</v>
      </c>
      <c r="C5" s="17">
        <f>'Eigen informatie GS &amp; warmtenet'!B60</f>
        <v>0</v>
      </c>
      <c r="D5" s="30">
        <f>IF(ISERROR(SUM(LB_lb_gas_kWh,LB_rest_gas_kWh)/1000),0,SUM(LB_lb_gas_kWh,LB_rest_gas_kWh)/1000)*0.902</f>
        <v>21.163626000000001</v>
      </c>
      <c r="E5" s="17">
        <f>B17*'E Balans VL '!I25/3.6*1000000/100</f>
        <v>7.6043625046393162</v>
      </c>
      <c r="F5" s="17">
        <f>B17*('E Balans VL '!L25/3.6*1000000+'E Balans VL '!N25/3.6*1000000)/100</f>
        <v>2083.0105656250007</v>
      </c>
      <c r="G5" s="18"/>
      <c r="H5" s="17"/>
      <c r="I5" s="17"/>
      <c r="J5" s="17">
        <f>('E Balans VL '!D25+'E Balans VL '!E25)/3.6*1000000*landbouw!B17/100</f>
        <v>125.86708258630102</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820.99099999999999</v>
      </c>
      <c r="C8" s="21">
        <f>C5+C6</f>
        <v>0</v>
      </c>
      <c r="D8" s="21">
        <f>MAX((D5+D6),0)</f>
        <v>21.163626000000001</v>
      </c>
      <c r="E8" s="21">
        <f>MAX((E5+E6),0)</f>
        <v>7.6043625046393162</v>
      </c>
      <c r="F8" s="21">
        <f>MAX((F5+F6),0)</f>
        <v>2083.0105656250007</v>
      </c>
      <c r="G8" s="21"/>
      <c r="H8" s="21"/>
      <c r="I8" s="21"/>
      <c r="J8" s="21">
        <f>MAX((J5+J6),0)</f>
        <v>125.86708258630102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0.2117485241506499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173.84363259096622</v>
      </c>
      <c r="C12" s="23">
        <f ca="1">C8*C10</f>
        <v>0</v>
      </c>
      <c r="D12" s="23">
        <f>D8*D10</f>
        <v>4.2750524520000006</v>
      </c>
      <c r="E12" s="23">
        <f>E8*E10</f>
        <v>1.7261902885531248</v>
      </c>
      <c r="F12" s="23">
        <f>F8*F10</f>
        <v>556.16382102187526</v>
      </c>
      <c r="G12" s="23"/>
      <c r="H12" s="23"/>
      <c r="I12" s="23"/>
      <c r="J12" s="23">
        <f>J8*J10</f>
        <v>44.55694723555056</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0.11672751218184026</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339.99905115584897</v>
      </c>
      <c r="C26" s="243">
        <f>B26*'GWP N2O_CH4'!B5</f>
        <v>7139.9800742728285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55.691335940582078</v>
      </c>
      <c r="C27" s="243">
        <f>B27*'GWP N2O_CH4'!B5</f>
        <v>1169.5180547522236</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5.0597919244325373</v>
      </c>
      <c r="C28" s="243">
        <f>B28*'GWP N2O_CH4'!B4</f>
        <v>1568.5354965740867</v>
      </c>
      <c r="D28" s="50"/>
    </row>
    <row r="29" spans="1:4">
      <c r="A29" s="41" t="s">
        <v>266</v>
      </c>
      <c r="B29" s="243">
        <f>B34*'ha_N2O bodem landbouw'!B4</f>
        <v>22.381500345999687</v>
      </c>
      <c r="C29" s="243">
        <f>B29*'GWP N2O_CH4'!B4</f>
        <v>6938.2651072599028</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5.0197762257696696E-3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3.1444758336385697E-5</v>
      </c>
      <c r="C5" s="430" t="s">
        <v>204</v>
      </c>
      <c r="D5" s="415">
        <f>SUM(D6:D11)</f>
        <v>4.9294615563724172E-5</v>
      </c>
      <c r="E5" s="415">
        <f>SUM(E6:E11)</f>
        <v>4.8106410858528E-4</v>
      </c>
      <c r="F5" s="428" t="s">
        <v>204</v>
      </c>
      <c r="G5" s="415">
        <f>SUM(G6:G11)</f>
        <v>0.14718130606864119</v>
      </c>
      <c r="H5" s="415">
        <f>SUM(H6:H11)</f>
        <v>2.8472447334505175E-2</v>
      </c>
      <c r="I5" s="430" t="s">
        <v>204</v>
      </c>
      <c r="J5" s="430" t="s">
        <v>204</v>
      </c>
      <c r="K5" s="430" t="s">
        <v>204</v>
      </c>
      <c r="L5" s="430" t="s">
        <v>204</v>
      </c>
      <c r="M5" s="415">
        <f>SUM(M6:M11)</f>
        <v>9.4016441180119811E-3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2.6155194170614906E-5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3.9503185734393581E-5</v>
      </c>
      <c r="E6" s="858">
        <f>vkm_GW_PW*SUMIFS(TableVerdeelsleutelVkm[LPG],TableVerdeelsleutelVkm[Voertuigtype],"Lichte voertuigen")*SUMIFS(TableECFTransport[EnergieConsumptieFactor (PJ per km)],TableECFTransport[Index],CONCATENATE($A6,"_LPG_LPG"))</f>
        <v>3.8908700497872548E-4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8.9014933177046132E-2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2.2971438484804849E-2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5.8615270835031541E-3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9.4012117695115337E-7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3.6082242395438176E-2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6.8225850343463817E-7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2.0919663073298979E-3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4.2976471133586349E-6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9.7914298293305907E-6</v>
      </c>
      <c r="E8" s="418">
        <f>vkm_NGW_PW*SUMIFS(TableVerdeelsleutelVkm[LPG],TableVerdeelsleutelVkm[Voertuigtype],"Lichte voertuigen")*SUMIFS(TableECFTransport[EnergieConsumptieFactor (PJ per km)],TableECFTransport[Index],CONCATENATE($A8,"_LPG_LPG"))</f>
        <v>9.1977103606554533E-5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1.9529987493530066E-2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5.5002812203646259E-3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1.3000674171437369E-3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5.1795875461005225E-8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2.5541430026268029E-3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4.5370832265108656E-8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1.4808331003519166E-4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8.7346550934404714</v>
      </c>
      <c r="C14" s="21"/>
      <c r="D14" s="21">
        <f t="shared" ref="D14:M14" si="0">((D5)*10^9/3600)+D12</f>
        <v>13.692948767701159</v>
      </c>
      <c r="E14" s="21">
        <f t="shared" si="0"/>
        <v>133.62891905146668</v>
      </c>
      <c r="F14" s="21"/>
      <c r="G14" s="21">
        <f t="shared" si="0"/>
        <v>40883.696130178105</v>
      </c>
      <c r="H14" s="21">
        <f t="shared" si="0"/>
        <v>7909.0131484736594</v>
      </c>
      <c r="I14" s="21"/>
      <c r="J14" s="21"/>
      <c r="K14" s="21"/>
      <c r="L14" s="21"/>
      <c r="M14" s="21">
        <f t="shared" si="0"/>
        <v>2611.5678105588836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0.2117485241506499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1.8495503250009768</v>
      </c>
      <c r="C18" s="23"/>
      <c r="D18" s="23">
        <f t="shared" ref="D18:M18" si="1">D14*D16</f>
        <v>2.7659756510756344</v>
      </c>
      <c r="E18" s="23">
        <f t="shared" si="1"/>
        <v>30.333764624682939</v>
      </c>
      <c r="F18" s="23"/>
      <c r="G18" s="23">
        <f t="shared" si="1"/>
        <v>10915.946866757555</v>
      </c>
      <c r="H18" s="23">
        <f t="shared" si="1"/>
        <v>1969.3442739699412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7.0591182219821726E-6</v>
      </c>
      <c r="C50" s="313">
        <f t="shared" ref="C50:P50" si="2">SUM(C51:C52)</f>
        <v>0</v>
      </c>
      <c r="D50" s="313">
        <f t="shared" si="2"/>
        <v>0</v>
      </c>
      <c r="E50" s="313">
        <f t="shared" si="2"/>
        <v>0</v>
      </c>
      <c r="F50" s="313">
        <f t="shared" si="2"/>
        <v>0</v>
      </c>
      <c r="G50" s="313">
        <f t="shared" si="2"/>
        <v>1.3376097583638479E-3</v>
      </c>
      <c r="H50" s="313">
        <f t="shared" si="2"/>
        <v>0</v>
      </c>
      <c r="I50" s="313">
        <f t="shared" si="2"/>
        <v>0</v>
      </c>
      <c r="J50" s="313">
        <f t="shared" si="2"/>
        <v>0</v>
      </c>
      <c r="K50" s="313">
        <f t="shared" si="2"/>
        <v>0</v>
      </c>
      <c r="L50" s="313">
        <f t="shared" si="2"/>
        <v>0</v>
      </c>
      <c r="M50" s="313">
        <f t="shared" si="2"/>
        <v>7.70035667484889E-5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7.0591182219821726E-6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1.3376097583638479E-3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7.70035667484889E-5</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1.9608661727728258</v>
      </c>
      <c r="C54" s="21">
        <f t="shared" ref="C54:P54" si="3">(C50)*10^9/3600</f>
        <v>0</v>
      </c>
      <c r="D54" s="21">
        <f t="shared" si="3"/>
        <v>0</v>
      </c>
      <c r="E54" s="21">
        <f t="shared" si="3"/>
        <v>0</v>
      </c>
      <c r="F54" s="21">
        <f t="shared" si="3"/>
        <v>0</v>
      </c>
      <c r="G54" s="21">
        <f t="shared" si="3"/>
        <v>371.55826621217994</v>
      </c>
      <c r="H54" s="21">
        <f t="shared" si="3"/>
        <v>0</v>
      </c>
      <c r="I54" s="21">
        <f t="shared" si="3"/>
        <v>0</v>
      </c>
      <c r="J54" s="21">
        <f t="shared" si="3"/>
        <v>0</v>
      </c>
      <c r="K54" s="21">
        <f t="shared" si="3"/>
        <v>0</v>
      </c>
      <c r="L54" s="21">
        <f t="shared" si="3"/>
        <v>0</v>
      </c>
      <c r="M54" s="21">
        <f t="shared" si="3"/>
        <v>21.389879652358026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0.2117485241506499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0.41521051814157917</v>
      </c>
      <c r="C58" s="23">
        <f t="shared" ref="C58:P58" ca="1" si="4">C54*C56</f>
        <v>0</v>
      </c>
      <c r="D58" s="23">
        <f t="shared" si="4"/>
        <v>0</v>
      </c>
      <c r="E58" s="23">
        <f t="shared" si="4"/>
        <v>0</v>
      </c>
      <c r="F58" s="23">
        <f t="shared" si="4"/>
        <v>0</v>
      </c>
      <c r="G58" s="23">
        <f t="shared" si="4"/>
        <v>99.206057078652051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1207.7240435576794</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1207.7240435576794</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2021-11-11T13:09:10Z</dcterms:modified>
</cp:coreProperties>
</file>