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F268C85F-2D3D-4D4F-9DC9-E9DDD725975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I9" i="18"/>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<sst xmlns="http://schemas.openxmlformats.org/spreadsheetml/2006/main" count="2501" uniqueCount="922">
  <si>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</si>
  <si>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</si>
  <si>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</si>
  <si>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</si>
  <si>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</si>
  <si>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</si>
  <si>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</si>
  <si>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</si>
  <si>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</si>
  <si>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</si>
  <si>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</si>
  <si>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</si>
  <si>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</si>
  <si>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</si>
  <si>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</si>
  <si>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</si>
  <si>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</si>
  <si>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</si>
  <si>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</si>
  <si>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</si>
  <si>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</si>
  <si>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</si>
  <si>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</si>
  <si>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</si>
  <si>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</si>
  <si>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</si>
  <si>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</si>
  <si>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</si>
  <si>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</si>
  <si>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</si>
  <si>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</si>
  <si>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</si>
  <si>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</si>
  <si>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</si>
  <si>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</si>
  <si>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</si>
  <si>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</si>
  <si>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</si>
  <si>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</si>
  <si>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</si>
  <si>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</si>
  <si>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</si>
  <si>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</si>
  <si>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</si>
  <si>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</si>
  <si>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</si>
  <si>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</si>
  <si>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</si>
  <si>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</si>
  <si>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</si>
  <si>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</si>
  <si>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</si>
  <si>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</si>
  <si>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</si>
  <si>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</si>
  <si>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</si>
  <si>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</si>
  <si>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</si>
  <si>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</si>
  <si>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</si>
  <si>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</si>
  <si>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</si>
  <si>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</si>
  <si>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</si>
  <si>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</si>
  <si>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</si>
  <si>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</si>
  <si>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</si>
  <si>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</si>
  <si>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</si>
  <si>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</si>
  <si>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</si>
  <si>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</si>
  <si>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</si>
  <si>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</si>
  <si>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</si>
  <si>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</si>
  <si>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</si>
  <si>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</si>
  <si>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</si>
  <si>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</si>
  <si>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</si>
  <si>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</si>
  <si>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</si>
  <si>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</si>
  <si>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</si>
  <si>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</si>
  <si>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</si>
  <si>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</si>
  <si>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</si>
  <si>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</si>
  <si>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</si>
  <si>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</si>
  <si>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</si>
  <si>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</si>
  <si>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</si>
  <si>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</si>
  <si>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</si>
  <si>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</si>
  <si>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</si>
  <si>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</si>
  <si>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</si>
  <si>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</si>
  <si>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</si>
  <si>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</si>
  <si>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</si>
  <si>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</si>
  <si>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</si>
  <si>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</si>
  <si>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</si>
  <si>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</si>
  <si>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</si>
  <si>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</si>
  <si>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</si>
  <si>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</si>
  <si>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</si>
  <si>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</si>
  <si>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</si>
  <si>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</si>
  <si>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</si>
  <si>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</si>
  <si>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</si>
  <si>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</si>
  <si>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</si>
  <si>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</si>
  <si>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</si>
  <si>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</si>
  <si>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</si>
  <si>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</si>
  <si>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</si>
  <si>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</si>
  <si>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</si>
  <si>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</si>
  <si>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</si>
  <si>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</si>
  <si>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</si>
  <si>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</si>
  <si>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</si>
  <si>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</si>
  <si>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</si>
  <si>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</si>
  <si>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</si>
  <si>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</si>
  <si>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</si>
  <si>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</si>
  <si>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</si>
  <si>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</si>
  <si>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</si>
  <si>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</si>
  <si>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</si>
  <si>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</si>
  <si>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</si>
  <si>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</si>
  <si>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</si>
  <si>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</si>
  <si>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</si>
  <si>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</si>
  <si>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</si>
  <si>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</si>
  <si>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</si>
  <si>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</si>
  <si>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</si>
  <si>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</si>
  <si>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</si>
  <si>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</si>
  <si>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</si>
  <si>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</si>
  <si>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</si>
  <si>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</si>
  <si>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</si>
  <si>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</si>
  <si>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</si>
  <si>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</si>
  <si>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</si>
  <si>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</si>
  <si>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</si>
  <si>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</si>
  <si>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</si>
  <si>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</si>
  <si>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</si>
  <si>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</si>
  <si>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</si>
  <si>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</si>
  <si>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</si>
  <si>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</si>
  <si>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</si>
  <si>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</si>
  <si>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</si>
  <si>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</si>
  <si>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</si>
  <si>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</si>
  <si>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</si>
  <si>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</si>
  <si>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</si>
  <si>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</si>
  <si>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</si>
  <si>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</si>
  <si>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</si>
  <si>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</si>
  <si>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</si>
  <si>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</si>
  <si>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</si>
  <si>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</si>
  <si>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</si>
  <si>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</si>
  <si>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</si>
  <si>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</si>
  <si>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</si>
  <si>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</si>
  <si>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</si>
  <si>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</si>
  <si>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</si>
  <si>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</si>
  <si>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</si>
  <si>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</si>
  <si>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</si>
  <si>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</si>
  <si>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</si>
  <si>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</si>
  <si>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</si>
  <si>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</si>
  <si>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</si>
  <si>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</si>
  <si>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</si>
  <si>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</si>
  <si>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</si>
  <si>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</si>
  <si>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</si>
  <si>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</si>
  <si>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</si>
  <si>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</si>
  <si>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</si>
  <si>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</si>
  <si>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</si>
  <si>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</si>
  <si>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</si>
  <si>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</si>
  <si>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</si>
  <si>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</si>
  <si>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</si>
  <si>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</si>
  <si>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</si>
  <si>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</si>
  <si>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</si>
  <si>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</si>
  <si>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</si>
  <si>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</si>
  <si>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</si>
  <si>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</si>
  <si>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</si>
  <si>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</si>
  <si>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</si>
  <si>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</si>
  <si>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</si>
  <si>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</si>
  <si>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</si>
  <si>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</si>
  <si>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</si>
  <si>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</si>
  <si>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</si>
  <si>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</si>
  <si>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</si>
  <si>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</si>
  <si>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</si>
  <si>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</si>
  <si>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</si>
  <si>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</si>
  <si>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</si>
  <si>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</si>
  <si>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</si>
  <si>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</si>
  <si>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</si>
  <si>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</si>
  <si>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</si>
  <si>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</si>
  <si>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</si>
  <si>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</si>
  <si>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</si>
  <si>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</si>
  <si>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</si>
  <si>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</si>
  <si>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</si>
  <si>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</si>
  <si>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</si>
  <si>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</si>
  <si>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</si>
  <si>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</si>
  <si>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</si>
  <si>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</si>
  <si>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</si>
  <si>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</si>
  <si>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</si>
  <si>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</si>
  <si>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</si>
  <si>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</si>
  <si>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</si>
  <si>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</si>
  <si>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</si>
  <si>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</si>
  <si>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</si>
  <si>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</si>
  <si>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</si>
  <si>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</si>
  <si>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</si>
  <si>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</si>
  <si>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</si>
  <si>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</si>
  <si>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</si>
  <si>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</si>
  <si>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</si>
  <si>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</si>
  <si>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</si>
  <si>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</si>
  <si>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</si>
  <si>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</si>
  <si>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</si>
  <si>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</si>
  <si>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</si>
  <si>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</si>
  <si>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</si>
  <si>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</si>
  <si>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</si>
  <si>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</si>
  <si>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</si>
  <si>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</si>
  <si>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</si>
  <si>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</si>
  <si>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</si>
  <si>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</si>
  <si>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</si>
  <si>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</si>
  <si>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</si>
  <si>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</si>
  <si>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</si>
  <si>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</si>
  <si>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</si>
  <si>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</si>
  <si>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</si>
  <si>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</si>
  <si>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</si>
  <si>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</si>
  <si>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</si>
  <si>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</si>
  <si>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</si>
  <si>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</si>
  <si>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</si>
  <si>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</si>
  <si>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</si>
  <si>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</si>
  <si>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</si>
  <si>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</si>
  <si>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</si>
  <si>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</si>
  <si>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</si>
  <si>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</si>
  <si>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</si>
  <si>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</si>
  <si>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</si>
  <si>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</si>
  <si>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</si>
  <si>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</si>
  <si>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</si>
  <si>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</si>
  <si>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</si>
  <si>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</si>
  <si>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</si>
  <si>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</si>
  <si>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</si>
  <si>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</si>
  <si>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</si>
  <si>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</si>
  <si>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</si>
  <si>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</si>
  <si>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</si>
  <si>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</si>
  <si>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</si>
  <si>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</si>
  <si>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</si>
  <si>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</si>
  <si>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</si>
  <si>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</si>
  <si>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</si>
  <si>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</si>
  <si>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</si>
  <si>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</si>
  <si>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</si>
  <si>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</si>
  <si>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</si>
  <si>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</si>
  <si>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</si>
  <si>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</si>
  <si>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</si>
  <si>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</si>
  <si>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</si>
  <si>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</si>
  <si>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</si>
  <si>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</si>
  <si>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</si>
  <si>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</si>
  <si>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</si>
  <si>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</si>
  <si>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</si>
  <si>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</si>
  <si>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</si>
  <si>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</si>
  <si>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</si>
  <si>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</si>
  <si>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</si>
  <si>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</si>
  <si>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</si>
  <si>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</si>
  <si>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</si>
  <si>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</si>
  <si>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</si>
  <si>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</si>
  <si>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</si>
  <si>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</si>
  <si>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</si>
  <si>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</si>
  <si>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</si>
  <si>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</si>
  <si>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</si>
  <si>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</si>
  <si>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</si>
  <si>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</si>
  <si>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</si>
  <si>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</si>
  <si>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</si>
  <si>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</si>
  <si>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</si>
  <si>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</si>
  <si>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</si>
  <si>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</si>
  <si>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</si>
  <si>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</si>
  <si>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</si>
  <si>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</si>
  <si>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</si>
  <si>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</si>
  <si>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</si>
  <si>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</si>
  <si>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</si>
  <si>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</si>
  <si>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</si>
  <si>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</si>
  <si>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</si>
  <si>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</si>
  <si>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</si>
  <si>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</si>
  <si>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</si>
  <si>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</si>
  <si>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</si>
  <si>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</si>
  <si>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</si>
  <si>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</si>
  <si>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</si>
  <si>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</si>
  <si>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</si>
  <si>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</si>
  <si>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</si>
  <si>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</si>
  <si>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</si>
  <si>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</si>
  <si>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</si>
  <si>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</si>
  <si>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</si>
  <si>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</si>
  <si>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</si>
  <si>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</si>
  <si>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</si>
  <si>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</si>
  <si>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</si>
  <si>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</si>
  <si>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</si>
  <si>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</si>
  <si>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</si>
  <si>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</si>
  <si>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</si>
  <si>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</si>
  <si>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</si>
  <si>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</si>
  <si>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</si>
  <si>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</si>
  <si>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</si>
  <si>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</si>
  <si>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</si>
  <si>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</si>
  <si>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</si>
  <si>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</si>
  <si>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</si>
  <si>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</si>
  <si>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</si>
  <si>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</si>
  <si>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</si>
  <si>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</si>
  <si>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</si>
  <si>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</si>
  <si>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</si>
  <si>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</si>
  <si>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</si>
  <si>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</si>
  <si>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</si>
  <si>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</si>
  <si>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</si>
  <si>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</si>
  <si>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</si>
  <si>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</si>
  <si>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</si>
  <si>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</si>
  <si>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</si>
  <si>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</si>
  <si>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</si>
  <si>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</si>
  <si>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</si>
  <si>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</si>
  <si>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</si>
  <si>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</si>
  <si>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</si>
  <si>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</si>
  <si>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</si>
  <si>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</si>
  <si>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</si>
  <si>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</si>
  <si>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</si>
  <si>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</si>
  <si>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</si>
  <si>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</si>
  <si>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</si>
  <si>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</si>
  <si>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</si>
  <si>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</si>
  <si>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</si>
  <si>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</si>
  <si>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</si>
  <si>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</si>
  <si>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</si>
  <si>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</si>
  <si>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</si>
  <si>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</si>
  <si>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</si>
  <si>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</si>
  <si>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</si>
  <si>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</si>
  <si>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</si>
  <si>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</si>
  <si>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</si>
  <si>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</si>
  <si>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</si>
  <si>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</si>
  <si>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</si>
  <si>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</si>
  <si>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</si>
  <si>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</si>
  <si>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</si>
  <si>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</si>
  <si>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</si>
  <si>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</si>
  <si>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</si>
  <si>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</si>
  <si>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</si>
  <si>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</si>
  <si>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</si>
  <si>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</si>
  <si>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</si>
  <si>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</si>
  <si>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</si>
  <si>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</si>
  <si>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</si>
  <si>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</si>
  <si>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</si>
  <si>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</si>
  <si>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</si>
  <si>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</si>
  <si>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</si>
  <si>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</si>
  <si>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</si>
  <si>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</si>
  <si>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</si>
  <si>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</si>
  <si>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</si>
  <si>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</si>
  <si>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</si>
  <si>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</si>
  <si>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</si>
  <si>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</si>
  <si>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</si>
  <si>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</si>
  <si>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</si>
  <si>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</si>
  <si>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</si>
  <si>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</si>
  <si>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</si>
  <si>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</si>
  <si>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</si>
  <si>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</si>
  <si>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</si>
  <si>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</si>
  <si>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</si>
  <si>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</si>
  <si>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</si>
  <si>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</si>
  <si>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</si>
  <si>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</si>
  <si>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</si>
  <si>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</si>
  <si>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</si>
  <si>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</si>
  <si>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</si>
  <si>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</si>
  <si>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</si>
  <si>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</si>
  <si>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</si>
  <si>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</si>
  <si>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</si>
  <si>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</si>
  <si>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</si>
  <si>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</si>
  <si>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</si>
  <si>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</si>
  <si>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</si>
  <si>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</si>
  <si>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</si>
  <si>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</si>
  <si>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</si>
  <si>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</si>
  <si>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</si>
  <si>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</si>
  <si>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</si>
  <si>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</si>
  <si>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</si>
  <si>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</si>
  <si>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</si>
  <si>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</si>
  <si>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</si>
  <si>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</si>
  <si>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</si>
  <si>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</si>
  <si>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</si>
  <si>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</si>
  <si>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</si>
  <si>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</si>
  <si>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</si>
  <si>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</si>
  <si>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</si>
  <si>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</si>
  <si>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</si>
  <si>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</si>
  <si>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</si>
  <si>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</si>
  <si>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</si>
  <si>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</si>
  <si>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</si>
  <si>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</si>
  <si>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</si>
  <si>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</si>
  <si>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</si>
  <si>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</si>
  <si>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</si>
  <si>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</si>
  <si>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</si>
  <si>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</si>
  <si>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</si>
  <si>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</si>
  <si>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</si>
  <si>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</si>
  <si>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</si>
  <si>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</si>
  <si>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</si>
  <si>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</si>
  <si>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</si>
  <si>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</si>
  <si>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</si>
  <si>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</si>
  <si>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</si>
  <si>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</si>
  <si>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</si>
  <si>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</si>
  <si>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</si>
  <si>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</si>
  <si>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</si>
  <si>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</si>
  <si>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</si>
  <si>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</si>
  <si>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</si>
  <si>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</si>
  <si>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</si>
  <si>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</si>
  <si>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</si>
  <si>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</si>
  <si>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</si>
  <si>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</si>
  <si>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</si>
  <si>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</si>
  <si>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</si>
  <si>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</si>
  <si>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</si>
  <si>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</si>
  <si>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</si>
  <si>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</si>
  <si>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</si>
  <si>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</si>
  <si>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</si>
  <si>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</si>
  <si>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</si>
  <si>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</si>
  <si>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</si>
  <si>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</si>
  <si>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</si>
  <si>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</si>
  <si>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</si>
  <si>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</si>
  <si>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</si>
  <si>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</si>
  <si>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</si>
  <si>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</si>
  <si>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</si>
  <si>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</si>
  <si>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</si>
  <si>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</si>
  <si>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</si>
  <si>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</si>
  <si>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</si>
  <si>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</si>
  <si>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</si>
  <si>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</si>
  <si>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</si>
  <si>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</si>
  <si>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</si>
  <si>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</si>
  <si>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</si>
  <si>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</si>
  <si>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</si>
  <si>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</si>
  <si>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</si>
  <si>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</si>
  <si>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</si>
  <si>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</si>
  <si>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</si>
  <si>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</si>
  <si>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</si>
  <si>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</si>
  <si>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</si>
  <si>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</si>
  <si>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</si>
  <si>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</si>
  <si>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</si>
  <si>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</si>
  <si>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</si>
  <si>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</si>
  <si>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</si>
  <si>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</si>
  <si>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</si>
  <si>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</si>
  <si>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</si>
  <si>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</si>
  <si>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</si>
  <si>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</si>
  <si>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</si>
  <si>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</si>
  <si>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</si>
  <si>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</si>
  <si>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</si>
  <si>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</si>
  <si>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</si>
  <si>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</si>
  <si>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</si>
  <si>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</si>
  <si>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</si>
  <si>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</si>
  <si>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</si>
  <si>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</si>
  <si>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</si>
  <si>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</si>
  <si>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</si>
  <si>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</si>
  <si>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</si>
  <si>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</si>
  <si>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</si>
  <si>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</si>
  <si>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</si>
  <si>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</si>
  <si>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</si>
  <si>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</si>
  <si>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</si>
  <si>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</si>
  <si>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</si>
  <si>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</si>
  <si>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</si>
  <si>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</si>
  <si>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</si>
  <si>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</si>
  <si>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</si>
  <si>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</si>
  <si>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</si>
  <si>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</si>
  <si>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</si>
  <si>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</si>
  <si>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</si>
  <si>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</si>
  <si>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</si>
  <si>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</si>
  <si>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</si>
  <si>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</si>
  <si>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</si>
  <si>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</si>
  <si>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</si>
  <si>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</si>
  <si>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</si>
  <si>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</si>
  <si>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</si>
  <si>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</si>
  <si>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</si>
  <si>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</si>
  <si>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</si>
  <si>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</si>
  <si>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</si>
  <si>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</si>
  <si>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</si>
  <si>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</si>
  <si>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</si>
  <si>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</si>
  <si>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</si>
  <si>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</si>
  <si>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</si>
  <si>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</si>
  <si>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</si>
  <si>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</si>
  <si>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</si>
  <si>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</si>
  <si>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</si>
  <si>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</si>
  <si>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</si>
  <si>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</si>
  <si>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</si>
  <si>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</si>
  <si>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</si>
  <si>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</si>
  <si>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</si>
  <si>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</si>
  <si>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</si>
  <si>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</si>
  <si>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</si>
  <si>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</si>
  <si>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</si>
  <si>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</si>
  <si>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</si>
  <si>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</si>
  <si>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</si>
  <si>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</si>
  <si>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</si>
  <si>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</si>
  <si>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</si>
  <si>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</si>
  <si>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</si>
  <si>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</si>
  <si>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</si>
  <si>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</si>
  <si>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</si>
  <si>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</si>
  <si>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</si>
  <si>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</si>
  <si>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</si>
  <si>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</si>
  <si>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</si>
  <si>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</si>
  <si>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</si>
  <si>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</si>
  <si>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</si>
  <si>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</si>
  <si>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</si>
  <si>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</si>
  <si>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</si>
  <si>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</si>
  <si>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</si>
  <si>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</si>
  <si>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</si>
  <si>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</si>
  <si>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</si>
  <si>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</si>
  <si>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</si>
  <si>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</si>
  <si>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</si>
  <si>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</si>
  <si>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</si>
  <si>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</si>
  <si>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</si>
  <si>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</si>
  <si>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</si>
  <si>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</si>
  <si>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</si>
  <si>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</si>
  <si>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</si>
  <si>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</si>
  <si>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</si>
  <si>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</si>
  <si>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</si>
  <si>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</si>
  <si>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</si>
  <si>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</si>
  <si>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</si>
  <si>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</si>
  <si>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</si>
  <si>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</si>
  <si>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</si>
  <si>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</si>
  <si>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</si>
  <si>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</si>
  <si>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</si>
  <si>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</si>
  <si>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</si>
  <si>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</si>
  <si>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</si>
  <si>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</si>
  <si>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</si>
  <si>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</si>
  <si>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</si>
  <si>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23023</t>
  </si>
  <si>
    <t>GALMAARDEN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</si>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</sst>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EA90E327-31C9-4A2D-BBA5-5135407A40FC}"/>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78668.229669584864</c:v>
                </c:pt>
                <c:pt idx="1">
                  <c:v>11121.255802810016</c:v>
                </c:pt>
                <c:pt idx="2">
                  <c:v>642.64800000000002</c:v>
                </c:pt>
                <c:pt idx="3">
                  <c:v>2467.681088740258</c:v>
                </c:pt>
                <c:pt idx="4">
                  <c:v>2342.6545014114545</c:v>
                </c:pt>
                <c:pt idx="5">
                  <c:v>38950.054711808982</c:v>
                </c:pt>
                <c:pt idx="6">
                  <c:v>819.0943679192527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78668.229669584864</c:v>
                </c:pt>
                <c:pt idx="1">
                  <c:v>11121.255802810016</c:v>
                </c:pt>
                <c:pt idx="2">
                  <c:v>642.64800000000002</c:v>
                </c:pt>
                <c:pt idx="3">
                  <c:v>2467.681088740258</c:v>
                </c:pt>
                <c:pt idx="4">
                  <c:v>2342.6545014114545</c:v>
                </c:pt>
                <c:pt idx="5">
                  <c:v>38950.054711808982</c:v>
                </c:pt>
                <c:pt idx="6">
                  <c:v>819.0943679192527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17707.504520656199</c:v>
                </c:pt>
                <c:pt idx="2">
                  <c:v>2188.7495083643853</c:v>
                </c:pt>
                <c:pt idx="3">
                  <c:v>132.38162942245003</c:v>
                </c:pt>
                <c:pt idx="4">
                  <c:v>621.73474062951107</c:v>
                </c:pt>
                <c:pt idx="5">
                  <c:v>502.24761877845413</c:v>
                </c:pt>
                <c:pt idx="6">
                  <c:v>9759.510416568819</c:v>
                </c:pt>
                <c:pt idx="7">
                  <c:v>206.60449415032656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17707.504520656199</c:v>
                </c:pt>
                <c:pt idx="2">
                  <c:v>2188.7495083643853</c:v>
                </c:pt>
                <c:pt idx="3">
                  <c:v>132.38162942245003</c:v>
                </c:pt>
                <c:pt idx="4">
                  <c:v>621.73474062951107</c:v>
                </c:pt>
                <c:pt idx="5">
                  <c:v>502.24761877845413</c:v>
                </c:pt>
                <c:pt idx="6">
                  <c:v>9759.510416568819</c:v>
                </c:pt>
                <c:pt idx="7">
                  <c:v>206.60449415032656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23023</v>
      </c>
      <c r="B6" s="383"/>
      <c r="C6" s="384"/>
    </row>
    <row r="7" spans="1:7" s="381" customFormat="1" ht="15.75" customHeight="1">
      <c r="A7" s="385" t="str">
        <f>txtMunicipality</f>
        <v>GALMAARDEN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5794.9960000000001</v>
      </c>
      <c r="D10" s="983">
        <f ca="1">tertiair!C16</f>
        <v>0</v>
      </c>
      <c r="E10" s="983">
        <f ca="1">tertiair!D16</f>
        <v>4526.1575260000009</v>
      </c>
      <c r="F10" s="983">
        <f>tertiair!E16</f>
        <v>46.01349448086615</v>
      </c>
      <c r="G10" s="983">
        <f ca="1">tertiair!F16</f>
        <v>759.05570230842898</v>
      </c>
      <c r="H10" s="983">
        <f>tertiair!G16</f>
        <v>0</v>
      </c>
      <c r="I10" s="983">
        <f>tertiair!H16</f>
        <v>0</v>
      </c>
      <c r="J10" s="983">
        <f>tertiair!I16</f>
        <v>0</v>
      </c>
      <c r="K10" s="983">
        <f>tertiair!J16</f>
        <v>0</v>
      </c>
      <c r="L10" s="983">
        <f>tertiair!K16</f>
        <v>0</v>
      </c>
      <c r="M10" s="983">
        <f ca="1">tertiair!L16</f>
        <v>0</v>
      </c>
      <c r="N10" s="983">
        <f>tertiair!M16</f>
        <v>0</v>
      </c>
      <c r="O10" s="983">
        <f ca="1">tertiair!N16</f>
        <v>634.55441335405078</v>
      </c>
      <c r="P10" s="983">
        <f>tertiair!O16</f>
        <v>3.1266666666666669</v>
      </c>
      <c r="Q10" s="984">
        <f>tertiair!P16</f>
        <v>0</v>
      </c>
      <c r="R10" s="667">
        <f ca="1">SUM(C10:Q10)</f>
        <v>11763.903802810017</v>
      </c>
      <c r="S10" s="67"/>
    </row>
    <row r="11" spans="1:19" s="440" customFormat="1">
      <c r="A11" s="776" t="s">
        <v>214</v>
      </c>
      <c r="B11" s="781"/>
      <c r="C11" s="983">
        <f>huishoudens!B8</f>
        <v>16880.726541693904</v>
      </c>
      <c r="D11" s="983">
        <f>huishoudens!C8</f>
        <v>0</v>
      </c>
      <c r="E11" s="983">
        <f>huishoudens!D8</f>
        <v>14385.306166</v>
      </c>
      <c r="F11" s="983">
        <f>huishoudens!E8</f>
        <v>1270.9067240936547</v>
      </c>
      <c r="G11" s="983">
        <f>huishoudens!F8</f>
        <v>40093.142163639699</v>
      </c>
      <c r="H11" s="983">
        <f>huishoudens!G8</f>
        <v>0</v>
      </c>
      <c r="I11" s="983">
        <f>huishoudens!H8</f>
        <v>0</v>
      </c>
      <c r="J11" s="983">
        <f>huishoudens!I8</f>
        <v>0</v>
      </c>
      <c r="K11" s="983">
        <f>huishoudens!J8</f>
        <v>934.97056068099823</v>
      </c>
      <c r="L11" s="983">
        <f>huishoudens!K8</f>
        <v>0</v>
      </c>
      <c r="M11" s="983">
        <f>huishoudens!L8</f>
        <v>0</v>
      </c>
      <c r="N11" s="983">
        <f>huishoudens!M8</f>
        <v>0</v>
      </c>
      <c r="O11" s="983">
        <f>huishoudens!N8</f>
        <v>4373.6175134766017</v>
      </c>
      <c r="P11" s="983">
        <f>huishoudens!O8</f>
        <v>81.293333333333337</v>
      </c>
      <c r="Q11" s="984">
        <f>huishoudens!P8</f>
        <v>648.26666666666665</v>
      </c>
      <c r="R11" s="667">
        <f>SUM(C11:Q11)</f>
        <v>78668.229669584864</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797.06600000000003</v>
      </c>
      <c r="D13" s="983">
        <f>industrie!C18</f>
        <v>0</v>
      </c>
      <c r="E13" s="983">
        <f>industrie!D18</f>
        <v>384.48471600000005</v>
      </c>
      <c r="F13" s="983">
        <f>industrie!E18</f>
        <v>138.18116089356778</v>
      </c>
      <c r="G13" s="983">
        <f>industrie!F18</f>
        <v>850.02810727416954</v>
      </c>
      <c r="H13" s="983">
        <f>industrie!G18</f>
        <v>0</v>
      </c>
      <c r="I13" s="983">
        <f>industrie!H18</f>
        <v>0</v>
      </c>
      <c r="J13" s="983">
        <f>industrie!I18</f>
        <v>0</v>
      </c>
      <c r="K13" s="983">
        <f>industrie!J18</f>
        <v>5.8369144441147851</v>
      </c>
      <c r="L13" s="983">
        <f>industrie!K18</f>
        <v>0</v>
      </c>
      <c r="M13" s="983">
        <f>industrie!L18</f>
        <v>0</v>
      </c>
      <c r="N13" s="983">
        <f>industrie!M18</f>
        <v>0</v>
      </c>
      <c r="O13" s="983">
        <f>industrie!N18</f>
        <v>167.05760279960194</v>
      </c>
      <c r="P13" s="983">
        <f>industrie!O18</f>
        <v>0</v>
      </c>
      <c r="Q13" s="984">
        <f>industrie!P18</f>
        <v>0</v>
      </c>
      <c r="R13" s="667">
        <f>SUM(C13:Q13)</f>
        <v>2342.6545014114545</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23472.788541693903</v>
      </c>
      <c r="D16" s="699">
        <f t="shared" ref="D16:R16" ca="1" si="0">SUM(D9:D15)</f>
        <v>0</v>
      </c>
      <c r="E16" s="699">
        <f t="shared" ca="1" si="0"/>
        <v>19295.948408</v>
      </c>
      <c r="F16" s="699">
        <f t="shared" si="0"/>
        <v>1455.1013794680887</v>
      </c>
      <c r="G16" s="699">
        <f t="shared" ca="1" si="0"/>
        <v>41702.225973222296</v>
      </c>
      <c r="H16" s="699">
        <f t="shared" si="0"/>
        <v>0</v>
      </c>
      <c r="I16" s="699">
        <f t="shared" si="0"/>
        <v>0</v>
      </c>
      <c r="J16" s="699">
        <f t="shared" si="0"/>
        <v>0</v>
      </c>
      <c r="K16" s="699">
        <f t="shared" si="0"/>
        <v>940.807475125113</v>
      </c>
      <c r="L16" s="699">
        <f t="shared" si="0"/>
        <v>0</v>
      </c>
      <c r="M16" s="699">
        <f t="shared" ca="1" si="0"/>
        <v>0</v>
      </c>
      <c r="N16" s="699">
        <f t="shared" si="0"/>
        <v>0</v>
      </c>
      <c r="O16" s="699">
        <f t="shared" ca="1" si="0"/>
        <v>5175.2295296302545</v>
      </c>
      <c r="P16" s="699">
        <f t="shared" si="0"/>
        <v>84.42</v>
      </c>
      <c r="Q16" s="699">
        <f t="shared" si="0"/>
        <v>648.26666666666665</v>
      </c>
      <c r="R16" s="699">
        <f t="shared" ca="1" si="0"/>
        <v>92774.787973806335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4.0670999886167589</v>
      </c>
      <c r="D19" s="983">
        <f>transport!C54</f>
        <v>0</v>
      </c>
      <c r="E19" s="983">
        <f>transport!D54</f>
        <v>0</v>
      </c>
      <c r="F19" s="983">
        <f>transport!E54</f>
        <v>0</v>
      </c>
      <c r="G19" s="983">
        <f>transport!F54</f>
        <v>0</v>
      </c>
      <c r="H19" s="983">
        <f>transport!G54</f>
        <v>770.66178266776285</v>
      </c>
      <c r="I19" s="983">
        <f>transport!H54</f>
        <v>0</v>
      </c>
      <c r="J19" s="983">
        <f>transport!I54</f>
        <v>0</v>
      </c>
      <c r="K19" s="983">
        <f>transport!J54</f>
        <v>0</v>
      </c>
      <c r="L19" s="983">
        <f>transport!K54</f>
        <v>0</v>
      </c>
      <c r="M19" s="983">
        <f>transport!L54</f>
        <v>0</v>
      </c>
      <c r="N19" s="983">
        <f>transport!M54</f>
        <v>44.365485262873101</v>
      </c>
      <c r="O19" s="983">
        <f>transport!N54</f>
        <v>0</v>
      </c>
      <c r="P19" s="983">
        <f>transport!O54</f>
        <v>0</v>
      </c>
      <c r="Q19" s="984">
        <f>transport!P54</f>
        <v>0</v>
      </c>
      <c r="R19" s="667">
        <f>SUM(C19:Q19)</f>
        <v>819.0943679192527</v>
      </c>
      <c r="S19" s="67"/>
    </row>
    <row r="20" spans="1:19" s="440" customFormat="1">
      <c r="A20" s="776" t="s">
        <v>296</v>
      </c>
      <c r="B20" s="781"/>
      <c r="C20" s="983">
        <f>transport!B14</f>
        <v>6.1777415094086914</v>
      </c>
      <c r="D20" s="983">
        <f>transport!C14</f>
        <v>0</v>
      </c>
      <c r="E20" s="983">
        <f>transport!D14</f>
        <v>10.542676546060262</v>
      </c>
      <c r="F20" s="983">
        <f>transport!E14</f>
        <v>101.77149309587224</v>
      </c>
      <c r="G20" s="983">
        <f>transport!F14</f>
        <v>0</v>
      </c>
      <c r="H20" s="983">
        <f>transport!G14</f>
        <v>30819.34871725535</v>
      </c>
      <c r="I20" s="983">
        <f>transport!H14</f>
        <v>6041.1244249314786</v>
      </c>
      <c r="J20" s="983">
        <f>transport!I14</f>
        <v>0</v>
      </c>
      <c r="K20" s="983">
        <f>transport!J14</f>
        <v>0</v>
      </c>
      <c r="L20" s="983">
        <f>transport!K14</f>
        <v>0</v>
      </c>
      <c r="M20" s="983">
        <f>transport!L14</f>
        <v>0</v>
      </c>
      <c r="N20" s="983">
        <f>transport!M14</f>
        <v>1971.0896584708107</v>
      </c>
      <c r="O20" s="983">
        <f>transport!N14</f>
        <v>0</v>
      </c>
      <c r="P20" s="983">
        <f>transport!O14</f>
        <v>0</v>
      </c>
      <c r="Q20" s="984">
        <f>transport!P14</f>
        <v>0</v>
      </c>
      <c r="R20" s="667">
        <f>SUM(C20:Q20)</f>
        <v>38950.054711808982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10.244841498025451</v>
      </c>
      <c r="D22" s="779">
        <f t="shared" ref="D22:R22" si="1">SUM(D18:D21)</f>
        <v>0</v>
      </c>
      <c r="E22" s="779">
        <f t="shared" si="1"/>
        <v>10.542676546060262</v>
      </c>
      <c r="F22" s="779">
        <f t="shared" si="1"/>
        <v>101.77149309587224</v>
      </c>
      <c r="G22" s="779">
        <f t="shared" si="1"/>
        <v>0</v>
      </c>
      <c r="H22" s="779">
        <f t="shared" si="1"/>
        <v>31590.010499923112</v>
      </c>
      <c r="I22" s="779">
        <f t="shared" si="1"/>
        <v>6041.1244249314786</v>
      </c>
      <c r="J22" s="779">
        <f t="shared" si="1"/>
        <v>0</v>
      </c>
      <c r="K22" s="779">
        <f t="shared" si="1"/>
        <v>0</v>
      </c>
      <c r="L22" s="779">
        <f t="shared" si="1"/>
        <v>0</v>
      </c>
      <c r="M22" s="779">
        <f t="shared" si="1"/>
        <v>0</v>
      </c>
      <c r="N22" s="779">
        <f t="shared" si="1"/>
        <v>2015.4551437336838</v>
      </c>
      <c r="O22" s="779">
        <f t="shared" si="1"/>
        <v>0</v>
      </c>
      <c r="P22" s="779">
        <f t="shared" si="1"/>
        <v>0</v>
      </c>
      <c r="Q22" s="779">
        <f t="shared" si="1"/>
        <v>0</v>
      </c>
      <c r="R22" s="779">
        <f t="shared" si="1"/>
        <v>39769.149079728231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640.50699999999995</v>
      </c>
      <c r="D24" s="983">
        <f>+landbouw!C8</f>
        <v>0</v>
      </c>
      <c r="E24" s="983">
        <f>+landbouw!D8</f>
        <v>97.956298000000004</v>
      </c>
      <c r="F24" s="983">
        <f>+landbouw!E8</f>
        <v>5.9326441029914019</v>
      </c>
      <c r="G24" s="983">
        <f>+landbouw!F8</f>
        <v>1625.0882754582844</v>
      </c>
      <c r="H24" s="983">
        <f>+landbouw!G8</f>
        <v>0</v>
      </c>
      <c r="I24" s="983">
        <f>+landbouw!H8</f>
        <v>0</v>
      </c>
      <c r="J24" s="983">
        <f>+landbouw!I8</f>
        <v>0</v>
      </c>
      <c r="K24" s="983">
        <f>+landbouw!J8</f>
        <v>98.196871178982363</v>
      </c>
      <c r="L24" s="983">
        <f>+landbouw!K8</f>
        <v>0</v>
      </c>
      <c r="M24" s="983">
        <f>+landbouw!L8</f>
        <v>0</v>
      </c>
      <c r="N24" s="983">
        <f>+landbouw!M8</f>
        <v>0</v>
      </c>
      <c r="O24" s="983">
        <f>+landbouw!N8</f>
        <v>0</v>
      </c>
      <c r="P24" s="983">
        <f>+landbouw!O8</f>
        <v>0</v>
      </c>
      <c r="Q24" s="984">
        <f>+landbouw!P8</f>
        <v>0</v>
      </c>
      <c r="R24" s="667">
        <f>SUM(C24:Q24)</f>
        <v>2467.681088740258</v>
      </c>
      <c r="S24" s="67"/>
    </row>
    <row r="25" spans="1:19" s="440" customFormat="1" ht="15" thickBot="1">
      <c r="A25" s="798" t="s">
        <v>829</v>
      </c>
      <c r="B25" s="986"/>
      <c r="C25" s="987">
        <f>IF(Onbekend_ele_kWh="---",0,Onbekend_ele_kWh)/1000+IF(REST_rest_ele_kWh="---",0,REST_rest_ele_kWh)/1000</f>
        <v>335.46300000000002</v>
      </c>
      <c r="D25" s="987"/>
      <c r="E25" s="987">
        <f>IF(onbekend_gas_kWh="---",0,onbekend_gas_kWh)/1000+IF(REST_rest_gas_kWh="---",0,REST_rest_gas_kWh)/1000</f>
        <v>511.47800000000001</v>
      </c>
      <c r="F25" s="987"/>
      <c r="G25" s="987"/>
      <c r="H25" s="987"/>
      <c r="I25" s="987"/>
      <c r="J25" s="987"/>
      <c r="K25" s="987"/>
      <c r="L25" s="987"/>
      <c r="M25" s="987"/>
      <c r="N25" s="987"/>
      <c r="O25" s="987"/>
      <c r="P25" s="987"/>
      <c r="Q25" s="988"/>
      <c r="R25" s="667">
        <f>SUM(C25:Q25)</f>
        <v>846.94100000000003</v>
      </c>
      <c r="S25" s="67"/>
    </row>
    <row r="26" spans="1:19" s="440" customFormat="1" ht="15.75" thickBot="1">
      <c r="A26" s="672" t="s">
        <v>830</v>
      </c>
      <c r="B26" s="784"/>
      <c r="C26" s="779">
        <f>SUM(C24:C25)</f>
        <v>975.97</v>
      </c>
      <c r="D26" s="779">
        <f t="shared" ref="D26:R26" si="2">SUM(D24:D25)</f>
        <v>0</v>
      </c>
      <c r="E26" s="779">
        <f t="shared" si="2"/>
        <v>609.43429800000001</v>
      </c>
      <c r="F26" s="779">
        <f t="shared" si="2"/>
        <v>5.9326441029914019</v>
      </c>
      <c r="G26" s="779">
        <f t="shared" si="2"/>
        <v>1625.0882754582844</v>
      </c>
      <c r="H26" s="779">
        <f t="shared" si="2"/>
        <v>0</v>
      </c>
      <c r="I26" s="779">
        <f t="shared" si="2"/>
        <v>0</v>
      </c>
      <c r="J26" s="779">
        <f t="shared" si="2"/>
        <v>0</v>
      </c>
      <c r="K26" s="779">
        <f t="shared" si="2"/>
        <v>98.196871178982363</v>
      </c>
      <c r="L26" s="779">
        <f t="shared" si="2"/>
        <v>0</v>
      </c>
      <c r="M26" s="779">
        <f t="shared" si="2"/>
        <v>0</v>
      </c>
      <c r="N26" s="779">
        <f t="shared" si="2"/>
        <v>0</v>
      </c>
      <c r="O26" s="779">
        <f t="shared" si="2"/>
        <v>0</v>
      </c>
      <c r="P26" s="779">
        <f t="shared" si="2"/>
        <v>0</v>
      </c>
      <c r="Q26" s="779">
        <f t="shared" si="2"/>
        <v>0</v>
      </c>
      <c r="R26" s="779">
        <f t="shared" si="2"/>
        <v>3314.6220887402578</v>
      </c>
      <c r="S26" s="67"/>
    </row>
    <row r="27" spans="1:19" s="440" customFormat="1" ht="17.25" thickTop="1" thickBot="1">
      <c r="A27" s="673" t="s">
        <v>109</v>
      </c>
      <c r="B27" s="772"/>
      <c r="C27" s="674">
        <f ca="1">C22+C16+C26</f>
        <v>24459.003383191928</v>
      </c>
      <c r="D27" s="674">
        <f t="shared" ref="D27:R27" ca="1" si="3">D22+D16+D26</f>
        <v>0</v>
      </c>
      <c r="E27" s="674">
        <f t="shared" ca="1" si="3"/>
        <v>19915.925382546062</v>
      </c>
      <c r="F27" s="674">
        <f t="shared" si="3"/>
        <v>1562.8055166669524</v>
      </c>
      <c r="G27" s="674">
        <f t="shared" ca="1" si="3"/>
        <v>43327.314248680581</v>
      </c>
      <c r="H27" s="674">
        <f t="shared" si="3"/>
        <v>31590.010499923112</v>
      </c>
      <c r="I27" s="674">
        <f t="shared" si="3"/>
        <v>6041.1244249314786</v>
      </c>
      <c r="J27" s="674">
        <f t="shared" si="3"/>
        <v>0</v>
      </c>
      <c r="K27" s="674">
        <f t="shared" si="3"/>
        <v>1039.0043463040954</v>
      </c>
      <c r="L27" s="674">
        <f t="shared" si="3"/>
        <v>0</v>
      </c>
      <c r="M27" s="674">
        <f t="shared" ca="1" si="3"/>
        <v>0</v>
      </c>
      <c r="N27" s="674">
        <f t="shared" si="3"/>
        <v>2015.4551437336838</v>
      </c>
      <c r="O27" s="674">
        <f t="shared" ca="1" si="3"/>
        <v>5175.2295296302545</v>
      </c>
      <c r="P27" s="674">
        <f t="shared" si="3"/>
        <v>84.42</v>
      </c>
      <c r="Q27" s="674">
        <f t="shared" si="3"/>
        <v>648.26666666666665</v>
      </c>
      <c r="R27" s="674">
        <f t="shared" ca="1" si="3"/>
        <v>135858.55914227481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1193.7343817713277</v>
      </c>
      <c r="D40" s="983">
        <f ca="1">tertiair!C20</f>
        <v>0</v>
      </c>
      <c r="E40" s="983">
        <f ca="1">tertiair!D20</f>
        <v>914.28382025200028</v>
      </c>
      <c r="F40" s="983">
        <f>tertiair!E20</f>
        <v>10.445063247156616</v>
      </c>
      <c r="G40" s="983">
        <f ca="1">tertiair!F20</f>
        <v>202.66787251635054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2321.1311377868351</v>
      </c>
    </row>
    <row r="41" spans="1:18">
      <c r="A41" s="789" t="s">
        <v>214</v>
      </c>
      <c r="B41" s="796"/>
      <c r="C41" s="983">
        <f ca="1">huishoudens!B12</f>
        <v>3477.3283125820649</v>
      </c>
      <c r="D41" s="983">
        <f ca="1">huishoudens!C12</f>
        <v>0</v>
      </c>
      <c r="E41" s="983">
        <f>huishoudens!D12</f>
        <v>2905.8318455320004</v>
      </c>
      <c r="F41" s="983">
        <f>huishoudens!E12</f>
        <v>288.49582636925965</v>
      </c>
      <c r="G41" s="983">
        <f>huishoudens!F12</f>
        <v>10704.8689576918</v>
      </c>
      <c r="H41" s="983">
        <f>huishoudens!G12</f>
        <v>0</v>
      </c>
      <c r="I41" s="983">
        <f>huishoudens!H12</f>
        <v>0</v>
      </c>
      <c r="J41" s="983">
        <f>huishoudens!I12</f>
        <v>0</v>
      </c>
      <c r="K41" s="983">
        <f>huishoudens!J12</f>
        <v>330.97957848107336</v>
      </c>
      <c r="L41" s="983">
        <f>huishoudens!K12</f>
        <v>0</v>
      </c>
      <c r="M41" s="983">
        <f>huishoudens!L12</f>
        <v>0</v>
      </c>
      <c r="N41" s="983">
        <f>huishoudens!M12</f>
        <v>0</v>
      </c>
      <c r="O41" s="983">
        <f>huishoudens!N12</f>
        <v>0</v>
      </c>
      <c r="P41" s="983">
        <f>huishoudens!O12</f>
        <v>0</v>
      </c>
      <c r="Q41" s="741">
        <f>huishoudens!P12</f>
        <v>0</v>
      </c>
      <c r="R41" s="817">
        <f t="shared" ca="1" si="4"/>
        <v>17707.504520656199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164.19081026819433</v>
      </c>
      <c r="D43" s="983">
        <f ca="1">industrie!C22</f>
        <v>0</v>
      </c>
      <c r="E43" s="983">
        <f>industrie!D22</f>
        <v>77.665912632000015</v>
      </c>
      <c r="F43" s="983">
        <f>industrie!E22</f>
        <v>31.367123522839886</v>
      </c>
      <c r="G43" s="983">
        <f>industrie!F22</f>
        <v>226.95750464220328</v>
      </c>
      <c r="H43" s="983">
        <f>industrie!G22</f>
        <v>0</v>
      </c>
      <c r="I43" s="983">
        <f>industrie!H22</f>
        <v>0</v>
      </c>
      <c r="J43" s="983">
        <f>industrie!I22</f>
        <v>0</v>
      </c>
      <c r="K43" s="983">
        <f>industrie!J22</f>
        <v>2.0662677132166336</v>
      </c>
      <c r="L43" s="983">
        <f>industrie!K22</f>
        <v>0</v>
      </c>
      <c r="M43" s="983">
        <f>industrie!L22</f>
        <v>0</v>
      </c>
      <c r="N43" s="983">
        <f>industrie!M22</f>
        <v>0</v>
      </c>
      <c r="O43" s="983">
        <f>industrie!N22</f>
        <v>0</v>
      </c>
      <c r="P43" s="983">
        <f>industrie!O22</f>
        <v>0</v>
      </c>
      <c r="Q43" s="741">
        <f>industrie!P22</f>
        <v>0</v>
      </c>
      <c r="R43" s="816">
        <f t="shared" ca="1" si="4"/>
        <v>502.24761877845413</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4835.2535046215871</v>
      </c>
      <c r="D46" s="699">
        <f t="shared" ref="D46:Q46" ca="1" si="5">SUM(D39:D45)</f>
        <v>0</v>
      </c>
      <c r="E46" s="699">
        <f t="shared" ca="1" si="5"/>
        <v>3897.7815784160007</v>
      </c>
      <c r="F46" s="699">
        <f t="shared" si="5"/>
        <v>330.30801313925616</v>
      </c>
      <c r="G46" s="699">
        <f t="shared" ca="1" si="5"/>
        <v>11134.494334850355</v>
      </c>
      <c r="H46" s="699">
        <f t="shared" si="5"/>
        <v>0</v>
      </c>
      <c r="I46" s="699">
        <f t="shared" si="5"/>
        <v>0</v>
      </c>
      <c r="J46" s="699">
        <f t="shared" si="5"/>
        <v>0</v>
      </c>
      <c r="K46" s="699">
        <f t="shared" si="5"/>
        <v>333.04584619428999</v>
      </c>
      <c r="L46" s="699">
        <f t="shared" si="5"/>
        <v>0</v>
      </c>
      <c r="M46" s="699">
        <f t="shared" ca="1" si="5"/>
        <v>0</v>
      </c>
      <c r="N46" s="699">
        <f t="shared" si="5"/>
        <v>0</v>
      </c>
      <c r="O46" s="699">
        <f t="shared" ca="1" si="5"/>
        <v>0</v>
      </c>
      <c r="P46" s="699">
        <f t="shared" si="5"/>
        <v>0</v>
      </c>
      <c r="Q46" s="699">
        <f t="shared" si="5"/>
        <v>0</v>
      </c>
      <c r="R46" s="699">
        <f ca="1">SUM(R39:R45)</f>
        <v>20530.883277221488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0.83779817803387613</v>
      </c>
      <c r="D49" s="983">
        <f ca="1">transport!C58</f>
        <v>0</v>
      </c>
      <c r="E49" s="983">
        <f>transport!D58</f>
        <v>0</v>
      </c>
      <c r="F49" s="983">
        <f>transport!E58</f>
        <v>0</v>
      </c>
      <c r="G49" s="983">
        <f>transport!F58</f>
        <v>0</v>
      </c>
      <c r="H49" s="983">
        <f>transport!G58</f>
        <v>205.76669597229269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206.60449415032656</v>
      </c>
    </row>
    <row r="50" spans="1:18">
      <c r="A50" s="792" t="s">
        <v>296</v>
      </c>
      <c r="B50" s="802"/>
      <c r="C50" s="670">
        <f ca="1">transport!B18</f>
        <v>1.2725776586346311</v>
      </c>
      <c r="D50" s="670">
        <f>transport!C18</f>
        <v>0</v>
      </c>
      <c r="E50" s="670">
        <f>transport!D18</f>
        <v>2.1296206623041729</v>
      </c>
      <c r="F50" s="670">
        <f>transport!E18</f>
        <v>23.102128932763002</v>
      </c>
      <c r="G50" s="670">
        <f>transport!F18</f>
        <v>0</v>
      </c>
      <c r="H50" s="670">
        <f>transport!G18</f>
        <v>8228.7661075071792</v>
      </c>
      <c r="I50" s="670">
        <f>transport!H18</f>
        <v>1504.2399818079382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9759.510416568819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2.1103758366685073</v>
      </c>
      <c r="D52" s="699">
        <f t="shared" ref="D52:Q52" ca="1" si="6">SUM(D48:D51)</f>
        <v>0</v>
      </c>
      <c r="E52" s="699">
        <f t="shared" si="6"/>
        <v>2.1296206623041729</v>
      </c>
      <c r="F52" s="699">
        <f t="shared" si="6"/>
        <v>23.102128932763002</v>
      </c>
      <c r="G52" s="699">
        <f t="shared" si="6"/>
        <v>0</v>
      </c>
      <c r="H52" s="699">
        <f t="shared" si="6"/>
        <v>8434.5328034794711</v>
      </c>
      <c r="I52" s="699">
        <f t="shared" si="6"/>
        <v>1504.2399818079382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9966.114910719145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131.94059627741032</v>
      </c>
      <c r="D54" s="670">
        <f ca="1">+landbouw!C12</f>
        <v>0</v>
      </c>
      <c r="E54" s="670">
        <f>+landbouw!D12</f>
        <v>19.787172196000004</v>
      </c>
      <c r="F54" s="670">
        <f>+landbouw!E12</f>
        <v>1.3467102113790483</v>
      </c>
      <c r="G54" s="670">
        <f>+landbouw!F12</f>
        <v>433.89856954736194</v>
      </c>
      <c r="H54" s="670">
        <f>+landbouw!G12</f>
        <v>0</v>
      </c>
      <c r="I54" s="670">
        <f>+landbouw!H12</f>
        <v>0</v>
      </c>
      <c r="J54" s="670">
        <f>+landbouw!I12</f>
        <v>0</v>
      </c>
      <c r="K54" s="670">
        <f>+landbouw!J12</f>
        <v>34.761692397359752</v>
      </c>
      <c r="L54" s="670">
        <f>+landbouw!K12</f>
        <v>0</v>
      </c>
      <c r="M54" s="670">
        <f>+landbouw!L12</f>
        <v>0</v>
      </c>
      <c r="N54" s="670">
        <f>+landbouw!M12</f>
        <v>0</v>
      </c>
      <c r="O54" s="670">
        <f>+landbouw!N12</f>
        <v>0</v>
      </c>
      <c r="P54" s="670">
        <f>+landbouw!O12</f>
        <v>0</v>
      </c>
      <c r="Q54" s="671">
        <f>+landbouw!P12</f>
        <v>0</v>
      </c>
      <c r="R54" s="698">
        <f ca="1">SUM(C54:Q54)</f>
        <v>621.73474062951107</v>
      </c>
    </row>
    <row r="55" spans="1:18" ht="15" thickBot="1">
      <c r="A55" s="792" t="s">
        <v>829</v>
      </c>
      <c r="B55" s="802"/>
      <c r="C55" s="670">
        <f ca="1">C25*'EF ele_warmte'!B12</f>
        <v>69.103363818051804</v>
      </c>
      <c r="D55" s="670"/>
      <c r="E55" s="670">
        <f>E25*EF_CO2_aardgas</f>
        <v>103.31855600000002</v>
      </c>
      <c r="F55" s="670"/>
      <c r="G55" s="670"/>
      <c r="H55" s="670"/>
      <c r="I55" s="670"/>
      <c r="J55" s="670"/>
      <c r="K55" s="670"/>
      <c r="L55" s="670"/>
      <c r="M55" s="670"/>
      <c r="N55" s="670"/>
      <c r="O55" s="670"/>
      <c r="P55" s="670"/>
      <c r="Q55" s="671"/>
      <c r="R55" s="698">
        <f ca="1">SUM(C55:Q55)</f>
        <v>172.42191981805183</v>
      </c>
    </row>
    <row r="56" spans="1:18" ht="15.75" thickBot="1">
      <c r="A56" s="790" t="s">
        <v>830</v>
      </c>
      <c r="B56" s="803"/>
      <c r="C56" s="699">
        <f ca="1">SUM(C54:C55)</f>
        <v>201.04396009546213</v>
      </c>
      <c r="D56" s="699">
        <f t="shared" ref="D56:Q56" ca="1" si="7">SUM(D54:D55)</f>
        <v>0</v>
      </c>
      <c r="E56" s="699">
        <f t="shared" si="7"/>
        <v>123.10572819600002</v>
      </c>
      <c r="F56" s="699">
        <f t="shared" si="7"/>
        <v>1.3467102113790483</v>
      </c>
      <c r="G56" s="699">
        <f t="shared" si="7"/>
        <v>433.89856954736194</v>
      </c>
      <c r="H56" s="699">
        <f t="shared" si="7"/>
        <v>0</v>
      </c>
      <c r="I56" s="699">
        <f t="shared" si="7"/>
        <v>0</v>
      </c>
      <c r="J56" s="699">
        <f t="shared" si="7"/>
        <v>0</v>
      </c>
      <c r="K56" s="699">
        <f t="shared" si="7"/>
        <v>34.761692397359752</v>
      </c>
      <c r="L56" s="699">
        <f t="shared" si="7"/>
        <v>0</v>
      </c>
      <c r="M56" s="699">
        <f t="shared" si="7"/>
        <v>0</v>
      </c>
      <c r="N56" s="699">
        <f t="shared" si="7"/>
        <v>0</v>
      </c>
      <c r="O56" s="699">
        <f t="shared" si="7"/>
        <v>0</v>
      </c>
      <c r="P56" s="699">
        <f t="shared" si="7"/>
        <v>0</v>
      </c>
      <c r="Q56" s="700">
        <f t="shared" si="7"/>
        <v>0</v>
      </c>
      <c r="R56" s="701">
        <f ca="1">SUM(R54:R55)</f>
        <v>794.1566604475629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5038.4078405537184</v>
      </c>
      <c r="D61" s="707">
        <f t="shared" ref="D61:Q61" ca="1" si="8">D46+D52+D56</f>
        <v>0</v>
      </c>
      <c r="E61" s="707">
        <f t="shared" ca="1" si="8"/>
        <v>4023.0169272743051</v>
      </c>
      <c r="F61" s="707">
        <f t="shared" si="8"/>
        <v>354.75685228339819</v>
      </c>
      <c r="G61" s="707">
        <f t="shared" ca="1" si="8"/>
        <v>11568.392904397717</v>
      </c>
      <c r="H61" s="707">
        <f t="shared" si="8"/>
        <v>8434.5328034794711</v>
      </c>
      <c r="I61" s="707">
        <f t="shared" si="8"/>
        <v>1504.2399818079382</v>
      </c>
      <c r="J61" s="707">
        <f t="shared" si="8"/>
        <v>0</v>
      </c>
      <c r="K61" s="707">
        <f t="shared" si="8"/>
        <v>367.80753859164975</v>
      </c>
      <c r="L61" s="707">
        <f t="shared" si="8"/>
        <v>0</v>
      </c>
      <c r="M61" s="707">
        <f t="shared" ca="1" si="8"/>
        <v>0</v>
      </c>
      <c r="N61" s="707">
        <f t="shared" si="8"/>
        <v>0</v>
      </c>
      <c r="O61" s="707">
        <f t="shared" ca="1" si="8"/>
        <v>0</v>
      </c>
      <c r="P61" s="707">
        <f t="shared" si="8"/>
        <v>0</v>
      </c>
      <c r="Q61" s="707">
        <f t="shared" si="8"/>
        <v>0</v>
      </c>
      <c r="R61" s="707">
        <f ca="1">R46+R52+R56</f>
        <v>31291.154848388196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0.20599399581489408</v>
      </c>
      <c r="D63" s="748">
        <f t="shared" ca="1" si="9"/>
        <v>0</v>
      </c>
      <c r="E63" s="994">
        <f t="shared" ca="1" si="9"/>
        <v>0.20200000000000004</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1660.7778603244337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1660.7778603244337</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16880.726541693904</v>
      </c>
      <c r="C4" s="444">
        <f>huishoudens!C8</f>
        <v>0</v>
      </c>
      <c r="D4" s="444">
        <f>huishoudens!D8</f>
        <v>14385.306166</v>
      </c>
      <c r="E4" s="444">
        <f>huishoudens!E8</f>
        <v>1270.9067240936547</v>
      </c>
      <c r="F4" s="444">
        <f>huishoudens!F8</f>
        <v>40093.142163639699</v>
      </c>
      <c r="G4" s="444">
        <f>huishoudens!G8</f>
        <v>0</v>
      </c>
      <c r="H4" s="444">
        <f>huishoudens!H8</f>
        <v>0</v>
      </c>
      <c r="I4" s="444">
        <f>huishoudens!I8</f>
        <v>0</v>
      </c>
      <c r="J4" s="444">
        <f>huishoudens!J8</f>
        <v>934.97056068099823</v>
      </c>
      <c r="K4" s="444">
        <f>huishoudens!K8</f>
        <v>0</v>
      </c>
      <c r="L4" s="444">
        <f>huishoudens!L8</f>
        <v>0</v>
      </c>
      <c r="M4" s="444">
        <f>huishoudens!M8</f>
        <v>0</v>
      </c>
      <c r="N4" s="444">
        <f>huishoudens!N8</f>
        <v>4373.6175134766017</v>
      </c>
      <c r="O4" s="444">
        <f>huishoudens!O8</f>
        <v>81.293333333333337</v>
      </c>
      <c r="P4" s="445">
        <f>huishoudens!P8</f>
        <v>648.26666666666665</v>
      </c>
      <c r="Q4" s="446">
        <f>SUM(B4:P4)</f>
        <v>78668.229669584864</v>
      </c>
    </row>
    <row r="5" spans="1:17">
      <c r="A5" s="443" t="s">
        <v>149</v>
      </c>
      <c r="B5" s="444">
        <f ca="1">tertiair!B16</f>
        <v>5152.348</v>
      </c>
      <c r="C5" s="444">
        <f ca="1">tertiair!C16</f>
        <v>0</v>
      </c>
      <c r="D5" s="444">
        <f ca="1">tertiair!D16</f>
        <v>4526.1575260000009</v>
      </c>
      <c r="E5" s="444">
        <f>tertiair!E16</f>
        <v>46.01349448086615</v>
      </c>
      <c r="F5" s="444">
        <f ca="1">tertiair!F16</f>
        <v>759.05570230842898</v>
      </c>
      <c r="G5" s="444">
        <f>tertiair!G16</f>
        <v>0</v>
      </c>
      <c r="H5" s="444">
        <f>tertiair!H16</f>
        <v>0</v>
      </c>
      <c r="I5" s="444">
        <f>tertiair!I16</f>
        <v>0</v>
      </c>
      <c r="J5" s="444">
        <f>tertiair!J16</f>
        <v>0</v>
      </c>
      <c r="K5" s="444">
        <f>tertiair!K16</f>
        <v>0</v>
      </c>
      <c r="L5" s="444">
        <f ca="1">tertiair!L16</f>
        <v>0</v>
      </c>
      <c r="M5" s="444">
        <f>tertiair!M16</f>
        <v>0</v>
      </c>
      <c r="N5" s="444">
        <f ca="1">tertiair!N16</f>
        <v>634.55441335405078</v>
      </c>
      <c r="O5" s="444">
        <f>tertiair!O16</f>
        <v>3.1266666666666669</v>
      </c>
      <c r="P5" s="445">
        <f>tertiair!P16</f>
        <v>0</v>
      </c>
      <c r="Q5" s="443">
        <f t="shared" ref="Q5:Q14" ca="1" si="0">SUM(B5:P5)</f>
        <v>11121.255802810016</v>
      </c>
    </row>
    <row r="6" spans="1:17">
      <c r="A6" s="443" t="s">
        <v>187</v>
      </c>
      <c r="B6" s="444">
        <f>'openbare verlichting'!B8</f>
        <v>642.64800000000002</v>
      </c>
      <c r="C6" s="444"/>
      <c r="D6" s="444"/>
      <c r="E6" s="444"/>
      <c r="F6" s="444"/>
      <c r="G6" s="444"/>
      <c r="H6" s="444"/>
      <c r="I6" s="444"/>
      <c r="J6" s="444"/>
      <c r="K6" s="444"/>
      <c r="L6" s="444"/>
      <c r="M6" s="444"/>
      <c r="N6" s="444"/>
      <c r="O6" s="444"/>
      <c r="P6" s="445"/>
      <c r="Q6" s="443">
        <f t="shared" si="0"/>
        <v>642.64800000000002</v>
      </c>
    </row>
    <row r="7" spans="1:17">
      <c r="A7" s="443" t="s">
        <v>105</v>
      </c>
      <c r="B7" s="444">
        <f>landbouw!B8</f>
        <v>640.50699999999995</v>
      </c>
      <c r="C7" s="444">
        <f>landbouw!C8</f>
        <v>0</v>
      </c>
      <c r="D7" s="444">
        <f>landbouw!D8</f>
        <v>97.956298000000004</v>
      </c>
      <c r="E7" s="444">
        <f>landbouw!E8</f>
        <v>5.9326441029914019</v>
      </c>
      <c r="F7" s="444">
        <f>landbouw!F8</f>
        <v>1625.0882754582844</v>
      </c>
      <c r="G7" s="444">
        <f>landbouw!G8</f>
        <v>0</v>
      </c>
      <c r="H7" s="444">
        <f>landbouw!H8</f>
        <v>0</v>
      </c>
      <c r="I7" s="444">
        <f>landbouw!I8</f>
        <v>0</v>
      </c>
      <c r="J7" s="444">
        <f>landbouw!J8</f>
        <v>98.196871178982363</v>
      </c>
      <c r="K7" s="444">
        <f>landbouw!K8</f>
        <v>0</v>
      </c>
      <c r="L7" s="444">
        <f>landbouw!L8</f>
        <v>0</v>
      </c>
      <c r="M7" s="444">
        <f>landbouw!M8</f>
        <v>0</v>
      </c>
      <c r="N7" s="444">
        <f>landbouw!N8</f>
        <v>0</v>
      </c>
      <c r="O7" s="444">
        <f>landbouw!O8</f>
        <v>0</v>
      </c>
      <c r="P7" s="445">
        <f>landbouw!P8</f>
        <v>0</v>
      </c>
      <c r="Q7" s="443">
        <f t="shared" si="0"/>
        <v>2467.681088740258</v>
      </c>
    </row>
    <row r="8" spans="1:17">
      <c r="A8" s="443" t="s">
        <v>637</v>
      </c>
      <c r="B8" s="444">
        <f>industrie!B18</f>
        <v>797.06600000000003</v>
      </c>
      <c r="C8" s="444">
        <f>industrie!C18</f>
        <v>0</v>
      </c>
      <c r="D8" s="444">
        <f>industrie!D18</f>
        <v>384.48471600000005</v>
      </c>
      <c r="E8" s="444">
        <f>industrie!E18</f>
        <v>138.18116089356778</v>
      </c>
      <c r="F8" s="444">
        <f>industrie!F18</f>
        <v>850.02810727416954</v>
      </c>
      <c r="G8" s="444">
        <f>industrie!G18</f>
        <v>0</v>
      </c>
      <c r="H8" s="444">
        <f>industrie!H18</f>
        <v>0</v>
      </c>
      <c r="I8" s="444">
        <f>industrie!I18</f>
        <v>0</v>
      </c>
      <c r="J8" s="444">
        <f>industrie!J18</f>
        <v>5.8369144441147851</v>
      </c>
      <c r="K8" s="444">
        <f>industrie!K18</f>
        <v>0</v>
      </c>
      <c r="L8" s="444">
        <f>industrie!L18</f>
        <v>0</v>
      </c>
      <c r="M8" s="444">
        <f>industrie!M18</f>
        <v>0</v>
      </c>
      <c r="N8" s="444">
        <f>industrie!N18</f>
        <v>167.05760279960194</v>
      </c>
      <c r="O8" s="444">
        <f>industrie!O18</f>
        <v>0</v>
      </c>
      <c r="P8" s="445">
        <f>industrie!P18</f>
        <v>0</v>
      </c>
      <c r="Q8" s="443">
        <f t="shared" si="0"/>
        <v>2342.6545014114545</v>
      </c>
    </row>
    <row r="9" spans="1:17" s="449" customFormat="1">
      <c r="A9" s="447" t="s">
        <v>558</v>
      </c>
      <c r="B9" s="448">
        <f>transport!B14</f>
        <v>6.1777415094086914</v>
      </c>
      <c r="C9" s="448">
        <f>transport!C14</f>
        <v>0</v>
      </c>
      <c r="D9" s="448">
        <f>transport!D14</f>
        <v>10.542676546060262</v>
      </c>
      <c r="E9" s="448">
        <f>transport!E14</f>
        <v>101.77149309587224</v>
      </c>
      <c r="F9" s="448">
        <f>transport!F14</f>
        <v>0</v>
      </c>
      <c r="G9" s="448">
        <f>transport!G14</f>
        <v>30819.34871725535</v>
      </c>
      <c r="H9" s="448">
        <f>transport!H14</f>
        <v>6041.1244249314786</v>
      </c>
      <c r="I9" s="448">
        <f>transport!I14</f>
        <v>0</v>
      </c>
      <c r="J9" s="448">
        <f>transport!J14</f>
        <v>0</v>
      </c>
      <c r="K9" s="448">
        <f>transport!K14</f>
        <v>0</v>
      </c>
      <c r="L9" s="448">
        <f>transport!L14</f>
        <v>0</v>
      </c>
      <c r="M9" s="448">
        <f>transport!M14</f>
        <v>1971.0896584708107</v>
      </c>
      <c r="N9" s="448">
        <f>transport!N14</f>
        <v>0</v>
      </c>
      <c r="O9" s="448">
        <f>transport!O14</f>
        <v>0</v>
      </c>
      <c r="P9" s="448">
        <f>transport!P14</f>
        <v>0</v>
      </c>
      <c r="Q9" s="447">
        <f>SUM(B9:P9)</f>
        <v>38950.054711808982</v>
      </c>
    </row>
    <row r="10" spans="1:17">
      <c r="A10" s="443" t="s">
        <v>548</v>
      </c>
      <c r="B10" s="444">
        <f>transport!B54</f>
        <v>4.0670999886167589</v>
      </c>
      <c r="C10" s="444">
        <f>transport!C54</f>
        <v>0</v>
      </c>
      <c r="D10" s="444">
        <f>transport!D54</f>
        <v>0</v>
      </c>
      <c r="E10" s="444">
        <f>transport!E54</f>
        <v>0</v>
      </c>
      <c r="F10" s="444">
        <f>transport!F54</f>
        <v>0</v>
      </c>
      <c r="G10" s="444">
        <f>transport!G54</f>
        <v>770.66178266776285</v>
      </c>
      <c r="H10" s="444">
        <f>transport!H54</f>
        <v>0</v>
      </c>
      <c r="I10" s="444">
        <f>transport!I54</f>
        <v>0</v>
      </c>
      <c r="J10" s="444">
        <f>transport!J54</f>
        <v>0</v>
      </c>
      <c r="K10" s="444">
        <f>transport!K54</f>
        <v>0</v>
      </c>
      <c r="L10" s="444">
        <f>transport!L54</f>
        <v>0</v>
      </c>
      <c r="M10" s="444">
        <f>transport!M54</f>
        <v>44.365485262873101</v>
      </c>
      <c r="N10" s="444">
        <f>transport!N54</f>
        <v>0</v>
      </c>
      <c r="O10" s="444">
        <f>transport!O54</f>
        <v>0</v>
      </c>
      <c r="P10" s="445">
        <f>transport!P54</f>
        <v>0</v>
      </c>
      <c r="Q10" s="443">
        <f t="shared" si="0"/>
        <v>819.0943679192527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335.46300000000002</v>
      </c>
      <c r="C14" s="451"/>
      <c r="D14" s="451">
        <f>'SEAP template'!E25</f>
        <v>511.47800000000001</v>
      </c>
      <c r="E14" s="451"/>
      <c r="F14" s="451"/>
      <c r="G14" s="451"/>
      <c r="H14" s="451"/>
      <c r="I14" s="451"/>
      <c r="J14" s="451"/>
      <c r="K14" s="451"/>
      <c r="L14" s="451"/>
      <c r="M14" s="451"/>
      <c r="N14" s="451"/>
      <c r="O14" s="451"/>
      <c r="P14" s="452"/>
      <c r="Q14" s="443">
        <f t="shared" si="0"/>
        <v>846.94100000000003</v>
      </c>
    </row>
    <row r="15" spans="1:17" s="453" customFormat="1">
      <c r="A15" s="1009" t="s">
        <v>552</v>
      </c>
      <c r="B15" s="949">
        <f ca="1">SUM(B4:B14)</f>
        <v>24459.003383191928</v>
      </c>
      <c r="C15" s="949">
        <f t="shared" ref="C15:Q15" ca="1" si="1">SUM(C4:C14)</f>
        <v>0</v>
      </c>
      <c r="D15" s="949">
        <f t="shared" ca="1" si="1"/>
        <v>19915.925382546062</v>
      </c>
      <c r="E15" s="949">
        <f t="shared" si="1"/>
        <v>1562.8055166669524</v>
      </c>
      <c r="F15" s="949">
        <f t="shared" ca="1" si="1"/>
        <v>43327.314248680581</v>
      </c>
      <c r="G15" s="949">
        <f t="shared" si="1"/>
        <v>31590.010499923112</v>
      </c>
      <c r="H15" s="949">
        <f t="shared" si="1"/>
        <v>6041.1244249314786</v>
      </c>
      <c r="I15" s="949">
        <f t="shared" si="1"/>
        <v>0</v>
      </c>
      <c r="J15" s="949">
        <f t="shared" si="1"/>
        <v>1039.0043463040954</v>
      </c>
      <c r="K15" s="949">
        <f t="shared" si="1"/>
        <v>0</v>
      </c>
      <c r="L15" s="949">
        <f t="shared" ca="1" si="1"/>
        <v>0</v>
      </c>
      <c r="M15" s="949">
        <f t="shared" si="1"/>
        <v>2015.4551437336838</v>
      </c>
      <c r="N15" s="949">
        <f t="shared" ca="1" si="1"/>
        <v>5175.2295296302545</v>
      </c>
      <c r="O15" s="949">
        <f t="shared" si="1"/>
        <v>84.42</v>
      </c>
      <c r="P15" s="949">
        <f t="shared" si="1"/>
        <v>648.26666666666665</v>
      </c>
      <c r="Q15" s="949">
        <f t="shared" ca="1" si="1"/>
        <v>135858.55914227481</v>
      </c>
    </row>
    <row r="17" spans="1:17">
      <c r="A17" s="454" t="s">
        <v>553</v>
      </c>
      <c r="B17" s="753">
        <f ca="1">huishoudens!B10</f>
        <v>0.20599399581489403</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3477.3283125820649</v>
      </c>
      <c r="C22" s="444">
        <f t="shared" ref="C22:C32" ca="1" si="3">C4*$C$17</f>
        <v>0</v>
      </c>
      <c r="D22" s="444">
        <f t="shared" ref="D22:D32" si="4">D4*$D$17</f>
        <v>2905.8318455320004</v>
      </c>
      <c r="E22" s="444">
        <f t="shared" ref="E22:E32" si="5">E4*$E$17</f>
        <v>288.49582636925965</v>
      </c>
      <c r="F22" s="444">
        <f t="shared" ref="F22:F32" si="6">F4*$F$17</f>
        <v>10704.8689576918</v>
      </c>
      <c r="G22" s="444">
        <f t="shared" ref="G22:G32" si="7">G4*$G$17</f>
        <v>0</v>
      </c>
      <c r="H22" s="444">
        <f t="shared" ref="H22:H32" si="8">H4*$H$17</f>
        <v>0</v>
      </c>
      <c r="I22" s="444">
        <f t="shared" ref="I22:I32" si="9">I4*$I$17</f>
        <v>0</v>
      </c>
      <c r="J22" s="444">
        <f t="shared" ref="J22:J32" si="10">J4*$J$17</f>
        <v>330.97957848107336</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17707.504520656199</v>
      </c>
    </row>
    <row r="23" spans="1:17">
      <c r="A23" s="443" t="s">
        <v>149</v>
      </c>
      <c r="B23" s="444">
        <f t="shared" ca="1" si="2"/>
        <v>1061.3527523488776</v>
      </c>
      <c r="C23" s="444">
        <f t="shared" ca="1" si="3"/>
        <v>0</v>
      </c>
      <c r="D23" s="444">
        <f t="shared" ca="1" si="4"/>
        <v>914.28382025200028</v>
      </c>
      <c r="E23" s="444">
        <f t="shared" si="5"/>
        <v>10.445063247156616</v>
      </c>
      <c r="F23" s="444">
        <f t="shared" ca="1" si="6"/>
        <v>202.66787251635054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2188.7495083643853</v>
      </c>
    </row>
    <row r="24" spans="1:17">
      <c r="A24" s="443" t="s">
        <v>187</v>
      </c>
      <c r="B24" s="444">
        <f t="shared" ca="1" si="2"/>
        <v>132.38162942245003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132.38162942245003</v>
      </c>
    </row>
    <row r="25" spans="1:17">
      <c r="A25" s="443" t="s">
        <v>105</v>
      </c>
      <c r="B25" s="444">
        <f t="shared" ca="1" si="2"/>
        <v>131.94059627741032</v>
      </c>
      <c r="C25" s="444">
        <f t="shared" ca="1" si="3"/>
        <v>0</v>
      </c>
      <c r="D25" s="444">
        <f t="shared" si="4"/>
        <v>19.787172196000004</v>
      </c>
      <c r="E25" s="444">
        <f t="shared" si="5"/>
        <v>1.3467102113790483</v>
      </c>
      <c r="F25" s="444">
        <f t="shared" si="6"/>
        <v>433.89856954736194</v>
      </c>
      <c r="G25" s="444">
        <f t="shared" si="7"/>
        <v>0</v>
      </c>
      <c r="H25" s="444">
        <f t="shared" si="8"/>
        <v>0</v>
      </c>
      <c r="I25" s="444">
        <f t="shared" si="9"/>
        <v>0</v>
      </c>
      <c r="J25" s="444">
        <f t="shared" si="10"/>
        <v>34.761692397359752</v>
      </c>
      <c r="K25" s="444">
        <f t="shared" si="11"/>
        <v>0</v>
      </c>
      <c r="L25" s="444">
        <f t="shared" si="12"/>
        <v>0</v>
      </c>
      <c r="M25" s="444">
        <f t="shared" si="13"/>
        <v>0</v>
      </c>
      <c r="N25" s="444">
        <f t="shared" si="14"/>
        <v>0</v>
      </c>
      <c r="O25" s="444">
        <f t="shared" si="15"/>
        <v>0</v>
      </c>
      <c r="P25" s="445">
        <f t="shared" si="16"/>
        <v>0</v>
      </c>
      <c r="Q25" s="443">
        <f t="shared" ca="1" si="17"/>
        <v>621.73474062951107</v>
      </c>
    </row>
    <row r="26" spans="1:17">
      <c r="A26" s="443" t="s">
        <v>637</v>
      </c>
      <c r="B26" s="444">
        <f t="shared" ca="1" si="2"/>
        <v>164.19081026819433</v>
      </c>
      <c r="C26" s="444">
        <f t="shared" ca="1" si="3"/>
        <v>0</v>
      </c>
      <c r="D26" s="444">
        <f t="shared" si="4"/>
        <v>77.665912632000015</v>
      </c>
      <c r="E26" s="444">
        <f t="shared" si="5"/>
        <v>31.367123522839886</v>
      </c>
      <c r="F26" s="444">
        <f t="shared" si="6"/>
        <v>226.95750464220328</v>
      </c>
      <c r="G26" s="444">
        <f t="shared" si="7"/>
        <v>0</v>
      </c>
      <c r="H26" s="444">
        <f t="shared" si="8"/>
        <v>0</v>
      </c>
      <c r="I26" s="444">
        <f t="shared" si="9"/>
        <v>0</v>
      </c>
      <c r="J26" s="444">
        <f t="shared" si="10"/>
        <v>2.0662677132166336</v>
      </c>
      <c r="K26" s="444">
        <f t="shared" si="11"/>
        <v>0</v>
      </c>
      <c r="L26" s="444">
        <f t="shared" si="12"/>
        <v>0</v>
      </c>
      <c r="M26" s="444">
        <f t="shared" si="13"/>
        <v>0</v>
      </c>
      <c r="N26" s="444">
        <f t="shared" si="14"/>
        <v>0</v>
      </c>
      <c r="O26" s="444">
        <f t="shared" si="15"/>
        <v>0</v>
      </c>
      <c r="P26" s="445">
        <f t="shared" si="16"/>
        <v>0</v>
      </c>
      <c r="Q26" s="443">
        <f t="shared" ca="1" si="17"/>
        <v>502.24761877845413</v>
      </c>
    </row>
    <row r="27" spans="1:17" s="449" customFormat="1">
      <c r="A27" s="447" t="s">
        <v>558</v>
      </c>
      <c r="B27" s="747">
        <f t="shared" ca="1" si="2"/>
        <v>1.2725776586346311</v>
      </c>
      <c r="C27" s="448">
        <f t="shared" ca="1" si="3"/>
        <v>0</v>
      </c>
      <c r="D27" s="448">
        <f t="shared" si="4"/>
        <v>2.1296206623041729</v>
      </c>
      <c r="E27" s="448">
        <f t="shared" si="5"/>
        <v>23.102128932763002</v>
      </c>
      <c r="F27" s="448">
        <f t="shared" si="6"/>
        <v>0</v>
      </c>
      <c r="G27" s="448">
        <f t="shared" si="7"/>
        <v>8228.7661075071792</v>
      </c>
      <c r="H27" s="448">
        <f t="shared" si="8"/>
        <v>1504.2399818079382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9759.510416568819</v>
      </c>
    </row>
    <row r="28" spans="1:17">
      <c r="A28" s="443" t="s">
        <v>548</v>
      </c>
      <c r="B28" s="444">
        <f t="shared" ca="1" si="2"/>
        <v>0.83779817803387613</v>
      </c>
      <c r="C28" s="444">
        <f t="shared" ca="1" si="3"/>
        <v>0</v>
      </c>
      <c r="D28" s="444">
        <f t="shared" si="4"/>
        <v>0</v>
      </c>
      <c r="E28" s="444">
        <f t="shared" si="5"/>
        <v>0</v>
      </c>
      <c r="F28" s="444">
        <f t="shared" si="6"/>
        <v>0</v>
      </c>
      <c r="G28" s="444">
        <f t="shared" si="7"/>
        <v>205.76669597229269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206.60449415032656</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69.103363818051804</v>
      </c>
      <c r="C32" s="444">
        <f t="shared" ca="1" si="3"/>
        <v>0</v>
      </c>
      <c r="D32" s="444">
        <f t="shared" si="4"/>
        <v>103.31855600000002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172.42191981805183</v>
      </c>
    </row>
    <row r="33" spans="1:17" s="453" customFormat="1">
      <c r="A33" s="1009" t="s">
        <v>552</v>
      </c>
      <c r="B33" s="949">
        <f ca="1">SUM(B22:B32)</f>
        <v>5038.4078405537175</v>
      </c>
      <c r="C33" s="949">
        <f t="shared" ref="C33:Q33" ca="1" si="18">SUM(C22:C32)</f>
        <v>0</v>
      </c>
      <c r="D33" s="949">
        <f t="shared" ca="1" si="18"/>
        <v>4023.0169272743051</v>
      </c>
      <c r="E33" s="949">
        <f t="shared" si="18"/>
        <v>354.75685228339819</v>
      </c>
      <c r="F33" s="949">
        <f t="shared" ca="1" si="18"/>
        <v>11568.392904397717</v>
      </c>
      <c r="G33" s="949">
        <f t="shared" si="18"/>
        <v>8434.5328034794711</v>
      </c>
      <c r="H33" s="949">
        <f t="shared" si="18"/>
        <v>1504.2399818079382</v>
      </c>
      <c r="I33" s="949">
        <f t="shared" si="18"/>
        <v>0</v>
      </c>
      <c r="J33" s="949">
        <f t="shared" si="18"/>
        <v>367.80753859164975</v>
      </c>
      <c r="K33" s="949">
        <f t="shared" si="18"/>
        <v>0</v>
      </c>
      <c r="L33" s="949">
        <f t="shared" ca="1" si="18"/>
        <v>0</v>
      </c>
      <c r="M33" s="949">
        <f t="shared" si="18"/>
        <v>0</v>
      </c>
      <c r="N33" s="949">
        <f t="shared" ca="1" si="18"/>
        <v>0</v>
      </c>
      <c r="O33" s="949">
        <f t="shared" si="18"/>
        <v>0</v>
      </c>
      <c r="P33" s="949">
        <f t="shared" si="18"/>
        <v>0</v>
      </c>
      <c r="Q33" s="949">
        <f t="shared" ca="1" si="18"/>
        <v>31291.154848388192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1660.7778603244337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1660.7778603244337</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0.20599399581489403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0.20599399581489403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0.20599399581489403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0.20599399581489403</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3433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2225</v>
      </c>
      <c r="C14" s="324"/>
      <c r="D14" s="324"/>
      <c r="E14" s="324"/>
      <c r="F14" s="324"/>
    </row>
    <row r="15" spans="1:6">
      <c r="A15" s="1302" t="s">
        <v>177</v>
      </c>
      <c r="B15" s="1303">
        <v>18</v>
      </c>
      <c r="C15" s="324"/>
      <c r="D15" s="324"/>
      <c r="E15" s="324"/>
      <c r="F15" s="324"/>
    </row>
    <row r="16" spans="1:6">
      <c r="A16" s="1302" t="s">
        <v>6</v>
      </c>
      <c r="B16" s="1303">
        <v>697</v>
      </c>
      <c r="C16" s="324"/>
      <c r="D16" s="324"/>
      <c r="E16" s="324"/>
      <c r="F16" s="324"/>
    </row>
    <row r="17" spans="1:6">
      <c r="A17" s="1302" t="s">
        <v>7</v>
      </c>
      <c r="B17" s="1303">
        <v>657</v>
      </c>
      <c r="C17" s="324"/>
      <c r="D17" s="324"/>
      <c r="E17" s="324"/>
      <c r="F17" s="324"/>
    </row>
    <row r="18" spans="1:6">
      <c r="A18" s="1302" t="s">
        <v>8</v>
      </c>
      <c r="B18" s="1303">
        <v>922</v>
      </c>
      <c r="C18" s="324"/>
      <c r="D18" s="324"/>
      <c r="E18" s="324"/>
      <c r="F18" s="324"/>
    </row>
    <row r="19" spans="1:6">
      <c r="A19" s="1302" t="s">
        <v>9</v>
      </c>
      <c r="B19" s="1303">
        <v>729</v>
      </c>
      <c r="C19" s="324"/>
      <c r="D19" s="324"/>
      <c r="E19" s="324"/>
      <c r="F19" s="324"/>
    </row>
    <row r="20" spans="1:6">
      <c r="A20" s="1302" t="s">
        <v>10</v>
      </c>
      <c r="B20" s="1303">
        <v>642</v>
      </c>
      <c r="C20" s="324"/>
      <c r="D20" s="324"/>
      <c r="E20" s="324"/>
      <c r="F20" s="324"/>
    </row>
    <row r="21" spans="1:6">
      <c r="A21" s="1302" t="s">
        <v>11</v>
      </c>
      <c r="B21" s="1303">
        <v>330</v>
      </c>
      <c r="C21" s="324"/>
      <c r="D21" s="324"/>
      <c r="E21" s="324"/>
      <c r="F21" s="324"/>
    </row>
    <row r="22" spans="1:6">
      <c r="A22" s="1302" t="s">
        <v>12</v>
      </c>
      <c r="B22" s="1303">
        <v>790</v>
      </c>
      <c r="C22" s="324"/>
      <c r="D22" s="324"/>
      <c r="E22" s="324"/>
      <c r="F22" s="324"/>
    </row>
    <row r="23" spans="1:6">
      <c r="A23" s="1302" t="s">
        <v>13</v>
      </c>
      <c r="B23" s="1303">
        <v>10</v>
      </c>
      <c r="C23" s="324"/>
      <c r="D23" s="324"/>
      <c r="E23" s="324"/>
      <c r="F23" s="324"/>
    </row>
    <row r="24" spans="1:6">
      <c r="A24" s="1302" t="s">
        <v>14</v>
      </c>
      <c r="B24" s="1303">
        <v>1</v>
      </c>
      <c r="C24" s="324"/>
      <c r="D24" s="324"/>
      <c r="E24" s="324"/>
      <c r="F24" s="324"/>
    </row>
    <row r="25" spans="1:6">
      <c r="A25" s="1302" t="s">
        <v>15</v>
      </c>
      <c r="B25" s="1303">
        <v>76</v>
      </c>
      <c r="C25" s="324"/>
      <c r="D25" s="324"/>
      <c r="E25" s="324"/>
      <c r="F25" s="324"/>
    </row>
    <row r="26" spans="1:6">
      <c r="A26" s="1302" t="s">
        <v>16</v>
      </c>
      <c r="B26" s="1303">
        <v>133</v>
      </c>
      <c r="C26" s="324"/>
      <c r="D26" s="324"/>
      <c r="E26" s="324"/>
      <c r="F26" s="324"/>
    </row>
    <row r="27" spans="1:6">
      <c r="A27" s="1302" t="s">
        <v>17</v>
      </c>
      <c r="B27" s="1303">
        <v>0</v>
      </c>
      <c r="C27" s="324"/>
      <c r="D27" s="324"/>
      <c r="E27" s="324"/>
      <c r="F27" s="324"/>
    </row>
    <row r="28" spans="1:6">
      <c r="A28" s="1302" t="s">
        <v>18</v>
      </c>
      <c r="B28" s="1304">
        <v>14873</v>
      </c>
      <c r="C28" s="324"/>
      <c r="D28" s="324"/>
      <c r="E28" s="324"/>
      <c r="F28" s="324"/>
    </row>
    <row r="29" spans="1:6">
      <c r="A29" s="1302" t="s">
        <v>918</v>
      </c>
      <c r="B29" s="1304">
        <v>84</v>
      </c>
      <c r="C29" s="324"/>
      <c r="D29" s="324"/>
      <c r="E29" s="324"/>
      <c r="F29" s="324"/>
    </row>
    <row r="30" spans="1:6">
      <c r="A30" s="1297" t="s">
        <v>919</v>
      </c>
      <c r="B30" s="1305">
        <v>10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10236</v>
      </c>
    </row>
    <row r="39" spans="1:6">
      <c r="A39" s="1302" t="s">
        <v>29</v>
      </c>
      <c r="B39" s="1302" t="s">
        <v>30</v>
      </c>
      <c r="C39" s="1303">
        <v>920</v>
      </c>
      <c r="D39" s="1303">
        <v>15948233</v>
      </c>
      <c r="E39" s="1303">
        <v>3418</v>
      </c>
      <c r="F39" s="1303">
        <v>15292346</v>
      </c>
    </row>
    <row r="40" spans="1:6">
      <c r="A40" s="1302" t="s">
        <v>29</v>
      </c>
      <c r="B40" s="1302" t="s">
        <v>28</v>
      </c>
      <c r="C40" s="1303">
        <v>0</v>
      </c>
      <c r="D40" s="1303">
        <v>0</v>
      </c>
      <c r="E40" s="1303">
        <v>0</v>
      </c>
      <c r="F40" s="1303">
        <v>0</v>
      </c>
    </row>
    <row r="41" spans="1:6">
      <c r="A41" s="1302" t="s">
        <v>31</v>
      </c>
      <c r="B41" s="1302" t="s">
        <v>32</v>
      </c>
      <c r="C41" s="1303">
        <v>13</v>
      </c>
      <c r="D41" s="1303">
        <v>372750</v>
      </c>
      <c r="E41" s="1303">
        <v>66</v>
      </c>
      <c r="F41" s="1303">
        <v>483290</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4</v>
      </c>
      <c r="F44" s="1303">
        <v>39139</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v>
      </c>
      <c r="D48" s="1303">
        <v>53508</v>
      </c>
      <c r="E48" s="1303">
        <v>3</v>
      </c>
      <c r="F48" s="1303">
        <v>37291</v>
      </c>
    </row>
    <row r="49" spans="1:6">
      <c r="A49" s="1302" t="s">
        <v>31</v>
      </c>
      <c r="B49" s="1302" t="s">
        <v>39</v>
      </c>
      <c r="C49" s="1303">
        <v>0</v>
      </c>
      <c r="D49" s="1303">
        <v>0</v>
      </c>
      <c r="E49" s="1303">
        <v>0</v>
      </c>
      <c r="F49" s="1303">
        <v>0</v>
      </c>
    </row>
    <row r="50" spans="1:6">
      <c r="A50" s="1302" t="s">
        <v>31</v>
      </c>
      <c r="B50" s="1302" t="s">
        <v>40</v>
      </c>
      <c r="C50" s="1303">
        <v>0</v>
      </c>
      <c r="D50" s="1303">
        <v>0</v>
      </c>
      <c r="E50" s="1303">
        <v>9</v>
      </c>
      <c r="F50" s="1303">
        <v>237346</v>
      </c>
    </row>
    <row r="51" spans="1:6">
      <c r="A51" s="1302" t="s">
        <v>41</v>
      </c>
      <c r="B51" s="1302" t="s">
        <v>42</v>
      </c>
      <c r="C51" s="1303">
        <v>4</v>
      </c>
      <c r="D51" s="1303">
        <v>108599</v>
      </c>
      <c r="E51" s="1303">
        <v>55</v>
      </c>
      <c r="F51" s="1303">
        <v>640507</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3</v>
      </c>
      <c r="F54" s="1303">
        <v>642648</v>
      </c>
    </row>
    <row r="55" spans="1:6">
      <c r="A55" s="1302" t="s">
        <v>45</v>
      </c>
      <c r="B55" s="1302" t="s">
        <v>28</v>
      </c>
      <c r="C55" s="1303">
        <v>0</v>
      </c>
      <c r="D55" s="1303">
        <v>0</v>
      </c>
      <c r="E55" s="1303">
        <v>0</v>
      </c>
      <c r="F55" s="1303">
        <v>0</v>
      </c>
    </row>
    <row r="56" spans="1:6">
      <c r="A56" s="1302" t="s">
        <v>47</v>
      </c>
      <c r="B56" s="1302" t="s">
        <v>28</v>
      </c>
      <c r="C56" s="1303">
        <v>19</v>
      </c>
      <c r="D56" s="1303">
        <v>511478</v>
      </c>
      <c r="E56" s="1303">
        <v>58</v>
      </c>
      <c r="F56" s="1303">
        <v>335463</v>
      </c>
    </row>
    <row r="57" spans="1:6">
      <c r="A57" s="1302" t="s">
        <v>48</v>
      </c>
      <c r="B57" s="1302" t="s">
        <v>49</v>
      </c>
      <c r="C57" s="1303">
        <v>9</v>
      </c>
      <c r="D57" s="1303">
        <v>415106</v>
      </c>
      <c r="E57" s="1303">
        <v>35</v>
      </c>
      <c r="F57" s="1303">
        <v>852687</v>
      </c>
    </row>
    <row r="58" spans="1:6">
      <c r="A58" s="1302" t="s">
        <v>48</v>
      </c>
      <c r="B58" s="1302" t="s">
        <v>50</v>
      </c>
      <c r="C58" s="1303">
        <v>6</v>
      </c>
      <c r="D58" s="1303">
        <v>654554</v>
      </c>
      <c r="E58" s="1303">
        <v>19</v>
      </c>
      <c r="F58" s="1303">
        <v>588734</v>
      </c>
    </row>
    <row r="59" spans="1:6">
      <c r="A59" s="1302" t="s">
        <v>48</v>
      </c>
      <c r="B59" s="1302" t="s">
        <v>51</v>
      </c>
      <c r="C59" s="1303">
        <v>20</v>
      </c>
      <c r="D59" s="1303">
        <v>712928</v>
      </c>
      <c r="E59" s="1303">
        <v>92</v>
      </c>
      <c r="F59" s="1303">
        <v>2015767</v>
      </c>
    </row>
    <row r="60" spans="1:6">
      <c r="A60" s="1302" t="s">
        <v>48</v>
      </c>
      <c r="B60" s="1302" t="s">
        <v>52</v>
      </c>
      <c r="C60" s="1303">
        <v>9</v>
      </c>
      <c r="D60" s="1303">
        <v>288014</v>
      </c>
      <c r="E60" s="1303">
        <v>30</v>
      </c>
      <c r="F60" s="1303">
        <v>411851</v>
      </c>
    </row>
    <row r="61" spans="1:6">
      <c r="A61" s="1302" t="s">
        <v>48</v>
      </c>
      <c r="B61" s="1302" t="s">
        <v>53</v>
      </c>
      <c r="C61" s="1303">
        <v>42</v>
      </c>
      <c r="D61" s="1303">
        <v>2813657</v>
      </c>
      <c r="E61" s="1303">
        <v>152</v>
      </c>
      <c r="F61" s="1303">
        <v>1267586</v>
      </c>
    </row>
    <row r="62" spans="1:6">
      <c r="A62" s="1302" t="s">
        <v>48</v>
      </c>
      <c r="B62" s="1302" t="s">
        <v>54</v>
      </c>
      <c r="C62" s="1303">
        <v>0</v>
      </c>
      <c r="D62" s="1303">
        <v>0</v>
      </c>
      <c r="E62" s="1303">
        <v>3</v>
      </c>
      <c r="F62" s="1303">
        <v>15723</v>
      </c>
    </row>
    <row r="63" spans="1:6">
      <c r="A63" s="1302" t="s">
        <v>48</v>
      </c>
      <c r="B63" s="1302" t="s">
        <v>28</v>
      </c>
      <c r="C63" s="1303">
        <v>1</v>
      </c>
      <c r="D63" s="1303">
        <v>133654</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2</v>
      </c>
      <c r="F65" s="1303">
        <v>8975</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0</v>
      </c>
      <c r="F68" s="1305">
        <v>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30514746</v>
      </c>
      <c r="E73" s="442"/>
      <c r="F73" s="324"/>
    </row>
    <row r="74" spans="1:6">
      <c r="A74" s="1302" t="s">
        <v>63</v>
      </c>
      <c r="B74" s="1302" t="s">
        <v>695</v>
      </c>
      <c r="C74" s="1315" t="s">
        <v>697</v>
      </c>
      <c r="D74" s="1303">
        <v>2873747.6038292302</v>
      </c>
      <c r="E74" s="442"/>
      <c r="F74" s="324"/>
    </row>
    <row r="75" spans="1:6">
      <c r="A75" s="1302" t="s">
        <v>64</v>
      </c>
      <c r="B75" s="1302" t="s">
        <v>694</v>
      </c>
      <c r="C75" s="1315" t="s">
        <v>698</v>
      </c>
      <c r="D75" s="1303">
        <v>13418172</v>
      </c>
      <c r="E75" s="442"/>
      <c r="F75" s="324"/>
    </row>
    <row r="76" spans="1:6">
      <c r="A76" s="1302" t="s">
        <v>64</v>
      </c>
      <c r="B76" s="1302" t="s">
        <v>695</v>
      </c>
      <c r="C76" s="1315" t="s">
        <v>699</v>
      </c>
      <c r="D76" s="1303">
        <v>230249.60382923036</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219994.79234153926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1588.3805416939053</v>
      </c>
      <c r="C91" s="324"/>
      <c r="D91" s="324"/>
      <c r="E91" s="324"/>
      <c r="F91" s="324"/>
    </row>
    <row r="92" spans="1:6">
      <c r="A92" s="1297" t="s">
        <v>68</v>
      </c>
      <c r="B92" s="1298">
        <v>72.397318630528389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168</v>
      </c>
      <c r="C97" s="324"/>
      <c r="D97" s="324"/>
      <c r="E97" s="324"/>
      <c r="F97" s="324"/>
    </row>
    <row r="98" spans="1:6">
      <c r="A98" s="1302" t="s">
        <v>71</v>
      </c>
      <c r="B98" s="1303">
        <v>2</v>
      </c>
      <c r="C98" s="324"/>
      <c r="D98" s="324"/>
      <c r="E98" s="324"/>
      <c r="F98" s="324"/>
    </row>
    <row r="99" spans="1:6">
      <c r="A99" s="1302" t="s">
        <v>72</v>
      </c>
      <c r="B99" s="1303">
        <v>105</v>
      </c>
      <c r="C99" s="324"/>
      <c r="D99" s="324"/>
      <c r="E99" s="324"/>
      <c r="F99" s="324"/>
    </row>
    <row r="100" spans="1:6">
      <c r="A100" s="1302" t="s">
        <v>73</v>
      </c>
      <c r="B100" s="1303">
        <v>325</v>
      </c>
      <c r="C100" s="324"/>
      <c r="D100" s="324"/>
      <c r="E100" s="324"/>
      <c r="F100" s="324"/>
    </row>
    <row r="101" spans="1:6">
      <c r="A101" s="1302" t="s">
        <v>74</v>
      </c>
      <c r="B101" s="1303">
        <v>72</v>
      </c>
      <c r="C101" s="324"/>
      <c r="D101" s="324"/>
      <c r="E101" s="324"/>
      <c r="F101" s="324"/>
    </row>
    <row r="102" spans="1:6">
      <c r="A102" s="1302" t="s">
        <v>75</v>
      </c>
      <c r="B102" s="1303">
        <v>36</v>
      </c>
      <c r="C102" s="324"/>
      <c r="D102" s="324"/>
      <c r="E102" s="324"/>
      <c r="F102" s="324"/>
    </row>
    <row r="103" spans="1:6">
      <c r="A103" s="1302" t="s">
        <v>76</v>
      </c>
      <c r="B103" s="1303">
        <v>129</v>
      </c>
      <c r="C103" s="324"/>
      <c r="D103" s="324"/>
      <c r="E103" s="324"/>
      <c r="F103" s="324"/>
    </row>
    <row r="104" spans="1:6">
      <c r="A104" s="1302" t="s">
        <v>77</v>
      </c>
      <c r="B104" s="1303">
        <v>2144</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15</v>
      </c>
      <c r="C123" s="1303">
        <v>8</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44</v>
      </c>
      <c r="C129" s="324"/>
      <c r="D129" s="324"/>
      <c r="E129" s="324"/>
      <c r="F129" s="324"/>
    </row>
    <row r="130" spans="1:6">
      <c r="A130" s="1302" t="s">
        <v>284</v>
      </c>
      <c r="B130" s="1303">
        <v>2</v>
      </c>
      <c r="C130" s="324"/>
      <c r="D130" s="324"/>
      <c r="E130" s="324"/>
      <c r="F130" s="324"/>
    </row>
    <row r="131" spans="1:6">
      <c r="A131" s="1302" t="s">
        <v>285</v>
      </c>
      <c r="B131" s="1303">
        <v>0</v>
      </c>
      <c r="C131" s="324"/>
      <c r="D131" s="324"/>
      <c r="E131" s="324"/>
      <c r="F131" s="324"/>
    </row>
    <row r="132" spans="1:6">
      <c r="A132" s="1297" t="s">
        <v>286</v>
      </c>
      <c r="B132" s="1298">
        <v>18</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24459.003383191928</v>
      </c>
      <c r="C3" s="43" t="s">
        <v>163</v>
      </c>
      <c r="D3" s="43"/>
      <c r="E3" s="154"/>
      <c r="F3" s="43"/>
      <c r="G3" s="43"/>
      <c r="H3" s="43"/>
      <c r="I3" s="43"/>
      <c r="J3" s="43"/>
      <c r="K3" s="96"/>
    </row>
    <row r="4" spans="1:11">
      <c r="A4" s="351" t="s">
        <v>164</v>
      </c>
      <c r="B4" s="49">
        <f>IF(ISERROR('SEAP template'!B78+'SEAP template'!C78),0,'SEAP template'!B78+'SEAP template'!C78)</f>
        <v>1660.7778603244337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0.20599399581489403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642.64800000000002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642.64800000000002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0.20599399581489403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132.38162942245003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15292.346</v>
      </c>
      <c r="C5" s="17">
        <f>IF(ISERROR('Eigen informatie GS &amp; warmtenet'!B57),0,'Eigen informatie GS &amp; warmtenet'!B57)</f>
        <v>0</v>
      </c>
      <c r="D5" s="30">
        <f>(SUM(HH_hh_gas_kWh,HH_rest_gas_kWh)/1000)*0.902</f>
        <v>14385.306166</v>
      </c>
      <c r="E5" s="17">
        <f>B32*B41</f>
        <v>1270.9067240936547</v>
      </c>
      <c r="F5" s="17">
        <f>B36*B45</f>
        <v>40093.142163639699</v>
      </c>
      <c r="G5" s="18"/>
      <c r="H5" s="17"/>
      <c r="I5" s="17"/>
      <c r="J5" s="17">
        <f>B35*B44+C35*C44</f>
        <v>934.97056068099823</v>
      </c>
      <c r="K5" s="17"/>
      <c r="L5" s="17"/>
      <c r="M5" s="17"/>
      <c r="N5" s="17">
        <f>B34*B43+C34*C43</f>
        <v>4373.6175134766017</v>
      </c>
      <c r="O5" s="17">
        <f>B52*B53*B54</f>
        <v>81.293333333333337</v>
      </c>
      <c r="P5" s="17">
        <f>B60*B61*B62/1000-B60*B61*B62/1000/B63</f>
        <v>648.26666666666665</v>
      </c>
    </row>
    <row r="6" spans="1:16">
      <c r="A6" s="16" t="s">
        <v>618</v>
      </c>
      <c r="B6" s="755">
        <f>kWh_PV_kleiner_dan_10kW</f>
        <v>1588.3805416939053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16880.726541693904</v>
      </c>
      <c r="C8" s="21">
        <f>C5</f>
        <v>0</v>
      </c>
      <c r="D8" s="21">
        <f>D5</f>
        <v>14385.306166</v>
      </c>
      <c r="E8" s="21">
        <f>E5</f>
        <v>1270.9067240936547</v>
      </c>
      <c r="F8" s="21">
        <f>F5</f>
        <v>40093.142163639699</v>
      </c>
      <c r="G8" s="21"/>
      <c r="H8" s="21"/>
      <c r="I8" s="21"/>
      <c r="J8" s="21">
        <f>J5</f>
        <v>934.97056068099823</v>
      </c>
      <c r="K8" s="21"/>
      <c r="L8" s="21">
        <f>L5</f>
        <v>0</v>
      </c>
      <c r="M8" s="21">
        <f>M5</f>
        <v>0</v>
      </c>
      <c r="N8" s="21">
        <f>N5</f>
        <v>4373.6175134766017</v>
      </c>
      <c r="O8" s="21">
        <f>O5</f>
        <v>81.293333333333337</v>
      </c>
      <c r="P8" s="21">
        <f>P5</f>
        <v>648.26666666666665</v>
      </c>
    </row>
    <row r="9" spans="1:16">
      <c r="B9" s="19"/>
      <c r="C9" s="19"/>
      <c r="D9" s="254"/>
      <c r="E9" s="19"/>
      <c r="F9" s="19"/>
      <c r="G9" s="19"/>
      <c r="H9" s="19"/>
      <c r="I9" s="19"/>
      <c r="J9" s="19"/>
      <c r="K9" s="19"/>
      <c r="L9" s="19"/>
      <c r="M9" s="19"/>
      <c r="N9" s="19"/>
      <c r="O9" s="19"/>
      <c r="P9" s="19"/>
    </row>
    <row r="10" spans="1:16">
      <c r="A10" s="24" t="s">
        <v>207</v>
      </c>
      <c r="B10" s="25">
        <f ca="1">'EF ele_warmte'!B12</f>
        <v>0.20599399581489403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3477.3283125820649</v>
      </c>
      <c r="C12" s="23">
        <f ca="1">C10*C8</f>
        <v>0</v>
      </c>
      <c r="D12" s="23">
        <f>D8*D10</f>
        <v>2905.8318455320004</v>
      </c>
      <c r="E12" s="23">
        <f>E10*E8</f>
        <v>288.49582636925965</v>
      </c>
      <c r="F12" s="23">
        <f>F10*F8</f>
        <v>10704.8689576918</v>
      </c>
      <c r="G12" s="23"/>
      <c r="H12" s="23"/>
      <c r="I12" s="23"/>
      <c r="J12" s="23">
        <f>J10*J8</f>
        <v>330.97957848107336</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3433</v>
      </c>
      <c r="C26" s="36"/>
      <c r="D26" s="225"/>
    </row>
    <row r="27" spans="1:5" s="15" customFormat="1">
      <c r="A27" s="227" t="s">
        <v>721</v>
      </c>
      <c r="B27" s="37">
        <f>SUM(HH_hh_gas_aantal,HH_rest_gas_aantal)</f>
        <v>920</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874</v>
      </c>
      <c r="C31" s="34" t="s">
        <v>104</v>
      </c>
      <c r="D31" s="171"/>
    </row>
    <row r="32" spans="1:5">
      <c r="A32" s="168" t="s">
        <v>72</v>
      </c>
      <c r="B32" s="33">
        <f>IF((B21*($B$26-($B$27-0.05*$B$27)-$B$60))&lt;0,0,B21*($B$26-($B$27-0.05*$B$27)-$B$60))</f>
        <v>15.920681635251874</v>
      </c>
      <c r="C32" s="34" t="s">
        <v>104</v>
      </c>
      <c r="D32" s="171"/>
    </row>
    <row r="33" spans="1:6">
      <c r="A33" s="168" t="s">
        <v>73</v>
      </c>
      <c r="B33" s="33">
        <f>IF((B22*($B$26-($B$27-0.05*$B$27)-$B$60))&lt;0,0,B22*($B$26-($B$27-0.05*$B$27)-$B$60))</f>
        <v>554.41596983050852</v>
      </c>
      <c r="C33" s="34" t="s">
        <v>104</v>
      </c>
      <c r="D33" s="171"/>
    </row>
    <row r="34" spans="1:6">
      <c r="A34" s="168" t="s">
        <v>74</v>
      </c>
      <c r="B34" s="33">
        <f>IF((B24*($B$26-($B$27-0.05*$B$27)-$B$60))&lt;0,0,B24*($B$26-($B$27-0.05*$B$27)-$B$60))</f>
        <v>110.04911731630843</v>
      </c>
      <c r="C34" s="33">
        <f>B26*C24</f>
        <v>702.39070976330493</v>
      </c>
      <c r="D34" s="230"/>
    </row>
    <row r="35" spans="1:6">
      <c r="A35" s="168" t="s">
        <v>76</v>
      </c>
      <c r="B35" s="33">
        <f>IF((B19*($B$26-($B$27-0.05*$B$27)-$B$60))&lt;0,0,B19*($B$26-($B$27-0.05*$B$27)-$B$60))</f>
        <v>53.765252255927116</v>
      </c>
      <c r="C35" s="33">
        <f>B35/2</f>
        <v>26.882626127963558</v>
      </c>
      <c r="D35" s="230"/>
    </row>
    <row r="36" spans="1:6">
      <c r="A36" s="168" t="s">
        <v>77</v>
      </c>
      <c r="B36" s="33">
        <f>IF((B18*($B$26-($B$27-0.05*$B$27)-$B$60))&lt;0,0,B18*($B$26-($B$27-0.05*$B$27)-$B$60))</f>
        <v>1790.8489789620048</v>
      </c>
      <c r="C36" s="34" t="s">
        <v>104</v>
      </c>
      <c r="D36" s="171"/>
    </row>
    <row r="37" spans="1:6">
      <c r="A37" s="168" t="s">
        <v>78</v>
      </c>
      <c r="B37" s="33">
        <f>B60</f>
        <v>34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52</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5152.348</v>
      </c>
      <c r="C5" s="17">
        <f>IF(ISERROR('Eigen informatie GS &amp; warmtenet'!B58),0,'Eigen informatie GS &amp; warmtenet'!B58)</f>
        <v>0</v>
      </c>
      <c r="D5" s="30">
        <f>SUM(D6:D12)</f>
        <v>4526.1575260000009</v>
      </c>
      <c r="E5" s="17">
        <f>SUM(E6:E12)</f>
        <v>46.01349448086615</v>
      </c>
      <c r="F5" s="17">
        <f>SUM(F6:F12)</f>
        <v>759.05570230842898</v>
      </c>
      <c r="G5" s="18"/>
      <c r="H5" s="17"/>
      <c r="I5" s="17"/>
      <c r="J5" s="17">
        <f>SUM(J6:J12)</f>
        <v>0</v>
      </c>
      <c r="K5" s="17"/>
      <c r="L5" s="17"/>
      <c r="M5" s="17"/>
      <c r="N5" s="17">
        <f>SUM(N6:N12)</f>
        <v>634.55441335405078</v>
      </c>
      <c r="O5" s="17">
        <f>B38*B39*B40</f>
        <v>3.1266666666666669</v>
      </c>
      <c r="P5" s="17">
        <f>B46*B47*B48/1000-B46*B47*B48/1000/B49</f>
        <v>0</v>
      </c>
      <c r="R5" s="32"/>
    </row>
    <row r="6" spans="1:18">
      <c r="A6" s="32" t="s">
        <v>53</v>
      </c>
      <c r="B6" s="37">
        <f>B26</f>
        <v>1267.586</v>
      </c>
      <c r="C6" s="33"/>
      <c r="D6" s="37">
        <f>IF(ISERROR(TER_kantoor_gas_kWh/1000),0,TER_kantoor_gas_kWh/1000)*0.902</f>
        <v>2537.9186140000002</v>
      </c>
      <c r="E6" s="33">
        <f>$C$26*'E Balans VL '!I12/100/3.6*1000000</f>
        <v>3.6723826232369632</v>
      </c>
      <c r="F6" s="33">
        <f>$C$26*('E Balans VL '!L12+'E Balans VL '!N12)/100/3.6*1000000</f>
        <v>143.46280811516766</v>
      </c>
      <c r="G6" s="34"/>
      <c r="H6" s="33"/>
      <c r="I6" s="33"/>
      <c r="J6" s="33">
        <f>$C$26*('E Balans VL '!D12+'E Balans VL '!E12)/100/3.6*1000000</f>
        <v>0</v>
      </c>
      <c r="K6" s="33"/>
      <c r="L6" s="33"/>
      <c r="M6" s="33"/>
      <c r="N6" s="33">
        <f>$C$26*'E Balans VL '!Y12/100/3.6*1000000</f>
        <v>12.687601860933293</v>
      </c>
      <c r="O6" s="33"/>
      <c r="P6" s="33"/>
      <c r="R6" s="32"/>
    </row>
    <row r="7" spans="1:18">
      <c r="A7" s="32" t="s">
        <v>52</v>
      </c>
      <c r="B7" s="37">
        <f t="shared" ref="B7:B12" si="0">B27</f>
        <v>411.851</v>
      </c>
      <c r="C7" s="33"/>
      <c r="D7" s="37">
        <f>IF(ISERROR(TER_horeca_gas_kWh/1000),0,TER_horeca_gas_kWh/1000)*0.902</f>
        <v>259.78862800000002</v>
      </c>
      <c r="E7" s="33">
        <f>$C$27*'E Balans VL '!I9/100/3.6*1000000</f>
        <v>17.288354291048027</v>
      </c>
      <c r="F7" s="33">
        <f>$C$27*('E Balans VL '!L9+'E Balans VL '!N9)/100/3.6*1000000</f>
        <v>88.494633150205374</v>
      </c>
      <c r="G7" s="34"/>
      <c r="H7" s="33"/>
      <c r="I7" s="33"/>
      <c r="J7" s="33">
        <f>$C$27*('E Balans VL '!D9+'E Balans VL '!E9)/100/3.6*1000000</f>
        <v>0</v>
      </c>
      <c r="K7" s="33"/>
      <c r="L7" s="33"/>
      <c r="M7" s="33"/>
      <c r="N7" s="33">
        <f>$C$27*'E Balans VL '!Y9/100/3.6*1000000</f>
        <v>0.10613040093234258</v>
      </c>
      <c r="O7" s="33"/>
      <c r="P7" s="33"/>
      <c r="R7" s="32"/>
    </row>
    <row r="8" spans="1:18">
      <c r="A8" s="6" t="s">
        <v>51</v>
      </c>
      <c r="B8" s="37">
        <f t="shared" si="0"/>
        <v>2015.7670000000001</v>
      </c>
      <c r="C8" s="33"/>
      <c r="D8" s="37">
        <f>IF(ISERROR(TER_handel_gas_kWh/1000),0,TER_handel_gas_kWh/1000)*0.902</f>
        <v>643.06105600000001</v>
      </c>
      <c r="E8" s="33">
        <f>$C$28*'E Balans VL '!I13/100/3.6*1000000</f>
        <v>21.65101525518352</v>
      </c>
      <c r="F8" s="33">
        <f>$C$28*('E Balans VL '!L13+'E Balans VL '!N13)/100/3.6*1000000</f>
        <v>260.95768401073508</v>
      </c>
      <c r="G8" s="34"/>
      <c r="H8" s="33"/>
      <c r="I8" s="33"/>
      <c r="J8" s="33">
        <f>$C$28*('E Balans VL '!D13+'E Balans VL '!E13)/100/3.6*1000000</f>
        <v>0</v>
      </c>
      <c r="K8" s="33"/>
      <c r="L8" s="33"/>
      <c r="M8" s="33"/>
      <c r="N8" s="33">
        <f>$C$28*'E Balans VL '!Y13/100/3.6*1000000</f>
        <v>16.352011969663806</v>
      </c>
      <c r="O8" s="33"/>
      <c r="P8" s="33"/>
      <c r="R8" s="32"/>
    </row>
    <row r="9" spans="1:18">
      <c r="A9" s="32" t="s">
        <v>50</v>
      </c>
      <c r="B9" s="37">
        <f t="shared" si="0"/>
        <v>588.73400000000004</v>
      </c>
      <c r="C9" s="33"/>
      <c r="D9" s="37">
        <f>IF(ISERROR(TER_gezond_gas_kWh/1000),0,TER_gezond_gas_kWh/1000)*0.902</f>
        <v>590.40770799999996</v>
      </c>
      <c r="E9" s="33">
        <f>$C$29*'E Balans VL '!I10/100/3.6*1000000</f>
        <v>0.46867034229497234</v>
      </c>
      <c r="F9" s="33">
        <f>$C$29*('E Balans VL '!L10+'E Balans VL '!N10)/100/3.6*1000000</f>
        <v>71.569125672616536</v>
      </c>
      <c r="G9" s="34"/>
      <c r="H9" s="33"/>
      <c r="I9" s="33"/>
      <c r="J9" s="33">
        <f>$C$29*('E Balans VL '!D10+'E Balans VL '!E10)/100/3.6*1000000</f>
        <v>0</v>
      </c>
      <c r="K9" s="33"/>
      <c r="L9" s="33"/>
      <c r="M9" s="33"/>
      <c r="N9" s="33">
        <f>$C$29*'E Balans VL '!Y10/100/3.6*1000000</f>
        <v>4.7556372771748237</v>
      </c>
      <c r="O9" s="33"/>
      <c r="P9" s="33"/>
      <c r="R9" s="32"/>
    </row>
    <row r="10" spans="1:18">
      <c r="A10" s="32" t="s">
        <v>49</v>
      </c>
      <c r="B10" s="37">
        <f t="shared" si="0"/>
        <v>852.68700000000001</v>
      </c>
      <c r="C10" s="33"/>
      <c r="D10" s="37">
        <f>IF(ISERROR(TER_ander_gas_kWh/1000),0,TER_ander_gas_kWh/1000)*0.902</f>
        <v>374.425612</v>
      </c>
      <c r="E10" s="33">
        <f>$C$30*'E Balans VL '!I14/100/3.6*1000000</f>
        <v>2.9222031434329629</v>
      </c>
      <c r="F10" s="33">
        <f>$C$30*('E Balans VL '!L14+'E Balans VL '!N14)/100/3.6*1000000</f>
        <v>190.45562668186494</v>
      </c>
      <c r="G10" s="34"/>
      <c r="H10" s="33"/>
      <c r="I10" s="33"/>
      <c r="J10" s="33">
        <f>$C$30*('E Balans VL '!D14+'E Balans VL '!E14)/100/3.6*1000000</f>
        <v>0</v>
      </c>
      <c r="K10" s="33"/>
      <c r="L10" s="33"/>
      <c r="M10" s="33"/>
      <c r="N10" s="33">
        <f>$C$30*'E Balans VL '!Y14/100/3.6*1000000</f>
        <v>600.63738093802715</v>
      </c>
      <c r="O10" s="33"/>
      <c r="P10" s="33"/>
      <c r="R10" s="32"/>
    </row>
    <row r="11" spans="1:18">
      <c r="A11" s="32" t="s">
        <v>54</v>
      </c>
      <c r="B11" s="37">
        <f t="shared" si="0"/>
        <v>15.723000000000001</v>
      </c>
      <c r="C11" s="33"/>
      <c r="D11" s="37">
        <f>IF(ISERROR(TER_onderwijs_gas_kWh/1000),0,TER_onderwijs_gas_kWh/1000)*0.902</f>
        <v>0</v>
      </c>
      <c r="E11" s="33">
        <f>$C$31*'E Balans VL '!I11/100/3.6*1000000</f>
        <v>1.0868825669709524E-2</v>
      </c>
      <c r="F11" s="33">
        <f>$C$31*('E Balans VL '!L11+'E Balans VL '!N11)/100/3.6*1000000</f>
        <v>4.1158246778393428</v>
      </c>
      <c r="G11" s="34"/>
      <c r="H11" s="33"/>
      <c r="I11" s="33"/>
      <c r="J11" s="33">
        <f>$C$31*('E Balans VL '!D11+'E Balans VL '!E11)/100/3.6*1000000</f>
        <v>0</v>
      </c>
      <c r="K11" s="33"/>
      <c r="L11" s="33"/>
      <c r="M11" s="33"/>
      <c r="N11" s="33">
        <f>$C$31*'E Balans VL '!Y11/100/3.6*1000000</f>
        <v>1.5650907319327154E-2</v>
      </c>
      <c r="O11" s="33"/>
      <c r="P11" s="33"/>
      <c r="R11" s="32"/>
    </row>
    <row r="12" spans="1:18">
      <c r="A12" s="32" t="s">
        <v>249</v>
      </c>
      <c r="B12" s="37">
        <f t="shared" si="0"/>
        <v>0</v>
      </c>
      <c r="C12" s="33"/>
      <c r="D12" s="37">
        <f>IF(ISERROR(TER_rest_gas_kWh/1000),0,TER_rest_gas_kWh/1000)*0.902</f>
        <v>120.555908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5152.348</v>
      </c>
      <c r="C16" s="21">
        <f t="shared" ca="1" si="1"/>
        <v>0</v>
      </c>
      <c r="D16" s="21">
        <f t="shared" ca="1" si="1"/>
        <v>4526.1575260000009</v>
      </c>
      <c r="E16" s="21">
        <f t="shared" si="1"/>
        <v>46.01349448086615</v>
      </c>
      <c r="F16" s="21">
        <f t="shared" ca="1" si="1"/>
        <v>759.05570230842898</v>
      </c>
      <c r="G16" s="21">
        <f t="shared" si="1"/>
        <v>0</v>
      </c>
      <c r="H16" s="21">
        <f t="shared" si="1"/>
        <v>0</v>
      </c>
      <c r="I16" s="21">
        <f t="shared" si="1"/>
        <v>0</v>
      </c>
      <c r="J16" s="21">
        <f t="shared" si="1"/>
        <v>0</v>
      </c>
      <c r="K16" s="21">
        <f t="shared" si="1"/>
        <v>0</v>
      </c>
      <c r="L16" s="21">
        <f t="shared" ca="1" si="1"/>
        <v>0</v>
      </c>
      <c r="M16" s="21">
        <f t="shared" si="1"/>
        <v>0</v>
      </c>
      <c r="N16" s="21">
        <f t="shared" ca="1" si="1"/>
        <v>634.55441335405078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0.20599399581489403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1061.3527523488776</v>
      </c>
      <c r="C20" s="23">
        <f t="shared" ref="C20:P20" ca="1" si="2">C16*C18</f>
        <v>0</v>
      </c>
      <c r="D20" s="23">
        <f t="shared" ca="1" si="2"/>
        <v>914.28382025200028</v>
      </c>
      <c r="E20" s="23">
        <f t="shared" si="2"/>
        <v>10.445063247156616</v>
      </c>
      <c r="F20" s="23">
        <f t="shared" ca="1" si="2"/>
        <v>202.66787251635054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1267.586</v>
      </c>
      <c r="C26" s="39">
        <f>IF(ISERROR(B26*3.6/1000000/'E Balans VL '!Z12*100),0,B26*3.6/1000000/'E Balans VL '!Z12*100)</f>
        <v>2.7843991966164747E-2</v>
      </c>
      <c r="D26" s="233" t="s">
        <v>676</v>
      </c>
      <c r="F26" s="6"/>
    </row>
    <row r="27" spans="1:18">
      <c r="A27" s="228" t="s">
        <v>52</v>
      </c>
      <c r="B27" s="33">
        <f>IF(ISERROR(TER_horeca_ele_kWh/1000),0,TER_horeca_ele_kWh/1000)</f>
        <v>411.851</v>
      </c>
      <c r="C27" s="39">
        <f>IF(ISERROR(B27*3.6/1000000/'E Balans VL '!Z9*100),0,B27*3.6/1000000/'E Balans VL '!Z9*100)</f>
        <v>3.3096333229256966E-2</v>
      </c>
      <c r="D27" s="233" t="s">
        <v>676</v>
      </c>
      <c r="F27" s="6"/>
    </row>
    <row r="28" spans="1:18">
      <c r="A28" s="168" t="s">
        <v>51</v>
      </c>
      <c r="B28" s="33">
        <f>IF(ISERROR(TER_handel_ele_kWh/1000),0,TER_handel_ele_kWh/1000)</f>
        <v>2015.7670000000001</v>
      </c>
      <c r="C28" s="39">
        <f>IF(ISERROR(B28*3.6/1000000/'E Balans VL '!Z13*100),0,B28*3.6/1000000/'E Balans VL '!Z13*100)</f>
        <v>5.9604821945605499E-2</v>
      </c>
      <c r="D28" s="233" t="s">
        <v>676</v>
      </c>
      <c r="F28" s="6"/>
    </row>
    <row r="29" spans="1:18">
      <c r="A29" s="228" t="s">
        <v>50</v>
      </c>
      <c r="B29" s="33">
        <f>IF(ISERROR(TER_gezond_ele_kWh/1000),0,TER_gezond_ele_kWh/1000)</f>
        <v>588.73400000000004</v>
      </c>
      <c r="C29" s="39">
        <f>IF(ISERROR(B29*3.6/1000000/'E Balans VL '!Z10*100),0,B29*3.6/1000000/'E Balans VL '!Z10*100)</f>
        <v>6.6335122027983293E-2</v>
      </c>
      <c r="D29" s="233" t="s">
        <v>676</v>
      </c>
      <c r="F29" s="6"/>
    </row>
    <row r="30" spans="1:18">
      <c r="A30" s="228" t="s">
        <v>49</v>
      </c>
      <c r="B30" s="33">
        <f>IF(ISERROR(TER_ander_ele_kWh/1000),0,TER_ander_ele_kWh/1000)</f>
        <v>852.68700000000001</v>
      </c>
      <c r="C30" s="39">
        <f>IF(ISERROR(B30*3.6/1000000/'E Balans VL '!Z14*100),0,B30*3.6/1000000/'E Balans VL '!Z14*100)</f>
        <v>6.4487260207413508E-2</v>
      </c>
      <c r="D30" s="233" t="s">
        <v>676</v>
      </c>
      <c r="F30" s="6"/>
    </row>
    <row r="31" spans="1:18">
      <c r="A31" s="228" t="s">
        <v>54</v>
      </c>
      <c r="B31" s="33">
        <f>IF(ISERROR(TER_onderwijs_ele_kWh/1000),0,TER_onderwijs_ele_kWh/1000)</f>
        <v>15.723000000000001</v>
      </c>
      <c r="C31" s="39">
        <f>IF(ISERROR(B31*3.6/1000000/'E Balans VL '!Z11*100),0,B31*3.6/1000000/'E Balans VL '!Z11*100)</f>
        <v>3.2637298062243377E-3</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797.06600000000003</v>
      </c>
      <c r="C5" s="17">
        <f>IF(ISERROR('Eigen informatie GS &amp; warmtenet'!B59),0,'Eigen informatie GS &amp; warmtenet'!B59)</f>
        <v>0</v>
      </c>
      <c r="D5" s="30">
        <f>SUM(D6:D15)</f>
        <v>384.48471600000005</v>
      </c>
      <c r="E5" s="17">
        <f>SUM(E6:E15)</f>
        <v>138.18116089356778</v>
      </c>
      <c r="F5" s="17">
        <f>SUM(F6:F15)</f>
        <v>850.02810727416954</v>
      </c>
      <c r="G5" s="18"/>
      <c r="H5" s="17"/>
      <c r="I5" s="17"/>
      <c r="J5" s="17">
        <f>SUM(J6:J15)</f>
        <v>5.8369144441147851</v>
      </c>
      <c r="K5" s="17"/>
      <c r="L5" s="17"/>
      <c r="M5" s="17"/>
      <c r="N5" s="17">
        <f>SUM(N6:N15)</f>
        <v>167.05760279960194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39.139000000000003</v>
      </c>
      <c r="C8" s="33"/>
      <c r="D8" s="37">
        <f>IF( ISERROR(IND_metaal_Gas_kWH/1000),0,IND_metaal_Gas_kWH/1000)*0.902</f>
        <v>0</v>
      </c>
      <c r="E8" s="33">
        <f>C30*'E Balans VL '!I18/100/3.6*1000000</f>
        <v>0.97951218643468152</v>
      </c>
      <c r="F8" s="33">
        <f>C30*'E Balans VL '!L18/100/3.6*1000000+C30*'E Balans VL '!N18/100/3.6*1000000</f>
        <v>12.266357287398376</v>
      </c>
      <c r="G8" s="34"/>
      <c r="H8" s="33"/>
      <c r="I8" s="33"/>
      <c r="J8" s="40">
        <f>C30*'E Balans VL '!D18/100/3.6*1000000+C30*'E Balans VL '!E18/100/3.6*1000000</f>
        <v>0</v>
      </c>
      <c r="K8" s="33"/>
      <c r="L8" s="33"/>
      <c r="M8" s="33"/>
      <c r="N8" s="33">
        <f>C30*'E Balans VL '!Y18/100/3.6*1000000</f>
        <v>0.98327325456237014</v>
      </c>
      <c r="O8" s="33"/>
      <c r="P8" s="33"/>
      <c r="R8" s="32"/>
    </row>
    <row r="9" spans="1:18">
      <c r="A9" s="6" t="s">
        <v>32</v>
      </c>
      <c r="B9" s="37">
        <f t="shared" si="0"/>
        <v>483.29</v>
      </c>
      <c r="C9" s="33"/>
      <c r="D9" s="37">
        <f>IF( ISERROR(IND_andere_gas_kWh/1000),0,IND_andere_gas_kWh/1000)*0.902</f>
        <v>336.22050000000002</v>
      </c>
      <c r="E9" s="33">
        <f>C31*'E Balans VL '!I19/100/3.6*1000000</f>
        <v>132.88492783378189</v>
      </c>
      <c r="F9" s="33">
        <f>C31*'E Balans VL '!L19/100/3.6*1000000+C31*'E Balans VL '!N19/100/3.6*1000000</f>
        <v>380.91661849810055</v>
      </c>
      <c r="G9" s="34"/>
      <c r="H9" s="33"/>
      <c r="I9" s="33"/>
      <c r="J9" s="40">
        <f>C31*'E Balans VL '!D19/100/3.6*1000000+C31*'E Balans VL '!E19/100/3.6*1000000</f>
        <v>0</v>
      </c>
      <c r="K9" s="33"/>
      <c r="L9" s="33"/>
      <c r="M9" s="33"/>
      <c r="N9" s="33">
        <f>C31*'E Balans VL '!Y19/100/3.6*1000000</f>
        <v>38.934146947838592</v>
      </c>
      <c r="O9" s="33"/>
      <c r="P9" s="33"/>
      <c r="R9" s="32"/>
    </row>
    <row r="10" spans="1:18">
      <c r="A10" s="6" t="s">
        <v>40</v>
      </c>
      <c r="B10" s="37">
        <f t="shared" si="0"/>
        <v>237.346</v>
      </c>
      <c r="C10" s="33"/>
      <c r="D10" s="37">
        <f>IF( ISERROR(IND_voed_gas_kWh/1000),0,IND_voed_gas_kWh/1000)*0.902</f>
        <v>0</v>
      </c>
      <c r="E10" s="33">
        <f>C32*'E Balans VL '!I20/100/3.6*1000000</f>
        <v>2.4196117153425107</v>
      </c>
      <c r="F10" s="33">
        <f>C32*'E Balans VL '!L20/100/3.6*1000000+C32*'E Balans VL '!N20/100/3.6*1000000</f>
        <v>448.34510954406591</v>
      </c>
      <c r="G10" s="34"/>
      <c r="H10" s="33"/>
      <c r="I10" s="33"/>
      <c r="J10" s="40">
        <f>C32*'E Balans VL '!D20/100/3.6*1000000+C32*'E Balans VL '!E20/100/3.6*1000000</f>
        <v>5.6804663796279762</v>
      </c>
      <c r="K10" s="33"/>
      <c r="L10" s="33"/>
      <c r="M10" s="33"/>
      <c r="N10" s="33">
        <f>C32*'E Balans VL '!Y20/100/3.6*1000000</f>
        <v>125.10868090680576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37.290999999999997</v>
      </c>
      <c r="C15" s="33"/>
      <c r="D15" s="37">
        <f>IF( ISERROR(IND_rest_gas_kWh/1000),0,IND_rest_gas_kWh/1000)*0.902</f>
        <v>48.264216000000005</v>
      </c>
      <c r="E15" s="33">
        <f>C37*'E Balans VL '!I15/100/3.6*1000000</f>
        <v>1.8971091580086914</v>
      </c>
      <c r="F15" s="33">
        <f>C37*'E Balans VL '!L15/100/3.6*1000000+C37*'E Balans VL '!N15/100/3.6*1000000</f>
        <v>8.5000219446046756</v>
      </c>
      <c r="G15" s="34"/>
      <c r="H15" s="33"/>
      <c r="I15" s="33"/>
      <c r="J15" s="40">
        <f>C37*'E Balans VL '!D15/100/3.6*1000000+C37*'E Balans VL '!E15/100/3.6*1000000</f>
        <v>0.15644806448680906</v>
      </c>
      <c r="K15" s="33"/>
      <c r="L15" s="33"/>
      <c r="M15" s="33"/>
      <c r="N15" s="33">
        <f>C37*'E Balans VL '!Y15/100/3.6*1000000</f>
        <v>2.0315016903952441</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797.06600000000003</v>
      </c>
      <c r="C18" s="21">
        <f>C5+C16</f>
        <v>0</v>
      </c>
      <c r="D18" s="21">
        <f>MAX((D5+D16),0)</f>
        <v>384.48471600000005</v>
      </c>
      <c r="E18" s="21">
        <f>MAX((E5+E16),0)</f>
        <v>138.18116089356778</v>
      </c>
      <c r="F18" s="21">
        <f>MAX((F5+F16),0)</f>
        <v>850.02810727416954</v>
      </c>
      <c r="G18" s="21"/>
      <c r="H18" s="21"/>
      <c r="I18" s="21"/>
      <c r="J18" s="21">
        <f>MAX((J5+J16),0)</f>
        <v>5.8369144441147851</v>
      </c>
      <c r="K18" s="21"/>
      <c r="L18" s="21">
        <f>MAX((L5+L16),0)</f>
        <v>0</v>
      </c>
      <c r="M18" s="21"/>
      <c r="N18" s="21">
        <f>MAX((N5+N16),0)</f>
        <v>167.05760279960194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0.20599399581489403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164.19081026819433</v>
      </c>
      <c r="C22" s="23">
        <f ca="1">C18*C20</f>
        <v>0</v>
      </c>
      <c r="D22" s="23">
        <f>D18*D20</f>
        <v>77.665912632000015</v>
      </c>
      <c r="E22" s="23">
        <f>E18*E20</f>
        <v>31.367123522839886</v>
      </c>
      <c r="F22" s="23">
        <f>F18*F20</f>
        <v>226.95750464220328</v>
      </c>
      <c r="G22" s="23"/>
      <c r="H22" s="23"/>
      <c r="I22" s="23"/>
      <c r="J22" s="23">
        <f>J18*J20</f>
        <v>2.0662677132166336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39.139000000000003</v>
      </c>
      <c r="C30" s="39">
        <f>IF(ISERROR(B30*3.6/1000000/'E Balans VL '!Z18*100),0,B30*3.6/1000000/'E Balans VL '!Z18*100)</f>
        <v>5.4781556784157612E-3</v>
      </c>
      <c r="D30" s="233" t="s">
        <v>676</v>
      </c>
    </row>
    <row r="31" spans="1:18">
      <c r="A31" s="6" t="s">
        <v>32</v>
      </c>
      <c r="B31" s="37">
        <f>IF( ISERROR(IND_ander_ele_kWh/1000),0,IND_ander_ele_kWh/1000)</f>
        <v>483.29</v>
      </c>
      <c r="C31" s="39">
        <f>IF(ISERROR(B31*3.6/1000000/'E Balans VL '!Z19*100),0,B31*3.6/1000000/'E Balans VL '!Z19*100)</f>
        <v>2.1153524899223262E-2</v>
      </c>
      <c r="D31" s="233" t="s">
        <v>676</v>
      </c>
    </row>
    <row r="32" spans="1:18">
      <c r="A32" s="168" t="s">
        <v>40</v>
      </c>
      <c r="B32" s="37">
        <f>IF( ISERROR(IND_voed_ele_kWh/1000),0,IND_voed_ele_kWh/1000)</f>
        <v>237.346</v>
      </c>
      <c r="C32" s="39">
        <f>IF(ISERROR(B32*3.6/1000000/'E Balans VL '!Z20*100),0,B32*3.6/1000000/'E Balans VL '!Z20*100)</f>
        <v>5.8758987728117114E-2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37.290999999999997</v>
      </c>
      <c r="C37" s="39">
        <f>IF(ISERROR(B37*3.6/1000000/'E Balans VL '!Z15*100),0,B37*3.6/1000000/'E Balans VL '!Z15*100)</f>
        <v>2.7650638051063107E-4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640.50699999999995</v>
      </c>
      <c r="C5" s="17">
        <f>'Eigen informatie GS &amp; warmtenet'!B60</f>
        <v>0</v>
      </c>
      <c r="D5" s="30">
        <f>IF(ISERROR(SUM(LB_lb_gas_kWh,LB_rest_gas_kWh)/1000),0,SUM(LB_lb_gas_kWh,LB_rest_gas_kWh)/1000)*0.902</f>
        <v>97.956298000000004</v>
      </c>
      <c r="E5" s="17">
        <f>B17*'E Balans VL '!I25/3.6*1000000/100</f>
        <v>5.9326441029914019</v>
      </c>
      <c r="F5" s="17">
        <f>B17*('E Balans VL '!L25/3.6*1000000+'E Balans VL '!N25/3.6*1000000)/100</f>
        <v>1625.0882754582844</v>
      </c>
      <c r="G5" s="18"/>
      <c r="H5" s="17"/>
      <c r="I5" s="17"/>
      <c r="J5" s="17">
        <f>('E Balans VL '!D25+'E Balans VL '!E25)/3.6*1000000*landbouw!B17/100</f>
        <v>98.196871178982363</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640.50699999999995</v>
      </c>
      <c r="C8" s="21">
        <f>C5+C6</f>
        <v>0</v>
      </c>
      <c r="D8" s="21">
        <f>MAX((D5+D6),0)</f>
        <v>97.956298000000004</v>
      </c>
      <c r="E8" s="21">
        <f>MAX((E5+E6),0)</f>
        <v>5.9326441029914019</v>
      </c>
      <c r="F8" s="21">
        <f>MAX((F5+F6),0)</f>
        <v>1625.0882754582844</v>
      </c>
      <c r="G8" s="21"/>
      <c r="H8" s="21"/>
      <c r="I8" s="21"/>
      <c r="J8" s="21">
        <f>MAX((J5+J6),0)</f>
        <v>98.196871178982363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0.20599399581489403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131.94059627741032</v>
      </c>
      <c r="C12" s="23">
        <f ca="1">C8*C10</f>
        <v>0</v>
      </c>
      <c r="D12" s="23">
        <f>D8*D10</f>
        <v>19.787172196000004</v>
      </c>
      <c r="E12" s="23">
        <f>E8*E10</f>
        <v>1.3467102113790483</v>
      </c>
      <c r="F12" s="23">
        <f>F8*F10</f>
        <v>433.89856954736194</v>
      </c>
      <c r="G12" s="23"/>
      <c r="H12" s="23"/>
      <c r="I12" s="23"/>
      <c r="J12" s="23">
        <f>J8*J10</f>
        <v>34.761692397359752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9.1066514304120216E-2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225.57887713728198</v>
      </c>
      <c r="C26" s="243">
        <f>B26*'GWP N2O_CH4'!B5</f>
        <v>4737.1564198829219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35.155592353007464</v>
      </c>
      <c r="C27" s="243">
        <f>B27*'GWP N2O_CH4'!B5</f>
        <v>738.26743941315669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3.3884301742038954</v>
      </c>
      <c r="C28" s="243">
        <f>B28*'GWP N2O_CH4'!B4</f>
        <v>1050.4133540032076</v>
      </c>
      <c r="D28" s="50"/>
    </row>
    <row r="29" spans="1:4">
      <c r="A29" s="41" t="s">
        <v>266</v>
      </c>
      <c r="B29" s="243">
        <f>B34*'ha_N2O bodem landbouw'!B4</f>
        <v>14.729026403386365</v>
      </c>
      <c r="C29" s="243">
        <f>B29*'GWP N2O_CH4'!B4</f>
        <v>4565.9981850497734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3.303461136450019E-3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2.2239869433871288E-5</v>
      </c>
      <c r="C5" s="430" t="s">
        <v>204</v>
      </c>
      <c r="D5" s="415">
        <f>SUM(D6:D11)</f>
        <v>3.7953635565816943E-5</v>
      </c>
      <c r="E5" s="415">
        <f>SUM(E6:E11)</f>
        <v>3.6637737514514008E-4</v>
      </c>
      <c r="F5" s="428" t="s">
        <v>204</v>
      </c>
      <c r="G5" s="415">
        <f>SUM(G6:G11)</f>
        <v>0.11094965538211927</v>
      </c>
      <c r="H5" s="415">
        <f>SUM(H6:H11)</f>
        <v>2.1748047929753322E-2</v>
      </c>
      <c r="I5" s="430" t="s">
        <v>204</v>
      </c>
      <c r="J5" s="430" t="s">
        <v>204</v>
      </c>
      <c r="K5" s="430" t="s">
        <v>204</v>
      </c>
      <c r="L5" s="430" t="s">
        <v>204</v>
      </c>
      <c r="M5" s="415">
        <f>SUM(M6:M11)</f>
        <v>7.095922770494918E-3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1.4312921294087995E-5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2.1617350060331142E-5</v>
      </c>
      <c r="E6" s="858">
        <f>vkm_GW_PW*SUMIFS(TableVerdeelsleutelVkm[LPG],TableVerdeelsleutelVkm[Voertuigtype],"Lichte voertuigen")*SUMIFS(TableECFTransport[EnergieConsumptieFactor (PJ per km)],TableECFTransport[Index],CONCATENATE($A6,"_LPG_LPG"))</f>
        <v>2.1292029577320453E-4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4.8711690850032414E-2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1.257067291874232E-2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3.2076066903606319E-3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7.0051163308153546E-7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2.688592828814184E-2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5.08370654913558E-7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1.5587849420132332E-3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7.1703103090566087E-6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1.6336285505485797E-5</v>
      </c>
      <c r="E8" s="418">
        <f>vkm_NGW_PW*SUMIFS(TableVerdeelsleutelVkm[LPG],TableVerdeelsleutelVkm[Voertuigtype],"Lichte voertuigen")*SUMIFS(TableECFTransport[EnergieConsumptieFactor (PJ per km)],TableECFTransport[Index],CONCATENATE($A8,"_LPG_LPG"))</f>
        <v>1.5345707937193558E-4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3.2584357665226341E-2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9.1768174763584443E-3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2.1690675287504542E-3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5.6126197645148305E-8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2.7676785787186763E-3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4.9163997642119192E-8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1.6046360937059908E-4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6.1777415094086914</v>
      </c>
      <c r="C14" s="21"/>
      <c r="D14" s="21">
        <f t="shared" ref="D14:M14" si="0">((D5)*10^9/3600)+D12</f>
        <v>10.542676546060262</v>
      </c>
      <c r="E14" s="21">
        <f t="shared" si="0"/>
        <v>101.77149309587224</v>
      </c>
      <c r="F14" s="21"/>
      <c r="G14" s="21">
        <f t="shared" si="0"/>
        <v>30819.34871725535</v>
      </c>
      <c r="H14" s="21">
        <f t="shared" si="0"/>
        <v>6041.1244249314786</v>
      </c>
      <c r="I14" s="21"/>
      <c r="J14" s="21"/>
      <c r="K14" s="21"/>
      <c r="L14" s="21"/>
      <c r="M14" s="21">
        <f t="shared" si="0"/>
        <v>1971.0896584708107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0.20599399581489403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1.2725776586346311</v>
      </c>
      <c r="C18" s="23"/>
      <c r="D18" s="23">
        <f t="shared" ref="D18:M18" si="1">D14*D16</f>
        <v>2.1296206623041729</v>
      </c>
      <c r="E18" s="23">
        <f t="shared" si="1"/>
        <v>23.102128932763002</v>
      </c>
      <c r="F18" s="23"/>
      <c r="G18" s="23">
        <f t="shared" si="1"/>
        <v>8228.7661075071792</v>
      </c>
      <c r="H18" s="23">
        <f t="shared" si="1"/>
        <v>1504.2399818079382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1.464155995902033E-5</v>
      </c>
      <c r="C50" s="313">
        <f t="shared" ref="C50:P50" si="2">SUM(C51:C52)</f>
        <v>0</v>
      </c>
      <c r="D50" s="313">
        <f t="shared" si="2"/>
        <v>0</v>
      </c>
      <c r="E50" s="313">
        <f t="shared" si="2"/>
        <v>0</v>
      </c>
      <c r="F50" s="313">
        <f t="shared" si="2"/>
        <v>0</v>
      </c>
      <c r="G50" s="313">
        <f t="shared" si="2"/>
        <v>2.7743824176039464E-3</v>
      </c>
      <c r="H50" s="313">
        <f t="shared" si="2"/>
        <v>0</v>
      </c>
      <c r="I50" s="313">
        <f t="shared" si="2"/>
        <v>0</v>
      </c>
      <c r="J50" s="313">
        <f t="shared" si="2"/>
        <v>0</v>
      </c>
      <c r="K50" s="313">
        <f t="shared" si="2"/>
        <v>0</v>
      </c>
      <c r="L50" s="313">
        <f t="shared" si="2"/>
        <v>0</v>
      </c>
      <c r="M50" s="313">
        <f t="shared" si="2"/>
        <v>1.5971574694634315E-4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1.464155995902033E-5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2.7743824176039464E-3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1.5971574694634315E-4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4.0670999886167589</v>
      </c>
      <c r="C54" s="21">
        <f t="shared" ref="C54:P54" si="3">(C50)*10^9/3600</f>
        <v>0</v>
      </c>
      <c r="D54" s="21">
        <f t="shared" si="3"/>
        <v>0</v>
      </c>
      <c r="E54" s="21">
        <f t="shared" si="3"/>
        <v>0</v>
      </c>
      <c r="F54" s="21">
        <f t="shared" si="3"/>
        <v>0</v>
      </c>
      <c r="G54" s="21">
        <f t="shared" si="3"/>
        <v>770.66178266776285</v>
      </c>
      <c r="H54" s="21">
        <f t="shared" si="3"/>
        <v>0</v>
      </c>
      <c r="I54" s="21">
        <f t="shared" si="3"/>
        <v>0</v>
      </c>
      <c r="J54" s="21">
        <f t="shared" si="3"/>
        <v>0</v>
      </c>
      <c r="K54" s="21">
        <f t="shared" si="3"/>
        <v>0</v>
      </c>
      <c r="L54" s="21">
        <f t="shared" si="3"/>
        <v>0</v>
      </c>
      <c r="M54" s="21">
        <f t="shared" si="3"/>
        <v>44.365485262873101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0.20599399581489403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0.83779817803387613</v>
      </c>
      <c r="C58" s="23">
        <f t="shared" ref="C58:P58" ca="1" si="4">C54*C56</f>
        <v>0</v>
      </c>
      <c r="D58" s="23">
        <f t="shared" si="4"/>
        <v>0</v>
      </c>
      <c r="E58" s="23">
        <f t="shared" si="4"/>
        <v>0</v>
      </c>
      <c r="F58" s="23">
        <f t="shared" si="4"/>
        <v>0</v>
      </c>
      <c r="G58" s="23">
        <f t="shared" si="4"/>
        <v>205.76669597229269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1660.7778603244337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1660.7778603244337</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2021-11-11T13:09:00Z</dcterms:modified>
</cp:coreProperties>
</file>