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A9736D1-D803-4302-81EB-C31821B400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2" i="13"/>
  <c r="B34" i="13"/>
  <c r="B33" i="13"/>
  <c r="B36"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<sst xmlns="http://schemas.openxmlformats.org/spreadsheetml/2006/main" count="2516" uniqueCount="930">
  <si>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</si>
  <si>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</si>
  <si>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</si>
  <si>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</si>
  <si>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</si>
  <si>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</si>
  <si>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</si>
  <si>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</si>
  <si>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</si>
  <si>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</si>
  <si>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</si>
  <si>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</si>
  <si>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</si>
  <si>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</si>
  <si>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</si>
  <si>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</si>
  <si>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</si>
  <si>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</si>
  <si>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</si>
  <si>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</si>
  <si>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</si>
  <si>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</si>
  <si>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</si>
  <si>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</si>
  <si>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</si>
  <si>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</si>
  <si>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</si>
  <si>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</si>
  <si>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</si>
  <si>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</si>
  <si>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</si>
  <si>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</si>
  <si>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</si>
  <si>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</si>
  <si>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</si>
  <si>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</si>
  <si>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</si>
  <si>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</si>
  <si>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</si>
  <si>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</si>
  <si>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</si>
  <si>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</si>
  <si>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</si>
  <si>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</si>
  <si>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</si>
  <si>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</si>
  <si>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</si>
  <si>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</si>
  <si>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</si>
  <si>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</si>
  <si>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</si>
  <si>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</si>
  <si>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</si>
  <si>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</si>
  <si>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</si>
  <si>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</si>
  <si>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</si>
  <si>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</si>
  <si>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</si>
  <si>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</si>
  <si>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</si>
  <si>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</si>
  <si>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</si>
  <si>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</si>
  <si>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</si>
  <si>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</si>
  <si>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</si>
  <si>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</si>
  <si>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</si>
  <si>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</si>
  <si>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</si>
  <si>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</si>
  <si>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</si>
  <si>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</si>
  <si>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</si>
  <si>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</si>
  <si>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</si>
  <si>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</si>
  <si>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</si>
  <si>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</si>
  <si>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</si>
  <si>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</si>
  <si>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</si>
  <si>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</si>
  <si>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</si>
  <si>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</si>
  <si>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</si>
  <si>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</si>
  <si>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</si>
  <si>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</si>
  <si>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</si>
  <si>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</si>
  <si>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</si>
  <si>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</si>
  <si>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</si>
  <si>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</si>
  <si>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</si>
  <si>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</si>
  <si>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</si>
  <si>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</si>
  <si>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</si>
  <si>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</si>
  <si>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</si>
  <si>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</si>
  <si>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</si>
  <si>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</si>
  <si>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</si>
  <si>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</si>
  <si>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</si>
  <si>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</si>
  <si>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</si>
  <si>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</si>
  <si>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</si>
  <si>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</si>
  <si>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</si>
  <si>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</si>
  <si>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</si>
  <si>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</si>
  <si>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</si>
  <si>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</si>
  <si>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</si>
  <si>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</si>
  <si>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</si>
  <si>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</si>
  <si>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</si>
  <si>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</si>
  <si>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</si>
  <si>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</si>
  <si>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</si>
  <si>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</si>
  <si>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</si>
  <si>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</si>
  <si>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</si>
  <si>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</si>
  <si>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</si>
  <si>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</si>
  <si>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</si>
  <si>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</si>
  <si>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</si>
  <si>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</si>
  <si>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</si>
  <si>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</si>
  <si>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</si>
  <si>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</si>
  <si>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</si>
  <si>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</si>
  <si>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</si>
  <si>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</si>
  <si>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</si>
  <si>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</si>
  <si>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</si>
  <si>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</si>
  <si>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</si>
  <si>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</si>
  <si>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</si>
  <si>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</si>
  <si>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</si>
  <si>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</si>
  <si>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</si>
  <si>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</si>
  <si>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</si>
  <si>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</si>
  <si>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</si>
  <si>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</si>
  <si>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</si>
  <si>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</si>
  <si>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</si>
  <si>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</si>
  <si>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</si>
  <si>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</si>
  <si>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</si>
  <si>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</si>
  <si>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</si>
  <si>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</si>
  <si>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</si>
  <si>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</si>
  <si>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</si>
  <si>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</si>
  <si>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</si>
  <si>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</si>
  <si>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</si>
  <si>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</si>
  <si>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</si>
  <si>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</si>
  <si>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</si>
  <si>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</si>
  <si>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</si>
  <si>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</si>
  <si>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</si>
  <si>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</si>
  <si>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</si>
  <si>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</si>
  <si>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</si>
  <si>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</si>
  <si>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</si>
  <si>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</si>
  <si>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</si>
  <si>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</si>
  <si>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</si>
  <si>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</si>
  <si>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</si>
  <si>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</si>
  <si>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</si>
  <si>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</si>
  <si>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</si>
  <si>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</si>
  <si>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</si>
  <si>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</si>
  <si>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</si>
  <si>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</si>
  <si>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</si>
  <si>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</si>
  <si>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</si>
  <si>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</si>
  <si>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</si>
  <si>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</si>
  <si>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</si>
  <si>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</si>
  <si>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</si>
  <si>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</si>
  <si>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</si>
  <si>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</si>
  <si>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</si>
  <si>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</si>
  <si>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</si>
  <si>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</si>
  <si>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</si>
  <si>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</si>
  <si>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</si>
  <si>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</si>
  <si>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</si>
  <si>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</si>
  <si>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</si>
  <si>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</si>
  <si>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</si>
  <si>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</si>
  <si>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</si>
  <si>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</si>
  <si>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</si>
  <si>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</si>
  <si>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</si>
  <si>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</si>
  <si>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</si>
  <si>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</si>
  <si>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</si>
  <si>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</si>
  <si>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</si>
  <si>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</si>
  <si>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</si>
  <si>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</si>
  <si>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</si>
  <si>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</si>
  <si>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</si>
  <si>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</si>
  <si>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</si>
  <si>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</si>
  <si>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</si>
  <si>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</si>
  <si>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</si>
  <si>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</si>
  <si>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</si>
  <si>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</si>
  <si>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</si>
  <si>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</si>
  <si>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</si>
  <si>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</si>
  <si>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</si>
  <si>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</si>
  <si>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</si>
  <si>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</si>
  <si>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</si>
  <si>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</si>
  <si>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</si>
  <si>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</si>
  <si>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</si>
  <si>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</si>
  <si>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</si>
  <si>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</si>
  <si>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</si>
  <si>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</si>
  <si>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</si>
  <si>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</si>
  <si>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</si>
  <si>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</si>
  <si>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</si>
  <si>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</si>
  <si>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</si>
  <si>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</si>
  <si>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</si>
  <si>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</si>
  <si>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</si>
  <si>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</si>
  <si>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</si>
  <si>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</si>
  <si>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</si>
  <si>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</si>
  <si>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</si>
  <si>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</si>
  <si>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</si>
  <si>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</si>
  <si>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</si>
  <si>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</si>
  <si>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</si>
  <si>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</si>
  <si>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</si>
  <si>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</si>
  <si>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</si>
  <si>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</si>
  <si>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</si>
  <si>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</si>
  <si>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</si>
  <si>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</si>
  <si>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</si>
  <si>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</si>
  <si>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</si>
  <si>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</si>
  <si>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</si>
  <si>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</si>
  <si>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</si>
  <si>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</si>
  <si>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</si>
  <si>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</si>
  <si>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</si>
  <si>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</si>
  <si>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</si>
  <si>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</si>
  <si>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</si>
  <si>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</si>
  <si>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</si>
  <si>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</si>
  <si>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</si>
  <si>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</si>
  <si>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</si>
  <si>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</si>
  <si>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</si>
  <si>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</si>
  <si>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</si>
  <si>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</si>
  <si>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</si>
  <si>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</si>
  <si>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</si>
  <si>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</si>
  <si>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</si>
  <si>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</si>
  <si>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</si>
  <si>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</si>
  <si>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</si>
  <si>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</si>
  <si>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</si>
  <si>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</si>
  <si>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</si>
  <si>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</si>
  <si>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</si>
  <si>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</si>
  <si>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</si>
  <si>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</si>
  <si>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</si>
  <si>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</si>
  <si>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</si>
  <si>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</si>
  <si>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</si>
  <si>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</si>
  <si>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</si>
  <si>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</si>
  <si>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</si>
  <si>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</si>
  <si>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</si>
  <si>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</si>
  <si>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</si>
  <si>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</si>
  <si>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</si>
  <si>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</si>
  <si>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</si>
  <si>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</si>
  <si>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</si>
  <si>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</si>
  <si>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</si>
  <si>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</si>
  <si>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</si>
  <si>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</si>
  <si>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</si>
  <si>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</si>
  <si>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</si>
  <si>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</si>
  <si>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</si>
  <si>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</si>
  <si>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</si>
  <si>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</si>
  <si>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</si>
  <si>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</si>
  <si>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</si>
  <si>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</si>
  <si>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</si>
  <si>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</si>
  <si>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</si>
  <si>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</si>
  <si>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</si>
  <si>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</si>
  <si>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</si>
  <si>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</si>
  <si>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</si>
  <si>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</si>
  <si>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</si>
  <si>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</si>
  <si>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</si>
  <si>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</si>
  <si>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</si>
  <si>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</si>
  <si>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</si>
  <si>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</si>
  <si>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</si>
  <si>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</si>
  <si>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</si>
  <si>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</si>
  <si>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</si>
  <si>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</si>
  <si>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</si>
  <si>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</si>
  <si>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</si>
  <si>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</si>
  <si>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</si>
  <si>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</si>
  <si>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</si>
  <si>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</si>
  <si>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</si>
  <si>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</si>
  <si>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</si>
  <si>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</si>
  <si>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</si>
  <si>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</si>
  <si>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</si>
  <si>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</si>
  <si>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</si>
  <si>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</si>
  <si>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</si>
  <si>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</si>
  <si>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</si>
  <si>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</si>
  <si>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</si>
  <si>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</si>
  <si>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</si>
  <si>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</si>
  <si>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</si>
  <si>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</si>
  <si>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</si>
  <si>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</si>
  <si>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</si>
  <si>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</si>
  <si>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</si>
  <si>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</si>
  <si>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</si>
  <si>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</si>
  <si>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</si>
  <si>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</si>
  <si>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</si>
  <si>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</si>
  <si>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</si>
  <si>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</si>
  <si>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</si>
  <si>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</si>
  <si>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</si>
  <si>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</si>
  <si>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</si>
  <si>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</si>
  <si>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</si>
  <si>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</si>
  <si>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</si>
  <si>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</si>
  <si>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</si>
  <si>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</si>
  <si>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</si>
  <si>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</si>
  <si>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</si>
  <si>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</si>
  <si>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</si>
  <si>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</si>
  <si>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</si>
  <si>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</si>
  <si>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</si>
  <si>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</si>
  <si>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</si>
  <si>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</si>
  <si>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</si>
  <si>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</si>
  <si>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</si>
  <si>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</si>
  <si>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</si>
  <si>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</si>
  <si>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</si>
  <si>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</si>
  <si>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</si>
  <si>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</si>
  <si>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</si>
  <si>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</si>
  <si>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</si>
  <si>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</si>
  <si>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</si>
  <si>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</si>
  <si>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</si>
  <si>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</si>
  <si>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</si>
  <si>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</si>
  <si>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</si>
  <si>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</si>
  <si>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</si>
  <si>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</si>
  <si>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</si>
  <si>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</si>
  <si>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</si>
  <si>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</si>
  <si>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</si>
  <si>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</si>
  <si>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</si>
  <si>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</si>
  <si>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</si>
  <si>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</si>
  <si>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</si>
  <si>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</si>
  <si>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</si>
  <si>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</si>
  <si>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</si>
  <si>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</si>
  <si>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</si>
  <si>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</si>
  <si>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</si>
  <si>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</si>
  <si>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</si>
  <si>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</si>
  <si>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</si>
  <si>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</si>
  <si>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</si>
  <si>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</si>
  <si>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</si>
  <si>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</si>
  <si>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</si>
  <si>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</si>
  <si>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</si>
  <si>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</si>
  <si>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</si>
  <si>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</si>
  <si>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</si>
  <si>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</si>
  <si>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</si>
  <si>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</si>
  <si>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</si>
  <si>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</si>
  <si>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</si>
  <si>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</si>
  <si>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</si>
  <si>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</si>
  <si>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</si>
  <si>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</si>
  <si>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</si>
  <si>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</si>
  <si>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</si>
  <si>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</si>
  <si>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</si>
  <si>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</si>
  <si>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</si>
  <si>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</si>
  <si>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</si>
  <si>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</si>
  <si>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</si>
  <si>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</si>
  <si>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</si>
  <si>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</si>
  <si>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</si>
  <si>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</si>
  <si>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</si>
  <si>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</si>
  <si>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</si>
  <si>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</si>
  <si>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</si>
  <si>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</si>
  <si>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</si>
  <si>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</si>
  <si>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</si>
  <si>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</si>
  <si>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</si>
  <si>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</si>
  <si>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</si>
  <si>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</si>
  <si>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</si>
  <si>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</si>
  <si>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</si>
  <si>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</si>
  <si>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</si>
  <si>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</si>
  <si>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</si>
  <si>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</si>
  <si>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</si>
  <si>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</si>
  <si>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</si>
  <si>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</si>
  <si>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</si>
  <si>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</si>
  <si>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</si>
  <si>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</si>
  <si>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</si>
  <si>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</si>
  <si>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</si>
  <si>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</si>
  <si>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</si>
  <si>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</si>
  <si>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</si>
  <si>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</si>
  <si>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</si>
  <si>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</si>
  <si>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</si>
  <si>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</si>
  <si>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</si>
  <si>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</si>
  <si>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</si>
  <si>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</si>
  <si>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</si>
  <si>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</si>
  <si>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</si>
  <si>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</si>
  <si>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</si>
  <si>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</si>
  <si>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</si>
  <si>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</si>
  <si>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</si>
  <si>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</si>
  <si>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</si>
  <si>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</si>
  <si>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</si>
  <si>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</si>
  <si>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</si>
  <si>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</si>
  <si>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</si>
  <si>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</si>
  <si>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</si>
  <si>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</si>
  <si>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</si>
  <si>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</si>
  <si>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</si>
  <si>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</si>
  <si>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</si>
  <si>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</si>
  <si>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</si>
  <si>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</si>
  <si>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</si>
  <si>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</si>
  <si>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</si>
  <si>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</si>
  <si>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</si>
  <si>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</si>
  <si>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</si>
  <si>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</si>
  <si>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</si>
  <si>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</si>
  <si>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</si>
  <si>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</si>
  <si>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</si>
  <si>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</si>
  <si>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</si>
  <si>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</si>
  <si>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</si>
  <si>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</si>
  <si>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</si>
  <si>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</si>
  <si>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</si>
  <si>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</si>
  <si>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</si>
  <si>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</si>
  <si>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</si>
  <si>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</si>
  <si>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</si>
  <si>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</si>
  <si>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</si>
  <si>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</si>
  <si>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</si>
  <si>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</si>
  <si>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</si>
  <si>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</si>
  <si>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</si>
  <si>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</si>
  <si>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</si>
  <si>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</si>
  <si>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</si>
  <si>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</si>
  <si>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</si>
  <si>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</si>
  <si>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</si>
  <si>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</si>
  <si>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</si>
  <si>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</si>
  <si>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</si>
  <si>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</si>
  <si>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</si>
  <si>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</si>
  <si>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</si>
  <si>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</si>
  <si>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</si>
  <si>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</si>
  <si>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</si>
  <si>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</si>
  <si>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</si>
  <si>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</si>
  <si>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</si>
  <si>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</si>
  <si>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</si>
  <si>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</si>
  <si>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</si>
  <si>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</si>
  <si>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</si>
  <si>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</si>
  <si>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</si>
  <si>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</si>
  <si>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</si>
  <si>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</si>
  <si>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</si>
  <si>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</si>
  <si>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</si>
  <si>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</si>
  <si>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</si>
  <si>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</si>
  <si>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</si>
  <si>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</si>
  <si>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</si>
  <si>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</si>
  <si>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</si>
  <si>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</si>
  <si>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</si>
  <si>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</si>
  <si>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</si>
  <si>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</si>
  <si>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</si>
  <si>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</si>
  <si>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</si>
  <si>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</si>
  <si>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</si>
  <si>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</si>
  <si>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</si>
  <si>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</si>
  <si>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</si>
  <si>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</si>
  <si>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</si>
  <si>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</si>
  <si>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</si>
  <si>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</si>
  <si>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</si>
  <si>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</si>
  <si>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</si>
  <si>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</si>
  <si>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</si>
  <si>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</si>
  <si>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</si>
  <si>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</si>
  <si>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</si>
  <si>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</si>
  <si>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</si>
  <si>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</si>
  <si>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</si>
  <si>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</si>
  <si>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</si>
  <si>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</si>
  <si>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</si>
  <si>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</si>
  <si>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</si>
  <si>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</si>
  <si>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</si>
  <si>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</si>
  <si>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</si>
  <si>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</si>
  <si>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</si>
  <si>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</si>
  <si>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</si>
  <si>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</si>
  <si>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</si>
  <si>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</si>
  <si>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</si>
  <si>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</si>
  <si>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</si>
  <si>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</si>
  <si>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</si>
  <si>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</si>
  <si>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</si>
  <si>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</si>
  <si>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</si>
  <si>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</si>
  <si>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</si>
  <si>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</si>
  <si>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</si>
  <si>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</si>
  <si>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</si>
  <si>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</si>
  <si>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</si>
  <si>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</si>
  <si>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</si>
  <si>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</si>
  <si>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</si>
  <si>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</si>
  <si>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</si>
  <si>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</si>
  <si>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</si>
  <si>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</si>
  <si>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</si>
  <si>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</si>
  <si>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</si>
  <si>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</si>
  <si>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</si>
  <si>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</si>
  <si>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</si>
  <si>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</si>
  <si>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</si>
  <si>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</si>
  <si>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</si>
  <si>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</si>
  <si>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</si>
  <si>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</si>
  <si>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</si>
  <si>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</si>
  <si>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</si>
  <si>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</si>
  <si>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</si>
  <si>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</si>
  <si>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</si>
  <si>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</si>
  <si>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</si>
  <si>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</si>
  <si>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</si>
  <si>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</si>
  <si>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</si>
  <si>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</si>
  <si>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</si>
  <si>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</si>
  <si>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</si>
  <si>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</si>
  <si>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</si>
  <si>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</si>
  <si>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</si>
  <si>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</si>
  <si>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</si>
  <si>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</si>
  <si>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</si>
  <si>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</si>
  <si>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</si>
  <si>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</si>
  <si>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</si>
  <si>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</si>
  <si>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</si>
  <si>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</si>
  <si>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</si>
  <si>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</si>
  <si>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</si>
  <si>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</si>
  <si>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</si>
  <si>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</si>
  <si>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</si>
  <si>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</si>
  <si>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</si>
  <si>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</si>
  <si>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</si>
  <si>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</si>
  <si>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</si>
  <si>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</si>
  <si>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</si>
  <si>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</si>
  <si>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</si>
  <si>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</si>
  <si>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</si>
  <si>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</si>
  <si>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</si>
  <si>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</si>
  <si>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</si>
  <si>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</si>
  <si>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</si>
  <si>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</si>
  <si>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</si>
  <si>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</si>
  <si>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</si>
  <si>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</si>
  <si>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</si>
  <si>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</si>
  <si>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</si>
  <si>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</si>
  <si>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</si>
  <si>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</si>
  <si>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</si>
  <si>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</si>
  <si>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</si>
  <si>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</si>
  <si>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</si>
  <si>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</si>
  <si>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</si>
  <si>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</si>
  <si>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</si>
  <si>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</si>
  <si>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</si>
  <si>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</si>
  <si>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</si>
  <si>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</si>
  <si>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</si>
  <si>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</si>
  <si>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</si>
  <si>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</si>
  <si>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</si>
  <si>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</si>
  <si>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</si>
  <si>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</si>
  <si>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</si>
  <si>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</si>
  <si>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</si>
  <si>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</si>
  <si>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</si>
  <si>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</si>
  <si>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</si>
  <si>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</si>
  <si>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</si>
  <si>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</si>
  <si>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</si>
  <si>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</si>
  <si>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</si>
  <si>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</si>
  <si>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13040</t>
  </si>
  <si>
    <t>TURNHOUT</t>
  </si>
  <si>
    <t>Paarden&amp;pony's 200 - 600 kg</t>
  </si>
  <si>
    <t>Paarden&amp;pony's &lt; 200 kg</t>
  </si>
  <si>
    <t>Fluvius</t>
  </si>
  <si>
    <t>referentietaak LNE (2017); Jaarverslag De Lijn</t>
  </si>
  <si>
    <t>stirlingmotor</t>
  </si>
  <si>
    <t>IVEKA</t>
  </si>
  <si>
    <t>interne verbrandingsmotor</t>
  </si>
  <si>
    <t>WKK interne verbrandinsgmotor (gas)</t>
  </si>
  <si>
    <t>chemie</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</si>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</sst>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E1152D7-7323-4967-8DA7-930EE3AFF66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340585.08382978075</c:v>
                </c:pt>
                <c:pt idx="1">
                  <c:v>215537.91835266032</c:v>
                </c:pt>
                <c:pt idx="2">
                  <c:v>2564.6770000000001</c:v>
                </c:pt>
                <c:pt idx="3">
                  <c:v>7822.2999263744232</c:v>
                </c:pt>
                <c:pt idx="4">
                  <c:v>432582.17435971706</c:v>
                </c:pt>
                <c:pt idx="5">
                  <c:v>243827.14575404182</c:v>
                </c:pt>
                <c:pt idx="6">
                  <c:v>5360.5482047189662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340585.08382978075</c:v>
                </c:pt>
                <c:pt idx="1">
                  <c:v>215537.91835266032</c:v>
                </c:pt>
                <c:pt idx="2">
                  <c:v>2564.6770000000001</c:v>
                </c:pt>
                <c:pt idx="3">
                  <c:v>7822.2999263744232</c:v>
                </c:pt>
                <c:pt idx="4">
                  <c:v>432582.17435971706</c:v>
                </c:pt>
                <c:pt idx="5">
                  <c:v>243827.14575404182</c:v>
                </c:pt>
                <c:pt idx="6">
                  <c:v>5360.5482047189662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68302.232737788756</c:v>
                </c:pt>
                <c:pt idx="2">
                  <c:v>45014.470768343068</c:v>
                </c:pt>
                <c:pt idx="3">
                  <c:v>541.44684235812736</c:v>
                </c:pt>
                <c:pt idx="4">
                  <c:v>1875.9350214315277</c:v>
                </c:pt>
                <c:pt idx="5">
                  <c:v>90266.55104180683</c:v>
                </c:pt>
                <c:pt idx="6">
                  <c:v>61176.238334351059</c:v>
                </c:pt>
                <c:pt idx="7">
                  <c:v>1352.2557157341839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68302.232737788756</c:v>
                </c:pt>
                <c:pt idx="2">
                  <c:v>45014.470768343068</c:v>
                </c:pt>
                <c:pt idx="3">
                  <c:v>541.44684235812736</c:v>
                </c:pt>
                <c:pt idx="4">
                  <c:v>1875.9350214315277</c:v>
                </c:pt>
                <c:pt idx="5">
                  <c:v>90266.55104180683</c:v>
                </c:pt>
                <c:pt idx="6">
                  <c:v>61176.238334351059</c:v>
                </c:pt>
                <c:pt idx="7">
                  <c:v>1352.2557157341839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13040</v>
      </c>
      <c r="B6" s="383"/>
      <c r="C6" s="384"/>
    </row>
    <row r="7" spans="1:7" s="381" customFormat="1" ht="15.75" customHeight="1">
      <c r="A7" s="385" t="str">
        <f>txtMunicipality</f>
        <v>TURNHOUT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93959.654999999984</v>
      </c>
      <c r="D10" s="983">
        <f ca="1">tertiair!C16</f>
        <v>1575.0000000000002</v>
      </c>
      <c r="E10" s="983">
        <f ca="1">tertiair!D16</f>
        <v>107607.78418757346</v>
      </c>
      <c r="F10" s="983">
        <f>tertiair!E16</f>
        <v>824.90399916674528</v>
      </c>
      <c r="G10" s="983">
        <f ca="1">tertiair!F16</f>
        <v>12829.854094130709</v>
      </c>
      <c r="H10" s="983">
        <f>tertiair!G16</f>
        <v>0</v>
      </c>
      <c r="I10" s="983">
        <f>tertiair!H16</f>
        <v>0</v>
      </c>
      <c r="J10" s="983">
        <f>tertiair!I16</f>
        <v>0</v>
      </c>
      <c r="K10" s="983">
        <f>tertiair!J16</f>
        <v>0</v>
      </c>
      <c r="L10" s="983">
        <f>tertiair!K16</f>
        <v>0</v>
      </c>
      <c r="M10" s="983">
        <f ca="1">tertiair!L16</f>
        <v>0</v>
      </c>
      <c r="N10" s="983">
        <f>tertiair!M16</f>
        <v>0</v>
      </c>
      <c r="O10" s="983">
        <f ca="1">tertiair!N16</f>
        <v>1165.6780717894244</v>
      </c>
      <c r="P10" s="983">
        <f>tertiair!O16</f>
        <v>6.2533333333333339</v>
      </c>
      <c r="Q10" s="984">
        <f>tertiair!P16</f>
        <v>133.46666666666667</v>
      </c>
      <c r="R10" s="667">
        <f ca="1">SUM(C10:Q10)</f>
        <v>218102.59535266031</v>
      </c>
      <c r="S10" s="67"/>
    </row>
    <row r="11" spans="1:19" s="440" customFormat="1">
      <c r="A11" s="776" t="s">
        <v>214</v>
      </c>
      <c r="B11" s="781"/>
      <c r="C11" s="983">
        <f>huishoudens!B8</f>
        <v>60474.317566380705</v>
      </c>
      <c r="D11" s="983">
        <f>huishoudens!C8</f>
        <v>0</v>
      </c>
      <c r="E11" s="983">
        <f>huishoudens!D8</f>
        <v>209760.9153080142</v>
      </c>
      <c r="F11" s="983">
        <f>huishoudens!E8</f>
        <v>1477.296942792507</v>
      </c>
      <c r="G11" s="983">
        <f>huishoudens!F8</f>
        <v>46604.109666293341</v>
      </c>
      <c r="H11" s="983">
        <f>huishoudens!G8</f>
        <v>0</v>
      </c>
      <c r="I11" s="983">
        <f>huishoudens!H8</f>
        <v>0</v>
      </c>
      <c r="J11" s="983">
        <f>huishoudens!I8</f>
        <v>0</v>
      </c>
      <c r="K11" s="983">
        <f>huishoudens!J8</f>
        <v>1086.8060768818864</v>
      </c>
      <c r="L11" s="983">
        <f>huishoudens!K8</f>
        <v>0</v>
      </c>
      <c r="M11" s="983">
        <f>huishoudens!L8</f>
        <v>0</v>
      </c>
      <c r="N11" s="983">
        <f>huishoudens!M8</f>
        <v>0</v>
      </c>
      <c r="O11" s="983">
        <f>huishoudens!N8</f>
        <v>20147.56493608484</v>
      </c>
      <c r="P11" s="983">
        <f>huishoudens!O8</f>
        <v>309.54000000000002</v>
      </c>
      <c r="Q11" s="984">
        <f>huishoudens!P8</f>
        <v>724.5333333333333</v>
      </c>
      <c r="R11" s="667">
        <f>SUM(C11:Q11)</f>
        <v>340585.08382978075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191144.03839</v>
      </c>
      <c r="D13" s="983">
        <f>industrie!C18</f>
        <v>4082.1428571428573</v>
      </c>
      <c r="E13" s="983">
        <f>industrie!D18</f>
        <v>136491.06566306582</v>
      </c>
      <c r="F13" s="983">
        <f>industrie!E18</f>
        <v>8358.139637778384</v>
      </c>
      <c r="G13" s="983">
        <f>industrie!F18</f>
        <v>71709.331264041219</v>
      </c>
      <c r="H13" s="983">
        <f>industrie!G18</f>
        <v>0</v>
      </c>
      <c r="I13" s="983">
        <f>industrie!H18</f>
        <v>0</v>
      </c>
      <c r="J13" s="983">
        <f>industrie!I18</f>
        <v>0</v>
      </c>
      <c r="K13" s="983">
        <f>industrie!J18</f>
        <v>958.59632234204321</v>
      </c>
      <c r="L13" s="983">
        <f>industrie!K18</f>
        <v>0</v>
      </c>
      <c r="M13" s="983">
        <f>industrie!L18</f>
        <v>0</v>
      </c>
      <c r="N13" s="983">
        <f>industrie!M18</f>
        <v>0</v>
      </c>
      <c r="O13" s="983">
        <f>industrie!N18</f>
        <v>19838.860225346631</v>
      </c>
      <c r="P13" s="983">
        <f>industrie!O18</f>
        <v>0</v>
      </c>
      <c r="Q13" s="984">
        <f>industrie!P18</f>
        <v>0</v>
      </c>
      <c r="R13" s="667">
        <f>SUM(C13:Q13)</f>
        <v>432582.17435971706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345578.01095638069</v>
      </c>
      <c r="D16" s="699">
        <f t="shared" ref="D16:R16" ca="1" si="0">SUM(D9:D15)</f>
        <v>5657.1428571428578</v>
      </c>
      <c r="E16" s="699">
        <f t="shared" ca="1" si="0"/>
        <v>453859.76515865349</v>
      </c>
      <c r="F16" s="699">
        <f t="shared" si="0"/>
        <v>10660.340579737636</v>
      </c>
      <c r="G16" s="699">
        <f t="shared" ca="1" si="0"/>
        <v>131143.29502446527</v>
      </c>
      <c r="H16" s="699">
        <f t="shared" si="0"/>
        <v>0</v>
      </c>
      <c r="I16" s="699">
        <f t="shared" si="0"/>
        <v>0</v>
      </c>
      <c r="J16" s="699">
        <f t="shared" si="0"/>
        <v>0</v>
      </c>
      <c r="K16" s="699">
        <f t="shared" si="0"/>
        <v>2045.4023992239295</v>
      </c>
      <c r="L16" s="699">
        <f t="shared" si="0"/>
        <v>0</v>
      </c>
      <c r="M16" s="699">
        <f t="shared" ca="1" si="0"/>
        <v>0</v>
      </c>
      <c r="N16" s="699">
        <f t="shared" si="0"/>
        <v>0</v>
      </c>
      <c r="O16" s="699">
        <f t="shared" ca="1" si="0"/>
        <v>41152.1032332209</v>
      </c>
      <c r="P16" s="699">
        <f t="shared" si="0"/>
        <v>315.79333333333335</v>
      </c>
      <c r="Q16" s="699">
        <f t="shared" si="0"/>
        <v>858</v>
      </c>
      <c r="R16" s="699">
        <f t="shared" ca="1" si="0"/>
        <v>991269.85354215815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26.617061960486275</v>
      </c>
      <c r="D19" s="983">
        <f>transport!C54</f>
        <v>0</v>
      </c>
      <c r="E19" s="983">
        <f>transport!D54</f>
        <v>0</v>
      </c>
      <c r="F19" s="983">
        <f>transport!E54</f>
        <v>0</v>
      </c>
      <c r="G19" s="983">
        <f>transport!F54</f>
        <v>0</v>
      </c>
      <c r="H19" s="983">
        <f>transport!G54</f>
        <v>5043.5820307489284</v>
      </c>
      <c r="I19" s="983">
        <f>transport!H54</f>
        <v>0</v>
      </c>
      <c r="J19" s="983">
        <f>transport!I54</f>
        <v>0</v>
      </c>
      <c r="K19" s="983">
        <f>transport!J54</f>
        <v>0</v>
      </c>
      <c r="L19" s="983">
        <f>transport!K54</f>
        <v>0</v>
      </c>
      <c r="M19" s="983">
        <f>transport!L54</f>
        <v>0</v>
      </c>
      <c r="N19" s="983">
        <f>transport!M54</f>
        <v>290.34911200955179</v>
      </c>
      <c r="O19" s="983">
        <f>transport!N54</f>
        <v>0</v>
      </c>
      <c r="P19" s="983">
        <f>transport!O54</f>
        <v>0</v>
      </c>
      <c r="Q19" s="984">
        <f>transport!P54</f>
        <v>0</v>
      </c>
      <c r="R19" s="667">
        <f>SUM(C19:Q19)</f>
        <v>5360.5482047189662</v>
      </c>
      <c r="S19" s="67"/>
    </row>
    <row r="20" spans="1:19" s="440" customFormat="1">
      <c r="A20" s="776" t="s">
        <v>296</v>
      </c>
      <c r="B20" s="781"/>
      <c r="C20" s="983">
        <f>transport!B14</f>
        <v>35.530994730275481</v>
      </c>
      <c r="D20" s="983">
        <f>transport!C14</f>
        <v>0</v>
      </c>
      <c r="E20" s="983">
        <f>transport!D14</f>
        <v>52.635916335363191</v>
      </c>
      <c r="F20" s="983">
        <f>transport!E14</f>
        <v>540.73009338350801</v>
      </c>
      <c r="G20" s="983">
        <f>transport!F14</f>
        <v>0</v>
      </c>
      <c r="H20" s="983">
        <f>transport!G14</f>
        <v>199928.03594614851</v>
      </c>
      <c r="I20" s="983">
        <f>transport!H14</f>
        <v>30741.258451456051</v>
      </c>
      <c r="J20" s="983">
        <f>transport!I14</f>
        <v>0</v>
      </c>
      <c r="K20" s="983">
        <f>transport!J14</f>
        <v>0</v>
      </c>
      <c r="L20" s="983">
        <f>transport!K14</f>
        <v>0</v>
      </c>
      <c r="M20" s="983">
        <f>transport!L14</f>
        <v>0</v>
      </c>
      <c r="N20" s="983">
        <f>transport!M14</f>
        <v>12528.954351988095</v>
      </c>
      <c r="O20" s="983">
        <f>transport!N14</f>
        <v>0</v>
      </c>
      <c r="P20" s="983">
        <f>transport!O14</f>
        <v>0</v>
      </c>
      <c r="Q20" s="984">
        <f>transport!P14</f>
        <v>0</v>
      </c>
      <c r="R20" s="667">
        <f>SUM(C20:Q20)</f>
        <v>243827.14575404182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62.148056690761756</v>
      </c>
      <c r="D22" s="779">
        <f t="shared" ref="D22:R22" si="1">SUM(D18:D21)</f>
        <v>0</v>
      </c>
      <c r="E22" s="779">
        <f t="shared" si="1"/>
        <v>52.635916335363191</v>
      </c>
      <c r="F22" s="779">
        <f t="shared" si="1"/>
        <v>540.73009338350801</v>
      </c>
      <c r="G22" s="779">
        <f t="shared" si="1"/>
        <v>0</v>
      </c>
      <c r="H22" s="779">
        <f t="shared" si="1"/>
        <v>204971.61797689743</v>
      </c>
      <c r="I22" s="779">
        <f t="shared" si="1"/>
        <v>30741.258451456051</v>
      </c>
      <c r="J22" s="779">
        <f t="shared" si="1"/>
        <v>0</v>
      </c>
      <c r="K22" s="779">
        <f t="shared" si="1"/>
        <v>0</v>
      </c>
      <c r="L22" s="779">
        <f t="shared" si="1"/>
        <v>0</v>
      </c>
      <c r="M22" s="779">
        <f t="shared" si="1"/>
        <v>0</v>
      </c>
      <c r="N22" s="779">
        <f t="shared" si="1"/>
        <v>12819.303463997647</v>
      </c>
      <c r="O22" s="779">
        <f t="shared" si="1"/>
        <v>0</v>
      </c>
      <c r="P22" s="779">
        <f t="shared" si="1"/>
        <v>0</v>
      </c>
      <c r="Q22" s="779">
        <f t="shared" si="1"/>
        <v>0</v>
      </c>
      <c r="R22" s="779">
        <f t="shared" si="1"/>
        <v>249187.69395876079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1497.3508999999999</v>
      </c>
      <c r="D24" s="983">
        <f>+landbouw!C8</f>
        <v>0</v>
      </c>
      <c r="E24" s="983">
        <f>+landbouw!D8</f>
        <v>2282.4548533818765</v>
      </c>
      <c r="F24" s="983">
        <f>+landbouw!E8</f>
        <v>13.869091184005589</v>
      </c>
      <c r="G24" s="983">
        <f>+landbouw!F8</f>
        <v>3799.0644783537259</v>
      </c>
      <c r="H24" s="983">
        <f>+landbouw!G8</f>
        <v>0</v>
      </c>
      <c r="I24" s="983">
        <f>+landbouw!H8</f>
        <v>0</v>
      </c>
      <c r="J24" s="983">
        <f>+landbouw!I8</f>
        <v>0</v>
      </c>
      <c r="K24" s="983">
        <f>+landbouw!J8</f>
        <v>229.56060345481518</v>
      </c>
      <c r="L24" s="983">
        <f>+landbouw!K8</f>
        <v>0</v>
      </c>
      <c r="M24" s="983">
        <f>+landbouw!L8</f>
        <v>0</v>
      </c>
      <c r="N24" s="983">
        <f>+landbouw!M8</f>
        <v>0</v>
      </c>
      <c r="O24" s="983">
        <f>+landbouw!N8</f>
        <v>0</v>
      </c>
      <c r="P24" s="983">
        <f>+landbouw!O8</f>
        <v>0</v>
      </c>
      <c r="Q24" s="984">
        <f>+landbouw!P8</f>
        <v>0</v>
      </c>
      <c r="R24" s="667">
        <f>SUM(C24:Q24)</f>
        <v>7822.2999263744232</v>
      </c>
      <c r="S24" s="67"/>
    </row>
    <row r="25" spans="1:19" s="440" customFormat="1" ht="15" thickBot="1">
      <c r="A25" s="798" t="s">
        <v>829</v>
      </c>
      <c r="B25" s="986"/>
      <c r="C25" s="987">
        <f>IF(Onbekend_ele_kWh="---",0,Onbekend_ele_kWh)/1000+IF(REST_rest_ele_kWh="---",0,REST_rest_ele_kWh)/1000</f>
        <v>3053.0459999999998</v>
      </c>
      <c r="D25" s="987"/>
      <c r="E25" s="987">
        <f>IF(onbekend_gas_kWh="---",0,onbekend_gas_kWh)/1000+IF(REST_rest_gas_kWh="---",0,REST_rest_gas_kWh)/1000</f>
        <v>11762.1536796253</v>
      </c>
      <c r="F25" s="987"/>
      <c r="G25" s="987"/>
      <c r="H25" s="987"/>
      <c r="I25" s="987"/>
      <c r="J25" s="987"/>
      <c r="K25" s="987"/>
      <c r="L25" s="987"/>
      <c r="M25" s="987"/>
      <c r="N25" s="987"/>
      <c r="O25" s="987"/>
      <c r="P25" s="987"/>
      <c r="Q25" s="988"/>
      <c r="R25" s="667">
        <f>SUM(C25:Q25)</f>
        <v>14815.199679625301</v>
      </c>
      <c r="S25" s="67"/>
    </row>
    <row r="26" spans="1:19" s="440" customFormat="1" ht="15.75" thickBot="1">
      <c r="A26" s="672" t="s">
        <v>830</v>
      </c>
      <c r="B26" s="784"/>
      <c r="C26" s="779">
        <f>SUM(C24:C25)</f>
        <v>4550.3968999999997</v>
      </c>
      <c r="D26" s="779">
        <f t="shared" ref="D26:R26" si="2">SUM(D24:D25)</f>
        <v>0</v>
      </c>
      <c r="E26" s="779">
        <f t="shared" si="2"/>
        <v>14044.608533007176</v>
      </c>
      <c r="F26" s="779">
        <f t="shared" si="2"/>
        <v>13.869091184005589</v>
      </c>
      <c r="G26" s="779">
        <f t="shared" si="2"/>
        <v>3799.0644783537259</v>
      </c>
      <c r="H26" s="779">
        <f t="shared" si="2"/>
        <v>0</v>
      </c>
      <c r="I26" s="779">
        <f t="shared" si="2"/>
        <v>0</v>
      </c>
      <c r="J26" s="779">
        <f t="shared" si="2"/>
        <v>0</v>
      </c>
      <c r="K26" s="779">
        <f t="shared" si="2"/>
        <v>229.56060345481518</v>
      </c>
      <c r="L26" s="779">
        <f t="shared" si="2"/>
        <v>0</v>
      </c>
      <c r="M26" s="779">
        <f t="shared" si="2"/>
        <v>0</v>
      </c>
      <c r="N26" s="779">
        <f t="shared" si="2"/>
        <v>0</v>
      </c>
      <c r="O26" s="779">
        <f t="shared" si="2"/>
        <v>0</v>
      </c>
      <c r="P26" s="779">
        <f t="shared" si="2"/>
        <v>0</v>
      </c>
      <c r="Q26" s="779">
        <f t="shared" si="2"/>
        <v>0</v>
      </c>
      <c r="R26" s="779">
        <f t="shared" si="2"/>
        <v>22637.499605999725</v>
      </c>
      <c r="S26" s="67"/>
    </row>
    <row r="27" spans="1:19" s="440" customFormat="1" ht="17.25" thickTop="1" thickBot="1">
      <c r="A27" s="673" t="s">
        <v>109</v>
      </c>
      <c r="B27" s="772"/>
      <c r="C27" s="674">
        <f ca="1">C22+C16+C26</f>
        <v>350190.55591307144</v>
      </c>
      <c r="D27" s="674">
        <f t="shared" ref="D27:R27" ca="1" si="3">D22+D16+D26</f>
        <v>5657.1428571428578</v>
      </c>
      <c r="E27" s="674">
        <f t="shared" ca="1" si="3"/>
        <v>467957.00960799603</v>
      </c>
      <c r="F27" s="674">
        <f t="shared" si="3"/>
        <v>11214.939764305151</v>
      </c>
      <c r="G27" s="674">
        <f t="shared" ca="1" si="3"/>
        <v>134942.35950281899</v>
      </c>
      <c r="H27" s="674">
        <f t="shared" si="3"/>
        <v>204971.61797689743</v>
      </c>
      <c r="I27" s="674">
        <f t="shared" si="3"/>
        <v>30741.258451456051</v>
      </c>
      <c r="J27" s="674">
        <f t="shared" si="3"/>
        <v>0</v>
      </c>
      <c r="K27" s="674">
        <f t="shared" si="3"/>
        <v>2274.9630026787445</v>
      </c>
      <c r="L27" s="674">
        <f t="shared" si="3"/>
        <v>0</v>
      </c>
      <c r="M27" s="674">
        <f t="shared" ca="1" si="3"/>
        <v>0</v>
      </c>
      <c r="N27" s="674">
        <f t="shared" si="3"/>
        <v>12819.303463997647</v>
      </c>
      <c r="O27" s="674">
        <f t="shared" ca="1" si="3"/>
        <v>41152.1032332209</v>
      </c>
      <c r="P27" s="674">
        <f t="shared" si="3"/>
        <v>315.79333333333335</v>
      </c>
      <c r="Q27" s="674">
        <f t="shared" si="3"/>
        <v>858</v>
      </c>
      <c r="R27" s="674">
        <f t="shared" ca="1" si="3"/>
        <v>1263095.0471069186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19836.477852302269</v>
      </c>
      <c r="D40" s="983">
        <f ca="1">tertiair!C20</f>
        <v>369.84310156534406</v>
      </c>
      <c r="E40" s="983">
        <f ca="1">tertiair!D20</f>
        <v>21736.772405889838</v>
      </c>
      <c r="F40" s="983">
        <f>tertiair!E20</f>
        <v>187.25320781085119</v>
      </c>
      <c r="G40" s="983">
        <f ca="1">tertiair!F20</f>
        <v>3425.5710431328994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45555.917610701195</v>
      </c>
    </row>
    <row r="41" spans="1:18">
      <c r="A41" s="789" t="s">
        <v>214</v>
      </c>
      <c r="B41" s="796"/>
      <c r="C41" s="983">
        <f ca="1">huishoudens!B12</f>
        <v>12767.154807439481</v>
      </c>
      <c r="D41" s="983">
        <f ca="1">huishoudens!C12</f>
        <v>0</v>
      </c>
      <c r="E41" s="983">
        <f>huishoudens!D12</f>
        <v>42371.70489221887</v>
      </c>
      <c r="F41" s="983">
        <f>huishoudens!E12</f>
        <v>335.34640601389913</v>
      </c>
      <c r="G41" s="983">
        <f>huishoudens!F12</f>
        <v>12443.297280900322</v>
      </c>
      <c r="H41" s="983">
        <f>huishoudens!G12</f>
        <v>0</v>
      </c>
      <c r="I41" s="983">
        <f>huishoudens!H12</f>
        <v>0</v>
      </c>
      <c r="J41" s="983">
        <f>huishoudens!I12</f>
        <v>0</v>
      </c>
      <c r="K41" s="983">
        <f>huishoudens!J12</f>
        <v>384.72935121618775</v>
      </c>
      <c r="L41" s="983">
        <f>huishoudens!K12</f>
        <v>0</v>
      </c>
      <c r="M41" s="983">
        <f>huishoudens!L12</f>
        <v>0</v>
      </c>
      <c r="N41" s="983">
        <f>huishoudens!M12</f>
        <v>0</v>
      </c>
      <c r="O41" s="983">
        <f>huishoudens!N12</f>
        <v>0</v>
      </c>
      <c r="P41" s="983">
        <f>huishoudens!O12</f>
        <v>0</v>
      </c>
      <c r="Q41" s="741">
        <f>huishoudens!P12</f>
        <v>0</v>
      </c>
      <c r="R41" s="817">
        <f t="shared" ca="1" si="4"/>
        <v>68302.232737788756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40353.750597773585</v>
      </c>
      <c r="D43" s="983">
        <f ca="1">industrie!C22</f>
        <v>958.57293671017737</v>
      </c>
      <c r="E43" s="983">
        <f>industrie!D22</f>
        <v>27571.195263939298</v>
      </c>
      <c r="F43" s="983">
        <f>industrie!E22</f>
        <v>1897.2976977756932</v>
      </c>
      <c r="G43" s="983">
        <f>industrie!F22</f>
        <v>19146.391447499005</v>
      </c>
      <c r="H43" s="983">
        <f>industrie!G22</f>
        <v>0</v>
      </c>
      <c r="I43" s="983">
        <f>industrie!H22</f>
        <v>0</v>
      </c>
      <c r="J43" s="983">
        <f>industrie!I22</f>
        <v>0</v>
      </c>
      <c r="K43" s="983">
        <f>industrie!J22</f>
        <v>339.34309810908326</v>
      </c>
      <c r="L43" s="983">
        <f>industrie!K22</f>
        <v>0</v>
      </c>
      <c r="M43" s="983">
        <f>industrie!L22</f>
        <v>0</v>
      </c>
      <c r="N43" s="983">
        <f>industrie!M22</f>
        <v>0</v>
      </c>
      <c r="O43" s="983">
        <f>industrie!N22</f>
        <v>0</v>
      </c>
      <c r="P43" s="983">
        <f>industrie!O22</f>
        <v>0</v>
      </c>
      <c r="Q43" s="741">
        <f>industrie!P22</f>
        <v>0</v>
      </c>
      <c r="R43" s="816">
        <f t="shared" ca="1" si="4"/>
        <v>90266.55104180683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72957.383257515336</v>
      </c>
      <c r="D46" s="699">
        <f t="shared" ref="D46:Q46" ca="1" si="5">SUM(D39:D45)</f>
        <v>1328.4160382755215</v>
      </c>
      <c r="E46" s="699">
        <f t="shared" ca="1" si="5"/>
        <v>91679.672562048014</v>
      </c>
      <c r="F46" s="699">
        <f t="shared" si="5"/>
        <v>2419.8973116004436</v>
      </c>
      <c r="G46" s="699">
        <f t="shared" ca="1" si="5"/>
        <v>35015.259771532226</v>
      </c>
      <c r="H46" s="699">
        <f t="shared" si="5"/>
        <v>0</v>
      </c>
      <c r="I46" s="699">
        <f t="shared" si="5"/>
        <v>0</v>
      </c>
      <c r="J46" s="699">
        <f t="shared" si="5"/>
        <v>0</v>
      </c>
      <c r="K46" s="699">
        <f t="shared" si="5"/>
        <v>724.07244932527101</v>
      </c>
      <c r="L46" s="699">
        <f t="shared" si="5"/>
        <v>0</v>
      </c>
      <c r="M46" s="699">
        <f t="shared" ca="1" si="5"/>
        <v>0</v>
      </c>
      <c r="N46" s="699">
        <f t="shared" si="5"/>
        <v>0</v>
      </c>
      <c r="O46" s="699">
        <f t="shared" ca="1" si="5"/>
        <v>0</v>
      </c>
      <c r="P46" s="699">
        <f t="shared" si="5"/>
        <v>0</v>
      </c>
      <c r="Q46" s="699">
        <f t="shared" si="5"/>
        <v>0</v>
      </c>
      <c r="R46" s="699">
        <f ca="1">SUM(R39:R45)</f>
        <v>204124.7013902968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5.6193135242199777</v>
      </c>
      <c r="D49" s="983">
        <f ca="1">transport!C58</f>
        <v>0</v>
      </c>
      <c r="E49" s="983">
        <f>transport!D58</f>
        <v>0</v>
      </c>
      <c r="F49" s="983">
        <f>transport!E58</f>
        <v>0</v>
      </c>
      <c r="G49" s="983">
        <f>transport!F58</f>
        <v>0</v>
      </c>
      <c r="H49" s="983">
        <f>transport!G58</f>
        <v>1346.636402209964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1352.2557157341839</v>
      </c>
    </row>
    <row r="50" spans="1:18">
      <c r="A50" s="792" t="s">
        <v>296</v>
      </c>
      <c r="B50" s="802"/>
      <c r="C50" s="670">
        <f ca="1">transport!B18</f>
        <v>7.5011960190507114</v>
      </c>
      <c r="D50" s="670">
        <f>transport!C18</f>
        <v>0</v>
      </c>
      <c r="E50" s="670">
        <f>transport!D18</f>
        <v>10.632455099743366</v>
      </c>
      <c r="F50" s="670">
        <f>transport!E18</f>
        <v>122.74573119805632</v>
      </c>
      <c r="G50" s="670">
        <f>transport!F18</f>
        <v>0</v>
      </c>
      <c r="H50" s="670">
        <f>transport!G18</f>
        <v>53380.785597621652</v>
      </c>
      <c r="I50" s="670">
        <f>transport!H18</f>
        <v>7654.5733544125569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61176.238334351059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13.120509543270689</v>
      </c>
      <c r="D52" s="699">
        <f t="shared" ref="D52:Q52" ca="1" si="6">SUM(D48:D51)</f>
        <v>0</v>
      </c>
      <c r="E52" s="699">
        <f t="shared" si="6"/>
        <v>10.632455099743366</v>
      </c>
      <c r="F52" s="699">
        <f t="shared" si="6"/>
        <v>122.74573119805632</v>
      </c>
      <c r="G52" s="699">
        <f t="shared" si="6"/>
        <v>0</v>
      </c>
      <c r="H52" s="699">
        <f t="shared" si="6"/>
        <v>54727.421999831618</v>
      </c>
      <c r="I52" s="699">
        <f t="shared" si="6"/>
        <v>7654.5733544125569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62528.494050085246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316.11618800616998</v>
      </c>
      <c r="D54" s="670">
        <f ca="1">+landbouw!C12</f>
        <v>0</v>
      </c>
      <c r="E54" s="670">
        <f>+landbouw!D12</f>
        <v>461.05588038313908</v>
      </c>
      <c r="F54" s="670">
        <f>+landbouw!E12</f>
        <v>3.1482836987692688</v>
      </c>
      <c r="G54" s="670">
        <f>+landbouw!F12</f>
        <v>1014.3502157204449</v>
      </c>
      <c r="H54" s="670">
        <f>+landbouw!G12</f>
        <v>0</v>
      </c>
      <c r="I54" s="670">
        <f>+landbouw!H12</f>
        <v>0</v>
      </c>
      <c r="J54" s="670">
        <f>+landbouw!I12</f>
        <v>0</v>
      </c>
      <c r="K54" s="670">
        <f>+landbouw!J12</f>
        <v>81.26445362300457</v>
      </c>
      <c r="L54" s="670">
        <f>+landbouw!K12</f>
        <v>0</v>
      </c>
      <c r="M54" s="670">
        <f>+landbouw!L12</f>
        <v>0</v>
      </c>
      <c r="N54" s="670">
        <f>+landbouw!M12</f>
        <v>0</v>
      </c>
      <c r="O54" s="670">
        <f>+landbouw!N12</f>
        <v>0</v>
      </c>
      <c r="P54" s="670">
        <f>+landbouw!O12</f>
        <v>0</v>
      </c>
      <c r="Q54" s="671">
        <f>+landbouw!P12</f>
        <v>0</v>
      </c>
      <c r="R54" s="698">
        <f ca="1">SUM(C54:Q54)</f>
        <v>1875.9350214315277</v>
      </c>
    </row>
    <row r="55" spans="1:18" ht="15" thickBot="1">
      <c r="A55" s="792" t="s">
        <v>829</v>
      </c>
      <c r="B55" s="802"/>
      <c r="C55" s="670">
        <f ca="1">C25*'EF ele_warmte'!B12</f>
        <v>644.54982684919435</v>
      </c>
      <c r="D55" s="670"/>
      <c r="E55" s="670">
        <f>E25*EF_CO2_aardgas</f>
        <v>2375.9550432843107</v>
      </c>
      <c r="F55" s="670"/>
      <c r="G55" s="670"/>
      <c r="H55" s="670"/>
      <c r="I55" s="670"/>
      <c r="J55" s="670"/>
      <c r="K55" s="670"/>
      <c r="L55" s="670"/>
      <c r="M55" s="670"/>
      <c r="N55" s="670"/>
      <c r="O55" s="670"/>
      <c r="P55" s="670"/>
      <c r="Q55" s="671"/>
      <c r="R55" s="698">
        <f ca="1">SUM(C55:Q55)</f>
        <v>3020.5048701335049</v>
      </c>
    </row>
    <row r="56" spans="1:18" ht="15.75" thickBot="1">
      <c r="A56" s="790" t="s">
        <v>830</v>
      </c>
      <c r="B56" s="803"/>
      <c r="C56" s="699">
        <f ca="1">SUM(C54:C55)</f>
        <v>960.66601485536432</v>
      </c>
      <c r="D56" s="699">
        <f t="shared" ref="D56:Q56" ca="1" si="7">SUM(D54:D55)</f>
        <v>0</v>
      </c>
      <c r="E56" s="699">
        <f t="shared" si="7"/>
        <v>2837.0109236674498</v>
      </c>
      <c r="F56" s="699">
        <f t="shared" si="7"/>
        <v>3.1482836987692688</v>
      </c>
      <c r="G56" s="699">
        <f t="shared" si="7"/>
        <v>1014.3502157204449</v>
      </c>
      <c r="H56" s="699">
        <f t="shared" si="7"/>
        <v>0</v>
      </c>
      <c r="I56" s="699">
        <f t="shared" si="7"/>
        <v>0</v>
      </c>
      <c r="J56" s="699">
        <f t="shared" si="7"/>
        <v>0</v>
      </c>
      <c r="K56" s="699">
        <f t="shared" si="7"/>
        <v>81.26445362300457</v>
      </c>
      <c r="L56" s="699">
        <f t="shared" si="7"/>
        <v>0</v>
      </c>
      <c r="M56" s="699">
        <f t="shared" si="7"/>
        <v>0</v>
      </c>
      <c r="N56" s="699">
        <f t="shared" si="7"/>
        <v>0</v>
      </c>
      <c r="O56" s="699">
        <f t="shared" si="7"/>
        <v>0</v>
      </c>
      <c r="P56" s="699">
        <f t="shared" si="7"/>
        <v>0</v>
      </c>
      <c r="Q56" s="700">
        <f t="shared" si="7"/>
        <v>0</v>
      </c>
      <c r="R56" s="701">
        <f ca="1">SUM(R54:R55)</f>
        <v>4896.4398915650327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73931.169781913966</v>
      </c>
      <c r="D61" s="707">
        <f t="shared" ref="D61:Q61" ca="1" si="8">D46+D52+D56</f>
        <v>1328.4160382755215</v>
      </c>
      <c r="E61" s="707">
        <f t="shared" ca="1" si="8"/>
        <v>94527.315940815199</v>
      </c>
      <c r="F61" s="707">
        <f t="shared" si="8"/>
        <v>2545.791326497269</v>
      </c>
      <c r="G61" s="707">
        <f t="shared" ca="1" si="8"/>
        <v>36029.609987252668</v>
      </c>
      <c r="H61" s="707">
        <f t="shared" si="8"/>
        <v>54727.421999831618</v>
      </c>
      <c r="I61" s="707">
        <f t="shared" si="8"/>
        <v>7654.5733544125569</v>
      </c>
      <c r="J61" s="707">
        <f t="shared" si="8"/>
        <v>0</v>
      </c>
      <c r="K61" s="707">
        <f t="shared" si="8"/>
        <v>805.33690294827556</v>
      </c>
      <c r="L61" s="707">
        <f t="shared" si="8"/>
        <v>0</v>
      </c>
      <c r="M61" s="707">
        <f t="shared" ca="1" si="8"/>
        <v>0</v>
      </c>
      <c r="N61" s="707">
        <f t="shared" si="8"/>
        <v>0</v>
      </c>
      <c r="O61" s="707">
        <f t="shared" ca="1" si="8"/>
        <v>0</v>
      </c>
      <c r="P61" s="707">
        <f t="shared" si="8"/>
        <v>0</v>
      </c>
      <c r="Q61" s="707">
        <f t="shared" si="8"/>
        <v>0</v>
      </c>
      <c r="R61" s="707">
        <f ca="1">R46+R52+R56</f>
        <v>271549.63533194707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0.21111697198443599</v>
      </c>
      <c r="D63" s="748">
        <f t="shared" ca="1" si="9"/>
        <v>0.23482101686688509</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14517.779415769299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3172.5</v>
      </c>
      <c r="D76" s="1004">
        <f>'lokale energieproductie'!C8</f>
        <v>3687.9686931197666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744.96967601019287</v>
      </c>
      <c r="R76" s="819">
        <v>0</v>
      </c>
    </row>
    <row r="77" spans="1:18" ht="30.75" thickBot="1">
      <c r="A77" s="720" t="s">
        <v>340</v>
      </c>
      <c r="B77" s="717">
        <f>'lokale energieproductie'!B9*IFERROR(SUM(I77:O77)/SUM(D77:O77),0)</f>
        <v>1341</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3831.4285714285716</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15858.779415769299</v>
      </c>
      <c r="C78" s="722">
        <f>SUM(C72:C77)</f>
        <v>3172.5</v>
      </c>
      <c r="D78" s="723">
        <f t="shared" ref="D78:H78" si="10">SUM(D76:D77)</f>
        <v>3687.9686931197666</v>
      </c>
      <c r="E78" s="723">
        <f t="shared" si="10"/>
        <v>0</v>
      </c>
      <c r="F78" s="723">
        <f t="shared" si="10"/>
        <v>0</v>
      </c>
      <c r="G78" s="723">
        <f t="shared" si="10"/>
        <v>0</v>
      </c>
      <c r="H78" s="723">
        <f t="shared" si="10"/>
        <v>0</v>
      </c>
      <c r="I78" s="723">
        <f>SUM(I76:I77)</f>
        <v>0</v>
      </c>
      <c r="J78" s="723">
        <f>SUM(J76:J77)</f>
        <v>3831.4285714285716</v>
      </c>
      <c r="K78" s="723">
        <f t="shared" ref="K78:L78" si="11">SUM(K76:K77)</f>
        <v>0</v>
      </c>
      <c r="L78" s="723">
        <f t="shared" si="11"/>
        <v>0</v>
      </c>
      <c r="M78" s="723">
        <f>SUM(M76:M77)</f>
        <v>0</v>
      </c>
      <c r="N78" s="723">
        <f>SUM(N76:N77)</f>
        <v>0</v>
      </c>
      <c r="O78" s="827">
        <f>SUM(O76:O77)</f>
        <v>0</v>
      </c>
      <c r="P78" s="724">
        <v>0</v>
      </c>
      <c r="Q78" s="724">
        <f>SUM(Q76:Q77)</f>
        <v>744.96967601019287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5657.1428571428578</v>
      </c>
      <c r="D87" s="744">
        <f>'lokale energieproductie'!C17</f>
        <v>6576.3170211659472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1328.4160382755215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5657.1428571428578</v>
      </c>
      <c r="D90" s="722">
        <f t="shared" ref="D90:H90" si="12">SUM(D87:D89)</f>
        <v>6576.3170211659472</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1328.4160382755215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60474.317566380705</v>
      </c>
      <c r="C4" s="444">
        <f>huishoudens!C8</f>
        <v>0</v>
      </c>
      <c r="D4" s="444">
        <f>huishoudens!D8</f>
        <v>209760.9153080142</v>
      </c>
      <c r="E4" s="444">
        <f>huishoudens!E8</f>
        <v>1477.296942792507</v>
      </c>
      <c r="F4" s="444">
        <f>huishoudens!F8</f>
        <v>46604.109666293341</v>
      </c>
      <c r="G4" s="444">
        <f>huishoudens!G8</f>
        <v>0</v>
      </c>
      <c r="H4" s="444">
        <f>huishoudens!H8</f>
        <v>0</v>
      </c>
      <c r="I4" s="444">
        <f>huishoudens!I8</f>
        <v>0</v>
      </c>
      <c r="J4" s="444">
        <f>huishoudens!J8</f>
        <v>1086.8060768818864</v>
      </c>
      <c r="K4" s="444">
        <f>huishoudens!K8</f>
        <v>0</v>
      </c>
      <c r="L4" s="444">
        <f>huishoudens!L8</f>
        <v>0</v>
      </c>
      <c r="M4" s="444">
        <f>huishoudens!M8</f>
        <v>0</v>
      </c>
      <c r="N4" s="444">
        <f>huishoudens!N8</f>
        <v>20147.56493608484</v>
      </c>
      <c r="O4" s="444">
        <f>huishoudens!O8</f>
        <v>309.54000000000002</v>
      </c>
      <c r="P4" s="445">
        <f>huishoudens!P8</f>
        <v>724.5333333333333</v>
      </c>
      <c r="Q4" s="446">
        <f>SUM(B4:P4)</f>
        <v>340585.08382978075</v>
      </c>
    </row>
    <row r="5" spans="1:17">
      <c r="A5" s="443" t="s">
        <v>149</v>
      </c>
      <c r="B5" s="444">
        <f ca="1">tertiair!B16</f>
        <v>91394.977999999988</v>
      </c>
      <c r="C5" s="444">
        <f ca="1">tertiair!C16</f>
        <v>1575.0000000000002</v>
      </c>
      <c r="D5" s="444">
        <f ca="1">tertiair!D16</f>
        <v>107607.78418757346</v>
      </c>
      <c r="E5" s="444">
        <f>tertiair!E16</f>
        <v>824.90399916674528</v>
      </c>
      <c r="F5" s="444">
        <f ca="1">tertiair!F16</f>
        <v>12829.854094130709</v>
      </c>
      <c r="G5" s="444">
        <f>tertiair!G16</f>
        <v>0</v>
      </c>
      <c r="H5" s="444">
        <f>tertiair!H16</f>
        <v>0</v>
      </c>
      <c r="I5" s="444">
        <f>tertiair!I16</f>
        <v>0</v>
      </c>
      <c r="J5" s="444">
        <f>tertiair!J16</f>
        <v>0</v>
      </c>
      <c r="K5" s="444">
        <f>tertiair!K16</f>
        <v>0</v>
      </c>
      <c r="L5" s="444">
        <f ca="1">tertiair!L16</f>
        <v>0</v>
      </c>
      <c r="M5" s="444">
        <f>tertiair!M16</f>
        <v>0</v>
      </c>
      <c r="N5" s="444">
        <f ca="1">tertiair!N16</f>
        <v>1165.6780717894244</v>
      </c>
      <c r="O5" s="444">
        <f>tertiair!O16</f>
        <v>6.2533333333333339</v>
      </c>
      <c r="P5" s="445">
        <f>tertiair!P16</f>
        <v>133.46666666666667</v>
      </c>
      <c r="Q5" s="443">
        <f t="shared" ref="Q5:Q14" ca="1" si="0">SUM(B5:P5)</f>
        <v>215537.91835266032</v>
      </c>
    </row>
    <row r="6" spans="1:17">
      <c r="A6" s="443" t="s">
        <v>187</v>
      </c>
      <c r="B6" s="444">
        <f>'openbare verlichting'!B8</f>
        <v>2564.6770000000001</v>
      </c>
      <c r="C6" s="444"/>
      <c r="D6" s="444"/>
      <c r="E6" s="444"/>
      <c r="F6" s="444"/>
      <c r="G6" s="444"/>
      <c r="H6" s="444"/>
      <c r="I6" s="444"/>
      <c r="J6" s="444"/>
      <c r="K6" s="444"/>
      <c r="L6" s="444"/>
      <c r="M6" s="444"/>
      <c r="N6" s="444"/>
      <c r="O6" s="444"/>
      <c r="P6" s="445"/>
      <c r="Q6" s="443">
        <f t="shared" si="0"/>
        <v>2564.6770000000001</v>
      </c>
    </row>
    <row r="7" spans="1:17">
      <c r="A7" s="443" t="s">
        <v>105</v>
      </c>
      <c r="B7" s="444">
        <f>landbouw!B8</f>
        <v>1497.3508999999999</v>
      </c>
      <c r="C7" s="444">
        <f>landbouw!C8</f>
        <v>0</v>
      </c>
      <c r="D7" s="444">
        <f>landbouw!D8</f>
        <v>2282.4548533818765</v>
      </c>
      <c r="E7" s="444">
        <f>landbouw!E8</f>
        <v>13.869091184005589</v>
      </c>
      <c r="F7" s="444">
        <f>landbouw!F8</f>
        <v>3799.0644783537259</v>
      </c>
      <c r="G7" s="444">
        <f>landbouw!G8</f>
        <v>0</v>
      </c>
      <c r="H7" s="444">
        <f>landbouw!H8</f>
        <v>0</v>
      </c>
      <c r="I7" s="444">
        <f>landbouw!I8</f>
        <v>0</v>
      </c>
      <c r="J7" s="444">
        <f>landbouw!J8</f>
        <v>229.56060345481518</v>
      </c>
      <c r="K7" s="444">
        <f>landbouw!K8</f>
        <v>0</v>
      </c>
      <c r="L7" s="444">
        <f>landbouw!L8</f>
        <v>0</v>
      </c>
      <c r="M7" s="444">
        <f>landbouw!M8</f>
        <v>0</v>
      </c>
      <c r="N7" s="444">
        <f>landbouw!N8</f>
        <v>0</v>
      </c>
      <c r="O7" s="444">
        <f>landbouw!O8</f>
        <v>0</v>
      </c>
      <c r="P7" s="445">
        <f>landbouw!P8</f>
        <v>0</v>
      </c>
      <c r="Q7" s="443">
        <f t="shared" si="0"/>
        <v>7822.2999263744232</v>
      </c>
    </row>
    <row r="8" spans="1:17">
      <c r="A8" s="443" t="s">
        <v>637</v>
      </c>
      <c r="B8" s="444">
        <f>industrie!B18</f>
        <v>191144.03839</v>
      </c>
      <c r="C8" s="444">
        <f>industrie!C18</f>
        <v>4082.1428571428573</v>
      </c>
      <c r="D8" s="444">
        <f>industrie!D18</f>
        <v>136491.06566306582</v>
      </c>
      <c r="E8" s="444">
        <f>industrie!E18</f>
        <v>8358.139637778384</v>
      </c>
      <c r="F8" s="444">
        <f>industrie!F18</f>
        <v>71709.331264041219</v>
      </c>
      <c r="G8" s="444">
        <f>industrie!G18</f>
        <v>0</v>
      </c>
      <c r="H8" s="444">
        <f>industrie!H18</f>
        <v>0</v>
      </c>
      <c r="I8" s="444">
        <f>industrie!I18</f>
        <v>0</v>
      </c>
      <c r="J8" s="444">
        <f>industrie!J18</f>
        <v>958.59632234204321</v>
      </c>
      <c r="K8" s="444">
        <f>industrie!K18</f>
        <v>0</v>
      </c>
      <c r="L8" s="444">
        <f>industrie!L18</f>
        <v>0</v>
      </c>
      <c r="M8" s="444">
        <f>industrie!M18</f>
        <v>0</v>
      </c>
      <c r="N8" s="444">
        <f>industrie!N18</f>
        <v>19838.860225346631</v>
      </c>
      <c r="O8" s="444">
        <f>industrie!O18</f>
        <v>0</v>
      </c>
      <c r="P8" s="445">
        <f>industrie!P18</f>
        <v>0</v>
      </c>
      <c r="Q8" s="443">
        <f t="shared" si="0"/>
        <v>432582.17435971706</v>
      </c>
    </row>
    <row r="9" spans="1:17" s="449" customFormat="1">
      <c r="A9" s="447" t="s">
        <v>558</v>
      </c>
      <c r="B9" s="448">
        <f>transport!B14</f>
        <v>35.530994730275481</v>
      </c>
      <c r="C9" s="448">
        <f>transport!C14</f>
        <v>0</v>
      </c>
      <c r="D9" s="448">
        <f>transport!D14</f>
        <v>52.635916335363191</v>
      </c>
      <c r="E9" s="448">
        <f>transport!E14</f>
        <v>540.73009338350801</v>
      </c>
      <c r="F9" s="448">
        <f>transport!F14</f>
        <v>0</v>
      </c>
      <c r="G9" s="448">
        <f>transport!G14</f>
        <v>199928.03594614851</v>
      </c>
      <c r="H9" s="448">
        <f>transport!H14</f>
        <v>30741.258451456051</v>
      </c>
      <c r="I9" s="448">
        <f>transport!I14</f>
        <v>0</v>
      </c>
      <c r="J9" s="448">
        <f>transport!J14</f>
        <v>0</v>
      </c>
      <c r="K9" s="448">
        <f>transport!K14</f>
        <v>0</v>
      </c>
      <c r="L9" s="448">
        <f>transport!L14</f>
        <v>0</v>
      </c>
      <c r="M9" s="448">
        <f>transport!M14</f>
        <v>12528.954351988095</v>
      </c>
      <c r="N9" s="448">
        <f>transport!N14</f>
        <v>0</v>
      </c>
      <c r="O9" s="448">
        <f>transport!O14</f>
        <v>0</v>
      </c>
      <c r="P9" s="448">
        <f>transport!P14</f>
        <v>0</v>
      </c>
      <c r="Q9" s="447">
        <f>SUM(B9:P9)</f>
        <v>243827.14575404182</v>
      </c>
    </row>
    <row r="10" spans="1:17">
      <c r="A10" s="443" t="s">
        <v>548</v>
      </c>
      <c r="B10" s="444">
        <f>transport!B54</f>
        <v>26.617061960486275</v>
      </c>
      <c r="C10" s="444">
        <f>transport!C54</f>
        <v>0</v>
      </c>
      <c r="D10" s="444">
        <f>transport!D54</f>
        <v>0</v>
      </c>
      <c r="E10" s="444">
        <f>transport!E54</f>
        <v>0</v>
      </c>
      <c r="F10" s="444">
        <f>transport!F54</f>
        <v>0</v>
      </c>
      <c r="G10" s="444">
        <f>transport!G54</f>
        <v>5043.5820307489284</v>
      </c>
      <c r="H10" s="444">
        <f>transport!H54</f>
        <v>0</v>
      </c>
      <c r="I10" s="444">
        <f>transport!I54</f>
        <v>0</v>
      </c>
      <c r="J10" s="444">
        <f>transport!J54</f>
        <v>0</v>
      </c>
      <c r="K10" s="444">
        <f>transport!K54</f>
        <v>0</v>
      </c>
      <c r="L10" s="444">
        <f>transport!L54</f>
        <v>0</v>
      </c>
      <c r="M10" s="444">
        <f>transport!M54</f>
        <v>290.34911200955179</v>
      </c>
      <c r="N10" s="444">
        <f>transport!N54</f>
        <v>0</v>
      </c>
      <c r="O10" s="444">
        <f>transport!O54</f>
        <v>0</v>
      </c>
      <c r="P10" s="445">
        <f>transport!P54</f>
        <v>0</v>
      </c>
      <c r="Q10" s="443">
        <f t="shared" si="0"/>
        <v>5360.5482047189662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3053.0459999999998</v>
      </c>
      <c r="C14" s="451"/>
      <c r="D14" s="451">
        <f>'SEAP template'!E25</f>
        <v>11762.1536796253</v>
      </c>
      <c r="E14" s="451"/>
      <c r="F14" s="451"/>
      <c r="G14" s="451"/>
      <c r="H14" s="451"/>
      <c r="I14" s="451"/>
      <c r="J14" s="451"/>
      <c r="K14" s="451"/>
      <c r="L14" s="451"/>
      <c r="M14" s="451"/>
      <c r="N14" s="451"/>
      <c r="O14" s="451"/>
      <c r="P14" s="452"/>
      <c r="Q14" s="443">
        <f t="shared" si="0"/>
        <v>14815.199679625301</v>
      </c>
    </row>
    <row r="15" spans="1:17" s="453" customFormat="1">
      <c r="A15" s="1009" t="s">
        <v>552</v>
      </c>
      <c r="B15" s="949">
        <f ca="1">SUM(B4:B14)</f>
        <v>350190.5559130715</v>
      </c>
      <c r="C15" s="949">
        <f t="shared" ref="C15:Q15" ca="1" si="1">SUM(C4:C14)</f>
        <v>5657.1428571428578</v>
      </c>
      <c r="D15" s="949">
        <f t="shared" ca="1" si="1"/>
        <v>467957.00960799609</v>
      </c>
      <c r="E15" s="949">
        <f t="shared" si="1"/>
        <v>11214.939764305151</v>
      </c>
      <c r="F15" s="949">
        <f t="shared" ca="1" si="1"/>
        <v>134942.35950281899</v>
      </c>
      <c r="G15" s="949">
        <f t="shared" si="1"/>
        <v>204971.61797689743</v>
      </c>
      <c r="H15" s="949">
        <f t="shared" si="1"/>
        <v>30741.258451456051</v>
      </c>
      <c r="I15" s="949">
        <f t="shared" si="1"/>
        <v>0</v>
      </c>
      <c r="J15" s="949">
        <f t="shared" si="1"/>
        <v>2274.9630026787449</v>
      </c>
      <c r="K15" s="949">
        <f t="shared" si="1"/>
        <v>0</v>
      </c>
      <c r="L15" s="949">
        <f t="shared" ca="1" si="1"/>
        <v>0</v>
      </c>
      <c r="M15" s="949">
        <f t="shared" si="1"/>
        <v>12819.303463997647</v>
      </c>
      <c r="N15" s="949">
        <f t="shared" ca="1" si="1"/>
        <v>41152.1032332209</v>
      </c>
      <c r="O15" s="949">
        <f t="shared" si="1"/>
        <v>315.79333333333335</v>
      </c>
      <c r="P15" s="949">
        <f t="shared" si="1"/>
        <v>858</v>
      </c>
      <c r="Q15" s="949">
        <f t="shared" ca="1" si="1"/>
        <v>1263095.0471069184</v>
      </c>
    </row>
    <row r="17" spans="1:17">
      <c r="A17" s="454" t="s">
        <v>553</v>
      </c>
      <c r="B17" s="753">
        <f ca="1">huishoudens!B10</f>
        <v>0.21111697198443599</v>
      </c>
      <c r="C17" s="753">
        <f ca="1">huishoudens!C10</f>
        <v>0.23482101686688509</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12767.154807439481</v>
      </c>
      <c r="C22" s="444">
        <f t="shared" ref="C22:C32" ca="1" si="3">C4*$C$17</f>
        <v>0</v>
      </c>
      <c r="D22" s="444">
        <f t="shared" ref="D22:D32" si="4">D4*$D$17</f>
        <v>42371.70489221887</v>
      </c>
      <c r="E22" s="444">
        <f t="shared" ref="E22:E32" si="5">E4*$E$17</f>
        <v>335.34640601389913</v>
      </c>
      <c r="F22" s="444">
        <f t="shared" ref="F22:F32" si="6">F4*$F$17</f>
        <v>12443.297280900322</v>
      </c>
      <c r="G22" s="444">
        <f t="shared" ref="G22:G32" si="7">G4*$G$17</f>
        <v>0</v>
      </c>
      <c r="H22" s="444">
        <f t="shared" ref="H22:H32" si="8">H4*$H$17</f>
        <v>0</v>
      </c>
      <c r="I22" s="444">
        <f t="shared" ref="I22:I32" si="9">I4*$I$17</f>
        <v>0</v>
      </c>
      <c r="J22" s="444">
        <f t="shared" ref="J22:J32" si="10">J4*$J$17</f>
        <v>384.72935121618775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68302.232737788756</v>
      </c>
    </row>
    <row r="23" spans="1:17">
      <c r="A23" s="443" t="s">
        <v>149</v>
      </c>
      <c r="B23" s="444">
        <f t="shared" ca="1" si="2"/>
        <v>19295.031009944141</v>
      </c>
      <c r="C23" s="444">
        <f t="shared" ca="1" si="3"/>
        <v>369.84310156534406</v>
      </c>
      <c r="D23" s="444">
        <f t="shared" ca="1" si="4"/>
        <v>21736.772405889838</v>
      </c>
      <c r="E23" s="444">
        <f t="shared" si="5"/>
        <v>187.25320781085119</v>
      </c>
      <c r="F23" s="444">
        <f t="shared" ca="1" si="6"/>
        <v>3425.5710431328994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45014.470768343068</v>
      </c>
    </row>
    <row r="24" spans="1:17">
      <c r="A24" s="443" t="s">
        <v>187</v>
      </c>
      <c r="B24" s="444">
        <f t="shared" ca="1" si="2"/>
        <v>541.44684235812736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541.44684235812736</v>
      </c>
    </row>
    <row r="25" spans="1:17">
      <c r="A25" s="443" t="s">
        <v>105</v>
      </c>
      <c r="B25" s="444">
        <f t="shared" ca="1" si="2"/>
        <v>316.11618800616998</v>
      </c>
      <c r="C25" s="444">
        <f t="shared" ca="1" si="3"/>
        <v>0</v>
      </c>
      <c r="D25" s="444">
        <f t="shared" si="4"/>
        <v>461.05588038313908</v>
      </c>
      <c r="E25" s="444">
        <f t="shared" si="5"/>
        <v>3.1482836987692688</v>
      </c>
      <c r="F25" s="444">
        <f t="shared" si="6"/>
        <v>1014.3502157204449</v>
      </c>
      <c r="G25" s="444">
        <f t="shared" si="7"/>
        <v>0</v>
      </c>
      <c r="H25" s="444">
        <f t="shared" si="8"/>
        <v>0</v>
      </c>
      <c r="I25" s="444">
        <f t="shared" si="9"/>
        <v>0</v>
      </c>
      <c r="J25" s="444">
        <f t="shared" si="10"/>
        <v>81.26445362300457</v>
      </c>
      <c r="K25" s="444">
        <f t="shared" si="11"/>
        <v>0</v>
      </c>
      <c r="L25" s="444">
        <f t="shared" si="12"/>
        <v>0</v>
      </c>
      <c r="M25" s="444">
        <f t="shared" si="13"/>
        <v>0</v>
      </c>
      <c r="N25" s="444">
        <f t="shared" si="14"/>
        <v>0</v>
      </c>
      <c r="O25" s="444">
        <f t="shared" si="15"/>
        <v>0</v>
      </c>
      <c r="P25" s="445">
        <f t="shared" si="16"/>
        <v>0</v>
      </c>
      <c r="Q25" s="443">
        <f t="shared" ca="1" si="17"/>
        <v>1875.9350214315277</v>
      </c>
    </row>
    <row r="26" spans="1:17">
      <c r="A26" s="443" t="s">
        <v>637</v>
      </c>
      <c r="B26" s="444">
        <f t="shared" ca="1" si="2"/>
        <v>40353.750597773585</v>
      </c>
      <c r="C26" s="444">
        <f t="shared" ca="1" si="3"/>
        <v>958.57293671017737</v>
      </c>
      <c r="D26" s="444">
        <f t="shared" si="4"/>
        <v>27571.195263939298</v>
      </c>
      <c r="E26" s="444">
        <f t="shared" si="5"/>
        <v>1897.2976977756932</v>
      </c>
      <c r="F26" s="444">
        <f t="shared" si="6"/>
        <v>19146.391447499005</v>
      </c>
      <c r="G26" s="444">
        <f t="shared" si="7"/>
        <v>0</v>
      </c>
      <c r="H26" s="444">
        <f t="shared" si="8"/>
        <v>0</v>
      </c>
      <c r="I26" s="444">
        <f t="shared" si="9"/>
        <v>0</v>
      </c>
      <c r="J26" s="444">
        <f t="shared" si="10"/>
        <v>339.34309810908326</v>
      </c>
      <c r="K26" s="444">
        <f t="shared" si="11"/>
        <v>0</v>
      </c>
      <c r="L26" s="444">
        <f t="shared" si="12"/>
        <v>0</v>
      </c>
      <c r="M26" s="444">
        <f t="shared" si="13"/>
        <v>0</v>
      </c>
      <c r="N26" s="444">
        <f t="shared" si="14"/>
        <v>0</v>
      </c>
      <c r="O26" s="444">
        <f t="shared" si="15"/>
        <v>0</v>
      </c>
      <c r="P26" s="445">
        <f t="shared" si="16"/>
        <v>0</v>
      </c>
      <c r="Q26" s="443">
        <f t="shared" ca="1" si="17"/>
        <v>90266.55104180683</v>
      </c>
    </row>
    <row r="27" spans="1:17" s="449" customFormat="1">
      <c r="A27" s="447" t="s">
        <v>558</v>
      </c>
      <c r="B27" s="747">
        <f t="shared" ca="1" si="2"/>
        <v>7.5011960190507114</v>
      </c>
      <c r="C27" s="448">
        <f t="shared" ca="1" si="3"/>
        <v>0</v>
      </c>
      <c r="D27" s="448">
        <f t="shared" si="4"/>
        <v>10.632455099743366</v>
      </c>
      <c r="E27" s="448">
        <f t="shared" si="5"/>
        <v>122.74573119805632</v>
      </c>
      <c r="F27" s="448">
        <f t="shared" si="6"/>
        <v>0</v>
      </c>
      <c r="G27" s="448">
        <f t="shared" si="7"/>
        <v>53380.785597621652</v>
      </c>
      <c r="H27" s="448">
        <f t="shared" si="8"/>
        <v>7654.5733544125569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61176.238334351059</v>
      </c>
    </row>
    <row r="28" spans="1:17">
      <c r="A28" s="443" t="s">
        <v>548</v>
      </c>
      <c r="B28" s="444">
        <f t="shared" ca="1" si="2"/>
        <v>5.6193135242199777</v>
      </c>
      <c r="C28" s="444">
        <f t="shared" ca="1" si="3"/>
        <v>0</v>
      </c>
      <c r="D28" s="444">
        <f t="shared" si="4"/>
        <v>0</v>
      </c>
      <c r="E28" s="444">
        <f t="shared" si="5"/>
        <v>0</v>
      </c>
      <c r="F28" s="444">
        <f t="shared" si="6"/>
        <v>0</v>
      </c>
      <c r="G28" s="444">
        <f t="shared" si="7"/>
        <v>1346.636402209964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1352.2557157341839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644.54982684919435</v>
      </c>
      <c r="C32" s="444">
        <f t="shared" ca="1" si="3"/>
        <v>0</v>
      </c>
      <c r="D32" s="444">
        <f t="shared" si="4"/>
        <v>2375.9550432843107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3020.5048701335049</v>
      </c>
    </row>
    <row r="33" spans="1:17" s="453" customFormat="1">
      <c r="A33" s="1009" t="s">
        <v>552</v>
      </c>
      <c r="B33" s="949">
        <f ca="1">SUM(B22:B32)</f>
        <v>73931.169781913966</v>
      </c>
      <c r="C33" s="949">
        <f t="shared" ref="C33:Q33" ca="1" si="18">SUM(C22:C32)</f>
        <v>1328.4160382755215</v>
      </c>
      <c r="D33" s="949">
        <f t="shared" ca="1" si="18"/>
        <v>94527.315940815184</v>
      </c>
      <c r="E33" s="949">
        <f t="shared" si="18"/>
        <v>2545.7913264972694</v>
      </c>
      <c r="F33" s="949">
        <f t="shared" ca="1" si="18"/>
        <v>36029.609987252668</v>
      </c>
      <c r="G33" s="949">
        <f t="shared" si="18"/>
        <v>54727.421999831618</v>
      </c>
      <c r="H33" s="949">
        <f t="shared" si="18"/>
        <v>7654.5733544125569</v>
      </c>
      <c r="I33" s="949">
        <f t="shared" si="18"/>
        <v>0</v>
      </c>
      <c r="J33" s="949">
        <f t="shared" si="18"/>
        <v>805.33690294827556</v>
      </c>
      <c r="K33" s="949">
        <f t="shared" si="18"/>
        <v>0</v>
      </c>
      <c r="L33" s="949">
        <f t="shared" ca="1" si="18"/>
        <v>0</v>
      </c>
      <c r="M33" s="949">
        <f t="shared" si="18"/>
        <v>0</v>
      </c>
      <c r="N33" s="949">
        <f t="shared" ca="1" si="18"/>
        <v>0</v>
      </c>
      <c r="O33" s="949">
        <f t="shared" si="18"/>
        <v>0</v>
      </c>
      <c r="P33" s="949">
        <f t="shared" si="18"/>
        <v>0</v>
      </c>
      <c r="Q33" s="949">
        <f t="shared" ca="1" si="18"/>
        <v>271549.63533194712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14517.779415769299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3172.5</v>
      </c>
      <c r="D8" s="1026">
        <f>'SEAP template'!D76</f>
        <v>3687.9686931197666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744.96967601019287</v>
      </c>
    </row>
    <row r="9" spans="1:16">
      <c r="A9" s="1029" t="s">
        <v>845</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15858.779415769299</v>
      </c>
      <c r="C10" s="1030">
        <f>SUM(C4:C9)</f>
        <v>3172.5</v>
      </c>
      <c r="D10" s="1030">
        <f t="shared" ref="D10:H10" si="0">SUM(D8:D9)</f>
        <v>3687.9686931197666</v>
      </c>
      <c r="E10" s="1030">
        <f t="shared" si="0"/>
        <v>0</v>
      </c>
      <c r="F10" s="1030">
        <f t="shared" si="0"/>
        <v>0</v>
      </c>
      <c r="G10" s="1030">
        <f t="shared" si="0"/>
        <v>0</v>
      </c>
      <c r="H10" s="1030">
        <f t="shared" si="0"/>
        <v>0</v>
      </c>
      <c r="I10" s="1030">
        <f>SUM(I8:I9)</f>
        <v>0</v>
      </c>
      <c r="J10" s="1030">
        <f>SUM(J8:J9)</f>
        <v>3831.4285714285716</v>
      </c>
      <c r="K10" s="1030">
        <f t="shared" ref="K10:L10" si="1">SUM(K8:K9)</f>
        <v>0</v>
      </c>
      <c r="L10" s="1030">
        <f t="shared" si="1"/>
        <v>0</v>
      </c>
      <c r="M10" s="1030">
        <f>SUM(M8:M9)</f>
        <v>0</v>
      </c>
      <c r="N10" s="1030">
        <f>SUM(N8:N9)</f>
        <v>0</v>
      </c>
      <c r="O10" s="1030">
        <f>SUM(O8:O9)</f>
        <v>0</v>
      </c>
      <c r="P10" s="1030">
        <f>SUM(P8:P9)</f>
        <v>744.96967601019287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0.21111697198443599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5657.1428571428578</v>
      </c>
      <c r="D17" s="1027">
        <f>'SEAP template'!D87</f>
        <v>6576.3170211659472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1328.4160382755215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5657.1428571428578</v>
      </c>
      <c r="D20" s="1030">
        <f t="shared" ref="D20:H20" si="2">SUM(D17:D19)</f>
        <v>6576.3170211659472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1328.4160382755215</v>
      </c>
    </row>
    <row r="22" spans="1:16">
      <c r="A22" s="454" t="s">
        <v>853</v>
      </c>
      <c r="B22" s="753" t="s">
        <v>847</v>
      </c>
      <c r="C22" s="753">
        <f ca="1">'EF ele_warmte'!B22</f>
        <v>0.23482101686688509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0.21111697198443599</v>
      </c>
      <c r="C17" s="491">
        <f ca="1">'EF ele_warmte'!B22</f>
        <v>0.23482101686688509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0.21111697198443599</v>
      </c>
      <c r="C17" s="491">
        <f ca="1">'EF ele_warmte'!B22</f>
        <v>0.23482101686688509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0.21111697198443599</v>
      </c>
      <c r="C29" s="492">
        <f ca="1">'EF ele_warmte'!B22</f>
        <v>0.23482101686688509</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18934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2205</v>
      </c>
      <c r="C14" s="324"/>
      <c r="D14" s="324"/>
      <c r="E14" s="324"/>
      <c r="F14" s="324"/>
    </row>
    <row r="15" spans="1:6">
      <c r="A15" s="1302" t="s">
        <v>177</v>
      </c>
      <c r="B15" s="1303">
        <v>3425</v>
      </c>
      <c r="C15" s="324"/>
      <c r="D15" s="324"/>
      <c r="E15" s="324"/>
      <c r="F15" s="324"/>
    </row>
    <row r="16" spans="1:6">
      <c r="A16" s="1302" t="s">
        <v>6</v>
      </c>
      <c r="B16" s="1303">
        <v>1033</v>
      </c>
      <c r="C16" s="324"/>
      <c r="D16" s="324"/>
      <c r="E16" s="324"/>
      <c r="F16" s="324"/>
    </row>
    <row r="17" spans="1:6">
      <c r="A17" s="1302" t="s">
        <v>7</v>
      </c>
      <c r="B17" s="1303">
        <v>164</v>
      </c>
      <c r="C17" s="324"/>
      <c r="D17" s="324"/>
      <c r="E17" s="324"/>
      <c r="F17" s="324"/>
    </row>
    <row r="18" spans="1:6">
      <c r="A18" s="1302" t="s">
        <v>8</v>
      </c>
      <c r="B18" s="1303">
        <v>644</v>
      </c>
      <c r="C18" s="324"/>
      <c r="D18" s="324"/>
      <c r="E18" s="324"/>
      <c r="F18" s="324"/>
    </row>
    <row r="19" spans="1:6">
      <c r="A19" s="1302" t="s">
        <v>9</v>
      </c>
      <c r="B19" s="1303">
        <v>555</v>
      </c>
      <c r="C19" s="324"/>
      <c r="D19" s="324"/>
      <c r="E19" s="324"/>
      <c r="F19" s="324"/>
    </row>
    <row r="20" spans="1:6">
      <c r="A20" s="1302" t="s">
        <v>10</v>
      </c>
      <c r="B20" s="1303">
        <v>244</v>
      </c>
      <c r="C20" s="324"/>
      <c r="D20" s="324"/>
      <c r="E20" s="324"/>
      <c r="F20" s="324"/>
    </row>
    <row r="21" spans="1:6">
      <c r="A21" s="1302" t="s">
        <v>11</v>
      </c>
      <c r="B21" s="1303">
        <v>1206</v>
      </c>
      <c r="C21" s="324"/>
      <c r="D21" s="324"/>
      <c r="E21" s="324"/>
      <c r="F21" s="324"/>
    </row>
    <row r="22" spans="1:6">
      <c r="A22" s="1302" t="s">
        <v>12</v>
      </c>
      <c r="B22" s="1303">
        <v>3078</v>
      </c>
      <c r="C22" s="324"/>
      <c r="D22" s="324"/>
      <c r="E22" s="324"/>
      <c r="F22" s="324"/>
    </row>
    <row r="23" spans="1:6">
      <c r="A23" s="1302" t="s">
        <v>13</v>
      </c>
      <c r="B23" s="1303">
        <v>42</v>
      </c>
      <c r="C23" s="324"/>
      <c r="D23" s="324"/>
      <c r="E23" s="324"/>
      <c r="F23" s="324"/>
    </row>
    <row r="24" spans="1:6">
      <c r="A24" s="1302" t="s">
        <v>14</v>
      </c>
      <c r="B24" s="1303">
        <v>3</v>
      </c>
      <c r="C24" s="324"/>
      <c r="D24" s="324"/>
      <c r="E24" s="324"/>
      <c r="F24" s="324"/>
    </row>
    <row r="25" spans="1:6">
      <c r="A25" s="1302" t="s">
        <v>15</v>
      </c>
      <c r="B25" s="1303">
        <v>292</v>
      </c>
      <c r="C25" s="324"/>
      <c r="D25" s="324"/>
      <c r="E25" s="324"/>
      <c r="F25" s="324"/>
    </row>
    <row r="26" spans="1:6">
      <c r="A26" s="1302" t="s">
        <v>16</v>
      </c>
      <c r="B26" s="1303">
        <v>47</v>
      </c>
      <c r="C26" s="324"/>
      <c r="D26" s="324"/>
      <c r="E26" s="324"/>
      <c r="F26" s="324"/>
    </row>
    <row r="27" spans="1:6">
      <c r="A27" s="1302" t="s">
        <v>17</v>
      </c>
      <c r="B27" s="1303">
        <v>0</v>
      </c>
      <c r="C27" s="324"/>
      <c r="D27" s="324"/>
      <c r="E27" s="324"/>
      <c r="F27" s="324"/>
    </row>
    <row r="28" spans="1:6">
      <c r="A28" s="1302" t="s">
        <v>18</v>
      </c>
      <c r="B28" s="1304">
        <v>379512</v>
      </c>
      <c r="C28" s="324"/>
      <c r="D28" s="324"/>
      <c r="E28" s="324"/>
      <c r="F28" s="324"/>
    </row>
    <row r="29" spans="1:6">
      <c r="A29" s="1302" t="s">
        <v>918</v>
      </c>
      <c r="B29" s="1304">
        <v>132</v>
      </c>
      <c r="C29" s="324"/>
      <c r="D29" s="324"/>
      <c r="E29" s="324"/>
      <c r="F29" s="324"/>
    </row>
    <row r="30" spans="1:6">
      <c r="A30" s="1297" t="s">
        <v>919</v>
      </c>
      <c r="B30" s="1305">
        <v>39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602646.6</v>
      </c>
    </row>
    <row r="37" spans="1:6">
      <c r="A37" s="1302" t="s">
        <v>24</v>
      </c>
      <c r="B37" s="1302" t="s">
        <v>27</v>
      </c>
      <c r="C37" s="1303">
        <v>0</v>
      </c>
      <c r="D37" s="1303">
        <v>0</v>
      </c>
      <c r="E37" s="1303">
        <v>0</v>
      </c>
      <c r="F37" s="1303">
        <v>0</v>
      </c>
    </row>
    <row r="38" spans="1:6">
      <c r="A38" s="1302" t="s">
        <v>24</v>
      </c>
      <c r="B38" s="1302" t="s">
        <v>28</v>
      </c>
      <c r="C38" s="1303">
        <v>4</v>
      </c>
      <c r="D38" s="1303">
        <v>333982.30485661502</v>
      </c>
      <c r="E38" s="1303">
        <v>3</v>
      </c>
      <c r="F38" s="1303">
        <v>16839.98</v>
      </c>
    </row>
    <row r="39" spans="1:6">
      <c r="A39" s="1302" t="s">
        <v>29</v>
      </c>
      <c r="B39" s="1302" t="s">
        <v>30</v>
      </c>
      <c r="C39" s="1303">
        <v>16801</v>
      </c>
      <c r="D39" s="1303">
        <v>232550903.88915101</v>
      </c>
      <c r="E39" s="1303">
        <v>19032</v>
      </c>
      <c r="F39" s="1303">
        <v>56346222</v>
      </c>
    </row>
    <row r="40" spans="1:6">
      <c r="A40" s="1302" t="s">
        <v>29</v>
      </c>
      <c r="B40" s="1302" t="s">
        <v>28</v>
      </c>
      <c r="C40" s="1303">
        <v>0</v>
      </c>
      <c r="D40" s="1303">
        <v>0</v>
      </c>
      <c r="E40" s="1303">
        <v>2</v>
      </c>
      <c r="F40" s="1303">
        <v>15794.326000000001</v>
      </c>
    </row>
    <row r="41" spans="1:6">
      <c r="A41" s="1302" t="s">
        <v>31</v>
      </c>
      <c r="B41" s="1302" t="s">
        <v>32</v>
      </c>
      <c r="C41" s="1303">
        <v>184</v>
      </c>
      <c r="D41" s="1303">
        <v>6351414.0811064299</v>
      </c>
      <c r="E41" s="1303">
        <v>316</v>
      </c>
      <c r="F41" s="1303">
        <v>8382469</v>
      </c>
    </row>
    <row r="42" spans="1:6">
      <c r="A42" s="1302" t="s">
        <v>31</v>
      </c>
      <c r="B42" s="1302" t="s">
        <v>33</v>
      </c>
      <c r="C42" s="1303">
        <v>9</v>
      </c>
      <c r="D42" s="1303">
        <v>13252145.4598135</v>
      </c>
      <c r="E42" s="1303">
        <v>8</v>
      </c>
      <c r="F42" s="1303">
        <v>17404687</v>
      </c>
    </row>
    <row r="43" spans="1:6">
      <c r="A43" s="1302" t="s">
        <v>31</v>
      </c>
      <c r="B43" s="1302" t="s">
        <v>34</v>
      </c>
      <c r="C43" s="1303">
        <v>0</v>
      </c>
      <c r="D43" s="1303">
        <v>0</v>
      </c>
      <c r="E43" s="1303">
        <v>0</v>
      </c>
      <c r="F43" s="1303">
        <v>0</v>
      </c>
    </row>
    <row r="44" spans="1:6">
      <c r="A44" s="1302" t="s">
        <v>31</v>
      </c>
      <c r="B44" s="1302" t="s">
        <v>35</v>
      </c>
      <c r="C44" s="1303">
        <v>13</v>
      </c>
      <c r="D44" s="1303">
        <v>775668.91219566704</v>
      </c>
      <c r="E44" s="1303">
        <v>30</v>
      </c>
      <c r="F44" s="1303">
        <v>852538.5</v>
      </c>
    </row>
    <row r="45" spans="1:6">
      <c r="A45" s="1302" t="s">
        <v>31</v>
      </c>
      <c r="B45" s="1302" t="s">
        <v>36</v>
      </c>
      <c r="C45" s="1303">
        <v>0</v>
      </c>
      <c r="D45" s="1303">
        <v>0</v>
      </c>
      <c r="E45" s="1303">
        <v>3</v>
      </c>
      <c r="F45" s="1303">
        <v>475374.9</v>
      </c>
    </row>
    <row r="46" spans="1:6">
      <c r="A46" s="1302" t="s">
        <v>31</v>
      </c>
      <c r="B46" s="1302" t="s">
        <v>37</v>
      </c>
      <c r="C46" s="1303">
        <v>0</v>
      </c>
      <c r="D46" s="1303">
        <v>0</v>
      </c>
      <c r="E46" s="1303">
        <v>0</v>
      </c>
      <c r="F46" s="1303">
        <v>0</v>
      </c>
    </row>
    <row r="47" spans="1:6">
      <c r="A47" s="1302" t="s">
        <v>31</v>
      </c>
      <c r="B47" s="1302" t="s">
        <v>38</v>
      </c>
      <c r="C47" s="1303">
        <v>21</v>
      </c>
      <c r="D47" s="1303">
        <v>29269659.842450898</v>
      </c>
      <c r="E47" s="1303">
        <v>23</v>
      </c>
      <c r="F47" s="1303">
        <v>28765230</v>
      </c>
    </row>
    <row r="48" spans="1:6">
      <c r="A48" s="1302" t="s">
        <v>31</v>
      </c>
      <c r="B48" s="1302" t="s">
        <v>28</v>
      </c>
      <c r="C48" s="1303">
        <v>39</v>
      </c>
      <c r="D48" s="1303">
        <v>79722236.600712195</v>
      </c>
      <c r="E48" s="1303">
        <v>48</v>
      </c>
      <c r="F48" s="1303">
        <v>112000000</v>
      </c>
    </row>
    <row r="49" spans="1:6">
      <c r="A49" s="1302" t="s">
        <v>31</v>
      </c>
      <c r="B49" s="1302" t="s">
        <v>39</v>
      </c>
      <c r="C49" s="1303">
        <v>4</v>
      </c>
      <c r="D49" s="1303">
        <v>78496.256942761</v>
      </c>
      <c r="E49" s="1303">
        <v>4</v>
      </c>
      <c r="F49" s="1303">
        <v>15610.99</v>
      </c>
    </row>
    <row r="50" spans="1:6">
      <c r="A50" s="1302" t="s">
        <v>31</v>
      </c>
      <c r="B50" s="1302" t="s">
        <v>40</v>
      </c>
      <c r="C50" s="1303">
        <v>28</v>
      </c>
      <c r="D50" s="1303">
        <v>30922165.296170499</v>
      </c>
      <c r="E50" s="1303">
        <v>37</v>
      </c>
      <c r="F50" s="1303">
        <v>20390628</v>
      </c>
    </row>
    <row r="51" spans="1:6">
      <c r="A51" s="1302" t="s">
        <v>41</v>
      </c>
      <c r="B51" s="1302" t="s">
        <v>42</v>
      </c>
      <c r="C51" s="1303">
        <v>6</v>
      </c>
      <c r="D51" s="1303">
        <v>336608.20429084502</v>
      </c>
      <c r="E51" s="1303">
        <v>61</v>
      </c>
      <c r="F51" s="1303">
        <v>1338060</v>
      </c>
    </row>
    <row r="52" spans="1:6">
      <c r="A52" s="1302" t="s">
        <v>41</v>
      </c>
      <c r="B52" s="1302" t="s">
        <v>28</v>
      </c>
      <c r="C52" s="1303">
        <v>9</v>
      </c>
      <c r="D52" s="1303">
        <v>2193829.54890414</v>
      </c>
      <c r="E52" s="1303">
        <v>9</v>
      </c>
      <c r="F52" s="1303">
        <v>159290.9</v>
      </c>
    </row>
    <row r="53" spans="1:6">
      <c r="A53" s="1302" t="s">
        <v>43</v>
      </c>
      <c r="B53" s="1302" t="s">
        <v>44</v>
      </c>
      <c r="C53" s="1303">
        <v>451</v>
      </c>
      <c r="D53" s="1303">
        <v>11762153.679625301</v>
      </c>
      <c r="E53" s="1303">
        <v>843</v>
      </c>
      <c r="F53" s="1303">
        <v>3053046</v>
      </c>
    </row>
    <row r="54" spans="1:6">
      <c r="A54" s="1302" t="s">
        <v>45</v>
      </c>
      <c r="B54" s="1302" t="s">
        <v>46</v>
      </c>
      <c r="C54" s="1303">
        <v>0</v>
      </c>
      <c r="D54" s="1303">
        <v>0</v>
      </c>
      <c r="E54" s="1303">
        <v>1</v>
      </c>
      <c r="F54" s="1303">
        <v>2564677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141</v>
      </c>
      <c r="D57" s="1303">
        <v>7611375.8928958001</v>
      </c>
      <c r="E57" s="1303">
        <v>219</v>
      </c>
      <c r="F57" s="1303">
        <v>5635681</v>
      </c>
    </row>
    <row r="58" spans="1:6">
      <c r="A58" s="1302" t="s">
        <v>48</v>
      </c>
      <c r="B58" s="1302" t="s">
        <v>50</v>
      </c>
      <c r="C58" s="1303">
        <v>109</v>
      </c>
      <c r="D58" s="1303">
        <v>17647338.644081101</v>
      </c>
      <c r="E58" s="1303">
        <v>146</v>
      </c>
      <c r="F58" s="1303">
        <v>15530446</v>
      </c>
    </row>
    <row r="59" spans="1:6">
      <c r="A59" s="1302" t="s">
        <v>48</v>
      </c>
      <c r="B59" s="1302" t="s">
        <v>51</v>
      </c>
      <c r="C59" s="1303">
        <v>426</v>
      </c>
      <c r="D59" s="1303">
        <v>28826330.290580701</v>
      </c>
      <c r="E59" s="1303">
        <v>623</v>
      </c>
      <c r="F59" s="1303">
        <v>33474620</v>
      </c>
    </row>
    <row r="60" spans="1:6">
      <c r="A60" s="1302" t="s">
        <v>48</v>
      </c>
      <c r="B60" s="1302" t="s">
        <v>52</v>
      </c>
      <c r="C60" s="1303">
        <v>214</v>
      </c>
      <c r="D60" s="1303">
        <v>15283516.8656541</v>
      </c>
      <c r="E60" s="1303">
        <v>235</v>
      </c>
      <c r="F60" s="1303">
        <v>7855305</v>
      </c>
    </row>
    <row r="61" spans="1:6">
      <c r="A61" s="1302" t="s">
        <v>48</v>
      </c>
      <c r="B61" s="1302" t="s">
        <v>53</v>
      </c>
      <c r="C61" s="1303">
        <v>638</v>
      </c>
      <c r="D61" s="1303">
        <v>37479212.948843896</v>
      </c>
      <c r="E61" s="1303">
        <v>1219</v>
      </c>
      <c r="F61" s="1303">
        <v>19463389</v>
      </c>
    </row>
    <row r="62" spans="1:6">
      <c r="A62" s="1302" t="s">
        <v>48</v>
      </c>
      <c r="B62" s="1302" t="s">
        <v>54</v>
      </c>
      <c r="C62" s="1303">
        <v>46</v>
      </c>
      <c r="D62" s="1303">
        <v>4885702.5163595397</v>
      </c>
      <c r="E62" s="1303">
        <v>48</v>
      </c>
      <c r="F62" s="1303">
        <v>2728938</v>
      </c>
    </row>
    <row r="63" spans="1:6">
      <c r="A63" s="1302" t="s">
        <v>48</v>
      </c>
      <c r="B63" s="1302" t="s">
        <v>28</v>
      </c>
      <c r="C63" s="1303">
        <v>96</v>
      </c>
      <c r="D63" s="1303">
        <v>9893778.0384512395</v>
      </c>
      <c r="E63" s="1303">
        <v>91</v>
      </c>
      <c r="F63" s="1303">
        <v>5050599</v>
      </c>
    </row>
    <row r="64" spans="1:6">
      <c r="A64" s="1302" t="s">
        <v>55</v>
      </c>
      <c r="B64" s="1302" t="s">
        <v>56</v>
      </c>
      <c r="C64" s="1303">
        <v>0</v>
      </c>
      <c r="D64" s="1303">
        <v>0</v>
      </c>
      <c r="E64" s="1303">
        <v>0</v>
      </c>
      <c r="F64" s="1303">
        <v>0</v>
      </c>
    </row>
    <row r="65" spans="1:6">
      <c r="A65" s="1302" t="s">
        <v>55</v>
      </c>
      <c r="B65" s="1302" t="s">
        <v>28</v>
      </c>
      <c r="C65" s="1303">
        <v>5</v>
      </c>
      <c r="D65" s="1303">
        <v>354341.51672733598</v>
      </c>
      <c r="E65" s="1303">
        <v>1</v>
      </c>
      <c r="F65" s="1303">
        <v>37322.269999999997</v>
      </c>
    </row>
    <row r="66" spans="1:6">
      <c r="A66" s="1302" t="s">
        <v>55</v>
      </c>
      <c r="B66" s="1302" t="s">
        <v>57</v>
      </c>
      <c r="C66" s="1303">
        <v>6</v>
      </c>
      <c r="D66" s="1303">
        <v>562457.96507034497</v>
      </c>
      <c r="E66" s="1303">
        <v>24</v>
      </c>
      <c r="F66" s="1303">
        <v>861176.2</v>
      </c>
    </row>
    <row r="67" spans="1:6">
      <c r="A67" s="1302" t="s">
        <v>55</v>
      </c>
      <c r="B67" s="1302" t="s">
        <v>58</v>
      </c>
      <c r="C67" s="1303">
        <v>0</v>
      </c>
      <c r="D67" s="1303">
        <v>0</v>
      </c>
      <c r="E67" s="1303">
        <v>0</v>
      </c>
      <c r="F67" s="1303">
        <v>0</v>
      </c>
    </row>
    <row r="68" spans="1:6">
      <c r="A68" s="1297" t="s">
        <v>55</v>
      </c>
      <c r="B68" s="1297" t="s">
        <v>59</v>
      </c>
      <c r="C68" s="1305">
        <v>12</v>
      </c>
      <c r="D68" s="1305">
        <v>676602.12832963001</v>
      </c>
      <c r="E68" s="1305">
        <v>28</v>
      </c>
      <c r="F68" s="1305">
        <v>862237.6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153638476</v>
      </c>
      <c r="E73" s="442"/>
      <c r="F73" s="324"/>
    </row>
    <row r="74" spans="1:6">
      <c r="A74" s="1302" t="s">
        <v>63</v>
      </c>
      <c r="B74" s="1302" t="s">
        <v>695</v>
      </c>
      <c r="C74" s="1315" t="s">
        <v>697</v>
      </c>
      <c r="D74" s="1303">
        <v>14538077.039840659</v>
      </c>
      <c r="E74" s="442"/>
      <c r="F74" s="324"/>
    </row>
    <row r="75" spans="1:6">
      <c r="A75" s="1302" t="s">
        <v>64</v>
      </c>
      <c r="B75" s="1302" t="s">
        <v>694</v>
      </c>
      <c r="C75" s="1315" t="s">
        <v>698</v>
      </c>
      <c r="D75" s="1303">
        <v>29740943</v>
      </c>
      <c r="E75" s="442"/>
      <c r="F75" s="324"/>
    </row>
    <row r="76" spans="1:6">
      <c r="A76" s="1302" t="s">
        <v>64</v>
      </c>
      <c r="B76" s="1302" t="s">
        <v>695</v>
      </c>
      <c r="C76" s="1315" t="s">
        <v>699</v>
      </c>
      <c r="D76" s="1303">
        <v>534428.03984065971</v>
      </c>
      <c r="E76" s="442"/>
      <c r="F76" s="324"/>
    </row>
    <row r="77" spans="1:6">
      <c r="A77" s="1302" t="s">
        <v>65</v>
      </c>
      <c r="B77" s="1302" t="s">
        <v>694</v>
      </c>
      <c r="C77" s="1315" t="s">
        <v>700</v>
      </c>
      <c r="D77" s="1303">
        <v>62020237</v>
      </c>
      <c r="E77" s="442"/>
      <c r="F77" s="324"/>
    </row>
    <row r="78" spans="1:6">
      <c r="A78" s="1297" t="s">
        <v>65</v>
      </c>
      <c r="B78" s="1297" t="s">
        <v>695</v>
      </c>
      <c r="C78" s="1297" t="s">
        <v>701</v>
      </c>
      <c r="D78" s="1305">
        <v>16529385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1439751.9203186806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4112.3012403807088</v>
      </c>
      <c r="C91" s="324"/>
      <c r="D91" s="324"/>
      <c r="E91" s="324"/>
      <c r="F91" s="324"/>
    </row>
    <row r="92" spans="1:6">
      <c r="A92" s="1297" t="s">
        <v>68</v>
      </c>
      <c r="B92" s="1298">
        <v>10405.478175388591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12843</v>
      </c>
      <c r="C97" s="324"/>
      <c r="D97" s="324"/>
      <c r="E97" s="324"/>
      <c r="F97" s="324"/>
    </row>
    <row r="98" spans="1:6">
      <c r="A98" s="1302" t="s">
        <v>71</v>
      </c>
      <c r="B98" s="1303">
        <v>18</v>
      </c>
      <c r="C98" s="324"/>
      <c r="D98" s="324"/>
      <c r="E98" s="324"/>
      <c r="F98" s="324"/>
    </row>
    <row r="99" spans="1:6">
      <c r="A99" s="1302" t="s">
        <v>72</v>
      </c>
      <c r="B99" s="1303">
        <v>63</v>
      </c>
      <c r="C99" s="324"/>
      <c r="D99" s="324"/>
      <c r="E99" s="324"/>
      <c r="F99" s="324"/>
    </row>
    <row r="100" spans="1:6">
      <c r="A100" s="1302" t="s">
        <v>73</v>
      </c>
      <c r="B100" s="1303">
        <v>462</v>
      </c>
      <c r="C100" s="324"/>
      <c r="D100" s="324"/>
      <c r="E100" s="324"/>
      <c r="F100" s="324"/>
    </row>
    <row r="101" spans="1:6">
      <c r="A101" s="1302" t="s">
        <v>74</v>
      </c>
      <c r="B101" s="1303">
        <v>128</v>
      </c>
      <c r="C101" s="324"/>
      <c r="D101" s="324"/>
      <c r="E101" s="324"/>
      <c r="F101" s="324"/>
    </row>
    <row r="102" spans="1:6">
      <c r="A102" s="1302" t="s">
        <v>75</v>
      </c>
      <c r="B102" s="1303">
        <v>292</v>
      </c>
      <c r="C102" s="324"/>
      <c r="D102" s="324"/>
      <c r="E102" s="324"/>
      <c r="F102" s="324"/>
    </row>
    <row r="103" spans="1:6">
      <c r="A103" s="1302" t="s">
        <v>76</v>
      </c>
      <c r="B103" s="1303">
        <v>271</v>
      </c>
      <c r="C103" s="324"/>
      <c r="D103" s="324"/>
      <c r="E103" s="324"/>
      <c r="F103" s="324"/>
    </row>
    <row r="104" spans="1:6">
      <c r="A104" s="1302" t="s">
        <v>77</v>
      </c>
      <c r="B104" s="1303">
        <v>2518</v>
      </c>
      <c r="C104" s="324"/>
      <c r="D104" s="324"/>
      <c r="E104" s="324"/>
      <c r="F104" s="324"/>
    </row>
    <row r="105" spans="1:6">
      <c r="A105" s="1297" t="s">
        <v>78</v>
      </c>
      <c r="B105" s="1305">
        <v>13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19</v>
      </c>
      <c r="C123" s="1303">
        <v>20</v>
      </c>
      <c r="D123" s="324"/>
      <c r="E123" s="324"/>
      <c r="F123" s="324"/>
    </row>
    <row r="124" spans="1:6">
      <c r="A124" s="1302" t="s">
        <v>88</v>
      </c>
      <c r="B124" s="1303">
        <v>2</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177</v>
      </c>
      <c r="C129" s="324"/>
      <c r="D129" s="324"/>
      <c r="E129" s="324"/>
      <c r="F129" s="324"/>
    </row>
    <row r="130" spans="1:6">
      <c r="A130" s="1302" t="s">
        <v>284</v>
      </c>
      <c r="B130" s="1303">
        <v>4</v>
      </c>
      <c r="C130" s="324"/>
      <c r="D130" s="324"/>
      <c r="E130" s="324"/>
      <c r="F130" s="324"/>
    </row>
    <row r="131" spans="1:6">
      <c r="A131" s="1302" t="s">
        <v>285</v>
      </c>
      <c r="B131" s="1303">
        <v>7</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350190.55591307144</v>
      </c>
      <c r="C3" s="43" t="s">
        <v>163</v>
      </c>
      <c r="D3" s="43"/>
      <c r="E3" s="154"/>
      <c r="F3" s="43"/>
      <c r="G3" s="43"/>
      <c r="H3" s="43"/>
      <c r="I3" s="43"/>
      <c r="J3" s="43"/>
      <c r="K3" s="96"/>
    </row>
    <row r="4" spans="1:11">
      <c r="A4" s="351" t="s">
        <v>164</v>
      </c>
      <c r="B4" s="49">
        <f>IF(ISERROR('SEAP template'!B78+'SEAP template'!C78),0,'SEAP template'!B78+'SEAP template'!C78)</f>
        <v>19031.279415769299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744.96967601019287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0.21111697198443599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1328.4160382755215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5657.1428571428578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0.23482101686688509</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2564.6770000000001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2564.6770000000001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0.21111697198443599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541.44684235812736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56362.016325999997</v>
      </c>
      <c r="C5" s="17">
        <f>IF(ISERROR('Eigen informatie GS &amp; warmtenet'!B57),0,'Eigen informatie GS &amp; warmtenet'!B57)</f>
        <v>0</v>
      </c>
      <c r="D5" s="30">
        <f>(SUM(HH_hh_gas_kWh,HH_rest_gas_kWh)/1000)*0.902</f>
        <v>209760.9153080142</v>
      </c>
      <c r="E5" s="17">
        <f>B32*B41</f>
        <v>1477.296942792507</v>
      </c>
      <c r="F5" s="17">
        <f>B36*B45</f>
        <v>46604.109666293341</v>
      </c>
      <c r="G5" s="18"/>
      <c r="H5" s="17"/>
      <c r="I5" s="17"/>
      <c r="J5" s="17">
        <f>B35*B44+C35*C44</f>
        <v>1086.8060768818864</v>
      </c>
      <c r="K5" s="17"/>
      <c r="L5" s="17"/>
      <c r="M5" s="17"/>
      <c r="N5" s="17">
        <f>B34*B43+C34*C43</f>
        <v>20147.56493608484</v>
      </c>
      <c r="O5" s="17">
        <f>B52*B53*B54</f>
        <v>309.54000000000002</v>
      </c>
      <c r="P5" s="17">
        <f>B60*B61*B62/1000-B60*B61*B62/1000/B63</f>
        <v>724.5333333333333</v>
      </c>
    </row>
    <row r="6" spans="1:16">
      <c r="A6" s="16" t="s">
        <v>618</v>
      </c>
      <c r="B6" s="755">
        <f>kWh_PV_kleiner_dan_10kW</f>
        <v>4112.3012403807088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60474.317566380705</v>
      </c>
      <c r="C8" s="21">
        <f>C5</f>
        <v>0</v>
      </c>
      <c r="D8" s="21">
        <f>D5</f>
        <v>209760.9153080142</v>
      </c>
      <c r="E8" s="21">
        <f>E5</f>
        <v>1477.296942792507</v>
      </c>
      <c r="F8" s="21">
        <f>F5</f>
        <v>46604.109666293341</v>
      </c>
      <c r="G8" s="21"/>
      <c r="H8" s="21"/>
      <c r="I8" s="21"/>
      <c r="J8" s="21">
        <f>J5</f>
        <v>1086.8060768818864</v>
      </c>
      <c r="K8" s="21"/>
      <c r="L8" s="21">
        <f>L5</f>
        <v>0</v>
      </c>
      <c r="M8" s="21">
        <f>M5</f>
        <v>0</v>
      </c>
      <c r="N8" s="21">
        <f>N5</f>
        <v>20147.56493608484</v>
      </c>
      <c r="O8" s="21">
        <f>O5</f>
        <v>309.54000000000002</v>
      </c>
      <c r="P8" s="21">
        <f>P5</f>
        <v>724.5333333333333</v>
      </c>
    </row>
    <row r="9" spans="1:16">
      <c r="B9" s="19"/>
      <c r="C9" s="19"/>
      <c r="D9" s="254"/>
      <c r="E9" s="19"/>
      <c r="F9" s="19"/>
      <c r="G9" s="19"/>
      <c r="H9" s="19"/>
      <c r="I9" s="19"/>
      <c r="J9" s="19"/>
      <c r="K9" s="19"/>
      <c r="L9" s="19"/>
      <c r="M9" s="19"/>
      <c r="N9" s="19"/>
      <c r="O9" s="19"/>
      <c r="P9" s="19"/>
    </row>
    <row r="10" spans="1:16">
      <c r="A10" s="24" t="s">
        <v>207</v>
      </c>
      <c r="B10" s="25">
        <f ca="1">'EF ele_warmte'!B12</f>
        <v>0.21111697198443599</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12767.154807439481</v>
      </c>
      <c r="C12" s="23">
        <f ca="1">C10*C8</f>
        <v>0</v>
      </c>
      <c r="D12" s="23">
        <f>D8*D10</f>
        <v>42371.70489221887</v>
      </c>
      <c r="E12" s="23">
        <f>E10*E8</f>
        <v>335.34640601389913</v>
      </c>
      <c r="F12" s="23">
        <f>F10*F8</f>
        <v>12443.297280900322</v>
      </c>
      <c r="G12" s="23"/>
      <c r="H12" s="23"/>
      <c r="I12" s="23"/>
      <c r="J12" s="23">
        <f>J10*J8</f>
        <v>384.72935121618775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18934</v>
      </c>
      <c r="C26" s="36"/>
      <c r="D26" s="225"/>
    </row>
    <row r="27" spans="1:5" s="15" customFormat="1">
      <c r="A27" s="227" t="s">
        <v>721</v>
      </c>
      <c r="B27" s="37">
        <f>SUM(HH_hh_gas_aantal,HH_rest_gas_aantal)</f>
        <v>16801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15960.95</v>
      </c>
      <c r="C31" s="34" t="s">
        <v>104</v>
      </c>
      <c r="D31" s="171"/>
    </row>
    <row r="32" spans="1:5">
      <c r="A32" s="168" t="s">
        <v>72</v>
      </c>
      <c r="B32" s="33">
        <f>IF((B21*($B$26-($B$27-0.05*$B$27)-$B$60))&lt;0,0,B21*($B$26-($B$27-0.05*$B$27)-$B$60))</f>
        <v>18.506137280612279</v>
      </c>
      <c r="C32" s="34" t="s">
        <v>104</v>
      </c>
      <c r="D32" s="171"/>
    </row>
    <row r="33" spans="1:6">
      <c r="A33" s="168" t="s">
        <v>73</v>
      </c>
      <c r="B33" s="33">
        <f>IF((B22*($B$26-($B$27-0.05*$B$27)-$B$60))&lt;0,0,B22*($B$26-($B$27-0.05*$B$27)-$B$60))</f>
        <v>644.45092762417175</v>
      </c>
      <c r="C33" s="34" t="s">
        <v>104</v>
      </c>
      <c r="D33" s="171"/>
    </row>
    <row r="34" spans="1:6">
      <c r="A34" s="168" t="s">
        <v>74</v>
      </c>
      <c r="B34" s="33">
        <f>IF((B24*($B$26-($B$27-0.05*$B$27)-$B$60))&lt;0,0,B24*($B$26-($B$27-0.05*$B$27)-$B$60))</f>
        <v>127.9206581303885</v>
      </c>
      <c r="C34" s="33">
        <f>B26*C24</f>
        <v>3873.8903870254635</v>
      </c>
      <c r="D34" s="230"/>
    </row>
    <row r="35" spans="1:6">
      <c r="A35" s="168" t="s">
        <v>76</v>
      </c>
      <c r="B35" s="33">
        <f>IF((B19*($B$26-($B$27-0.05*$B$27)-$B$60))&lt;0,0,B19*($B$26-($B$27-0.05*$B$27)-$B$60))</f>
        <v>62.496516290597562</v>
      </c>
      <c r="C35" s="33">
        <f>B35/2</f>
        <v>31.248258145298781</v>
      </c>
      <c r="D35" s="230"/>
    </row>
    <row r="36" spans="1:6">
      <c r="A36" s="168" t="s">
        <v>77</v>
      </c>
      <c r="B36" s="33">
        <f>IF((B18*($B$26-($B$27-0.05*$B$27)-$B$60))&lt;0,0,B18*($B$26-($B$27-0.05*$B$27)-$B$60))</f>
        <v>2081.6757606742303</v>
      </c>
      <c r="C36" s="34" t="s">
        <v>104</v>
      </c>
      <c r="D36" s="171"/>
    </row>
    <row r="37" spans="1:6">
      <c r="A37" s="168" t="s">
        <v>78</v>
      </c>
      <c r="B37" s="33">
        <f>B60</f>
        <v>38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198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89738.977999999988</v>
      </c>
      <c r="C5" s="17">
        <f>IF(ISERROR('Eigen informatie GS &amp; warmtenet'!B58),0,'Eigen informatie GS &amp; warmtenet'!B58)</f>
        <v>0</v>
      </c>
      <c r="D5" s="30">
        <f>SUM(D6:D12)</f>
        <v>109707.78418757346</v>
      </c>
      <c r="E5" s="17">
        <f>SUM(E6:E12)</f>
        <v>824.90399916674528</v>
      </c>
      <c r="F5" s="17">
        <f>SUM(F6:F12)</f>
        <v>12829.854094130709</v>
      </c>
      <c r="G5" s="18"/>
      <c r="H5" s="17"/>
      <c r="I5" s="17"/>
      <c r="J5" s="17">
        <f>SUM(J6:J12)</f>
        <v>0</v>
      </c>
      <c r="K5" s="17"/>
      <c r="L5" s="17"/>
      <c r="M5" s="17"/>
      <c r="N5" s="17">
        <f>SUM(N6:N12)</f>
        <v>4997.106643217996</v>
      </c>
      <c r="O5" s="17">
        <f>B38*B39*B40</f>
        <v>6.2533333333333339</v>
      </c>
      <c r="P5" s="17">
        <f>B46*B47*B48/1000-B46*B47*B48/1000/B49</f>
        <v>133.46666666666667</v>
      </c>
      <c r="R5" s="32"/>
    </row>
    <row r="6" spans="1:18">
      <c r="A6" s="32" t="s">
        <v>53</v>
      </c>
      <c r="B6" s="37">
        <f>B26</f>
        <v>19463.388999999999</v>
      </c>
      <c r="C6" s="33"/>
      <c r="D6" s="37">
        <f>IF(ISERROR(TER_kantoor_gas_kWh/1000),0,TER_kantoor_gas_kWh/1000)*0.902</f>
        <v>33806.250079857193</v>
      </c>
      <c r="E6" s="33">
        <f>$C$26*'E Balans VL '!I12/100/3.6*1000000</f>
        <v>56.388293617081167</v>
      </c>
      <c r="F6" s="33">
        <f>$C$26*('E Balans VL '!L12+'E Balans VL '!N12)/100/3.6*1000000</f>
        <v>2202.8268230935532</v>
      </c>
      <c r="G6" s="34"/>
      <c r="H6" s="33"/>
      <c r="I6" s="33"/>
      <c r="J6" s="33">
        <f>$C$26*('E Balans VL '!D12+'E Balans VL '!E12)/100/3.6*1000000</f>
        <v>0</v>
      </c>
      <c r="K6" s="33"/>
      <c r="L6" s="33"/>
      <c r="M6" s="33"/>
      <c r="N6" s="33">
        <f>$C$26*'E Balans VL '!Y12/100/3.6*1000000</f>
        <v>194.81418262466497</v>
      </c>
      <c r="O6" s="33"/>
      <c r="P6" s="33"/>
      <c r="R6" s="32"/>
    </row>
    <row r="7" spans="1:18">
      <c r="A7" s="32" t="s">
        <v>52</v>
      </c>
      <c r="B7" s="37">
        <f t="shared" ref="B7:B12" si="0">B27</f>
        <v>7855.3050000000003</v>
      </c>
      <c r="C7" s="33"/>
      <c r="D7" s="37">
        <f>IF(ISERROR(TER_horeca_gas_kWh/1000),0,TER_horeca_gas_kWh/1000)*0.902</f>
        <v>13785.732212819998</v>
      </c>
      <c r="E7" s="33">
        <f>$C$27*'E Balans VL '!I9/100/3.6*1000000</f>
        <v>329.74375661159257</v>
      </c>
      <c r="F7" s="33">
        <f>$C$27*('E Balans VL '!L9+'E Balans VL '!N9)/100/3.6*1000000</f>
        <v>1687.8733674507864</v>
      </c>
      <c r="G7" s="34"/>
      <c r="H7" s="33"/>
      <c r="I7" s="33"/>
      <c r="J7" s="33">
        <f>$C$27*('E Balans VL '!D9+'E Balans VL '!E9)/100/3.6*1000000</f>
        <v>0</v>
      </c>
      <c r="K7" s="33"/>
      <c r="L7" s="33"/>
      <c r="M7" s="33"/>
      <c r="N7" s="33">
        <f>$C$27*'E Balans VL '!Y9/100/3.6*1000000</f>
        <v>2.0242434013656281</v>
      </c>
      <c r="O7" s="33"/>
      <c r="P7" s="33"/>
      <c r="R7" s="32"/>
    </row>
    <row r="8" spans="1:18">
      <c r="A8" s="6" t="s">
        <v>51</v>
      </c>
      <c r="B8" s="37">
        <f t="shared" si="0"/>
        <v>33474.620000000003</v>
      </c>
      <c r="C8" s="33"/>
      <c r="D8" s="37">
        <f>IF(ISERROR(TER_handel_gas_kWh/1000),0,TER_handel_gas_kWh/1000)*0.902</f>
        <v>26001.349922103793</v>
      </c>
      <c r="E8" s="33">
        <f>$C$28*'E Balans VL '!I13/100/3.6*1000000</f>
        <v>359.54527893425751</v>
      </c>
      <c r="F8" s="33">
        <f>$C$28*('E Balans VL '!L13+'E Balans VL '!N13)/100/3.6*1000000</f>
        <v>4333.56598671346</v>
      </c>
      <c r="G8" s="34"/>
      <c r="H8" s="33"/>
      <c r="I8" s="33"/>
      <c r="J8" s="33">
        <f>$C$28*('E Balans VL '!D13+'E Balans VL '!E13)/100/3.6*1000000</f>
        <v>0</v>
      </c>
      <c r="K8" s="33"/>
      <c r="L8" s="33"/>
      <c r="M8" s="33"/>
      <c r="N8" s="33">
        <f>$C$28*'E Balans VL '!Y13/100/3.6*1000000</f>
        <v>271.54794523372368</v>
      </c>
      <c r="O8" s="33"/>
      <c r="P8" s="33"/>
      <c r="R8" s="32"/>
    </row>
    <row r="9" spans="1:18">
      <c r="A9" s="32" t="s">
        <v>50</v>
      </c>
      <c r="B9" s="37">
        <f t="shared" si="0"/>
        <v>15530.446</v>
      </c>
      <c r="C9" s="33"/>
      <c r="D9" s="37">
        <f>IF(ISERROR(TER_gezond_gas_kWh/1000),0,TER_gezond_gas_kWh/1000)*0.902</f>
        <v>15917.899456961153</v>
      </c>
      <c r="E9" s="33">
        <f>$C$29*'E Balans VL '!I10/100/3.6*1000000</f>
        <v>12.363239498336402</v>
      </c>
      <c r="F9" s="33">
        <f>$C$29*('E Balans VL '!L10+'E Balans VL '!N10)/100/3.6*1000000</f>
        <v>1887.9501464596656</v>
      </c>
      <c r="G9" s="34"/>
      <c r="H9" s="33"/>
      <c r="I9" s="33"/>
      <c r="J9" s="33">
        <f>$C$29*('E Balans VL '!D10+'E Balans VL '!E10)/100/3.6*1000000</f>
        <v>0</v>
      </c>
      <c r="K9" s="33"/>
      <c r="L9" s="33"/>
      <c r="M9" s="33"/>
      <c r="N9" s="33">
        <f>$C$29*'E Balans VL '!Y10/100/3.6*1000000</f>
        <v>125.45082826667159</v>
      </c>
      <c r="O9" s="33"/>
      <c r="P9" s="33"/>
      <c r="R9" s="32"/>
    </row>
    <row r="10" spans="1:18">
      <c r="A10" s="32" t="s">
        <v>49</v>
      </c>
      <c r="B10" s="37">
        <f t="shared" si="0"/>
        <v>5635.6809999999996</v>
      </c>
      <c r="C10" s="33"/>
      <c r="D10" s="37">
        <f>IF(ISERROR(TER_ander_gas_kWh/1000),0,TER_ander_gas_kWh/1000)*0.902</f>
        <v>6865.461055392012</v>
      </c>
      <c r="E10" s="33">
        <f>$C$30*'E Balans VL '!I14/100/3.6*1000000</f>
        <v>19.313774847728912</v>
      </c>
      <c r="F10" s="33">
        <f>$C$30*('E Balans VL '!L14+'E Balans VL '!N14)/100/3.6*1000000</f>
        <v>1258.782128300395</v>
      </c>
      <c r="G10" s="34"/>
      <c r="H10" s="33"/>
      <c r="I10" s="33"/>
      <c r="J10" s="33">
        <f>$C$30*('E Balans VL '!D14+'E Balans VL '!E14)/100/3.6*1000000</f>
        <v>0</v>
      </c>
      <c r="K10" s="33"/>
      <c r="L10" s="33"/>
      <c r="M10" s="33"/>
      <c r="N10" s="33">
        <f>$C$30*'E Balans VL '!Y14/100/3.6*1000000</f>
        <v>3969.8044835234978</v>
      </c>
      <c r="O10" s="33"/>
      <c r="P10" s="33"/>
      <c r="R10" s="32"/>
    </row>
    <row r="11" spans="1:18">
      <c r="A11" s="32" t="s">
        <v>54</v>
      </c>
      <c r="B11" s="37">
        <f t="shared" si="0"/>
        <v>2728.9380000000001</v>
      </c>
      <c r="C11" s="33"/>
      <c r="D11" s="37">
        <f>IF(ISERROR(TER_onderwijs_gas_kWh/1000),0,TER_onderwijs_gas_kWh/1000)*0.902</f>
        <v>4406.9036697563051</v>
      </c>
      <c r="E11" s="33">
        <f>$C$31*'E Balans VL '!I11/100/3.6*1000000</f>
        <v>1.8864307947240206</v>
      </c>
      <c r="F11" s="33">
        <f>$C$31*('E Balans VL '!L11+'E Balans VL '!N11)/100/3.6*1000000</f>
        <v>714.35669812971707</v>
      </c>
      <c r="G11" s="34"/>
      <c r="H11" s="33"/>
      <c r="I11" s="33"/>
      <c r="J11" s="33">
        <f>$C$31*('E Balans VL '!D11+'E Balans VL '!E11)/100/3.6*1000000</f>
        <v>0</v>
      </c>
      <c r="K11" s="33"/>
      <c r="L11" s="33"/>
      <c r="M11" s="33"/>
      <c r="N11" s="33">
        <f>$C$31*'E Balans VL '!Y11/100/3.6*1000000</f>
        <v>2.7164253461928394</v>
      </c>
      <c r="O11" s="33"/>
      <c r="P11" s="33"/>
      <c r="R11" s="32"/>
    </row>
    <row r="12" spans="1:18">
      <c r="A12" s="32" t="s">
        <v>249</v>
      </c>
      <c r="B12" s="37">
        <f t="shared" si="0"/>
        <v>5050.5990000000002</v>
      </c>
      <c r="C12" s="33"/>
      <c r="D12" s="37">
        <f>IF(ISERROR(TER_rest_gas_kWh/1000),0,TER_rest_gas_kWh/1000)*0.902</f>
        <v>8924.1877906830177</v>
      </c>
      <c r="E12" s="33">
        <f>$C$32*'E Balans VL '!I8/100/3.6*1000000</f>
        <v>45.663224863024681</v>
      </c>
      <c r="F12" s="33">
        <f>$C$32*('E Balans VL '!L8+'E Balans VL '!N8)/100/3.6*1000000</f>
        <v>744.4989439831337</v>
      </c>
      <c r="G12" s="34"/>
      <c r="H12" s="33"/>
      <c r="I12" s="33"/>
      <c r="J12" s="33">
        <f>$C$32*('E Balans VL '!D8+'E Balans VL '!E8)/100/3.6*1000000</f>
        <v>0</v>
      </c>
      <c r="K12" s="33"/>
      <c r="L12" s="33"/>
      <c r="M12" s="33"/>
      <c r="N12" s="33">
        <f>$C$32*'E Balans VL '!Y8/100/3.6*1000000</f>
        <v>430.74853482188018</v>
      </c>
      <c r="O12" s="33"/>
      <c r="P12" s="33"/>
      <c r="R12" s="32"/>
    </row>
    <row r="13" spans="1:18">
      <c r="A13" s="16" t="s">
        <v>481</v>
      </c>
      <c r="B13" s="243">
        <f ca="1">'lokale energieproductie'!N39+'lokale energieproductie'!N32</f>
        <v>1656</v>
      </c>
      <c r="C13" s="243">
        <f ca="1">'lokale energieproductie'!O39+'lokale energieproductie'!O32</f>
        <v>1575.0000000000002</v>
      </c>
      <c r="D13" s="302">
        <f ca="1">('lokale energieproductie'!P32+'lokale energieproductie'!P39)*(-1)</f>
        <v>-2100.0000000000005</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-3831.4285714285716</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91394.977999999988</v>
      </c>
      <c r="C16" s="21">
        <f t="shared" ca="1" si="1"/>
        <v>1575.0000000000002</v>
      </c>
      <c r="D16" s="21">
        <f t="shared" ca="1" si="1"/>
        <v>107607.78418757346</v>
      </c>
      <c r="E16" s="21">
        <f t="shared" si="1"/>
        <v>824.90399916674528</v>
      </c>
      <c r="F16" s="21">
        <f t="shared" ca="1" si="1"/>
        <v>12829.854094130709</v>
      </c>
      <c r="G16" s="21">
        <f t="shared" si="1"/>
        <v>0</v>
      </c>
      <c r="H16" s="21">
        <f t="shared" si="1"/>
        <v>0</v>
      </c>
      <c r="I16" s="21">
        <f t="shared" si="1"/>
        <v>0</v>
      </c>
      <c r="J16" s="21">
        <f t="shared" si="1"/>
        <v>0</v>
      </c>
      <c r="K16" s="21">
        <f t="shared" si="1"/>
        <v>0</v>
      </c>
      <c r="L16" s="21">
        <f t="shared" ca="1" si="1"/>
        <v>0</v>
      </c>
      <c r="M16" s="21">
        <f t="shared" si="1"/>
        <v>0</v>
      </c>
      <c r="N16" s="21">
        <f t="shared" ca="1" si="1"/>
        <v>1165.6780717894244</v>
      </c>
      <c r="O16" s="21">
        <f>O5</f>
        <v>6.2533333333333339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0.21111697198443599</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19295.031009944141</v>
      </c>
      <c r="C20" s="23">
        <f t="shared" ref="C20:P20" ca="1" si="2">C16*C18</f>
        <v>369.84310156534406</v>
      </c>
      <c r="D20" s="23">
        <f t="shared" ca="1" si="2"/>
        <v>21736.772405889838</v>
      </c>
      <c r="E20" s="23">
        <f t="shared" si="2"/>
        <v>187.25320781085119</v>
      </c>
      <c r="F20" s="23">
        <f t="shared" ca="1" si="2"/>
        <v>3425.5710431328994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19463.388999999999</v>
      </c>
      <c r="C26" s="39">
        <f>IF(ISERROR(B26*3.6/1000000/'E Balans VL '!Z12*100),0,B26*3.6/1000000/'E Balans VL '!Z12*100)</f>
        <v>0.42753584131596534</v>
      </c>
      <c r="D26" s="233" t="s">
        <v>676</v>
      </c>
      <c r="F26" s="6"/>
    </row>
    <row r="27" spans="1:18">
      <c r="A27" s="228" t="s">
        <v>52</v>
      </c>
      <c r="B27" s="33">
        <f>IF(ISERROR(TER_horeca_ele_kWh/1000),0,TER_horeca_ele_kWh/1000)</f>
        <v>7855.3050000000003</v>
      </c>
      <c r="C27" s="39">
        <f>IF(ISERROR(B27*3.6/1000000/'E Balans VL '!Z9*100),0,B27*3.6/1000000/'E Balans VL '!Z9*100)</f>
        <v>0.63125205935507833</v>
      </c>
      <c r="D27" s="233" t="s">
        <v>676</v>
      </c>
      <c r="F27" s="6"/>
    </row>
    <row r="28" spans="1:18">
      <c r="A28" s="168" t="s">
        <v>51</v>
      </c>
      <c r="B28" s="33">
        <f>IF(ISERROR(TER_handel_ele_kWh/1000),0,TER_handel_ele_kWh/1000)</f>
        <v>33474.620000000003</v>
      </c>
      <c r="C28" s="39">
        <f>IF(ISERROR(B28*3.6/1000000/'E Balans VL '!Z13*100),0,B28*3.6/1000000/'E Balans VL '!Z13*100)</f>
        <v>0.98982112753944529</v>
      </c>
      <c r="D28" s="233" t="s">
        <v>676</v>
      </c>
      <c r="F28" s="6"/>
    </row>
    <row r="29" spans="1:18">
      <c r="A29" s="228" t="s">
        <v>50</v>
      </c>
      <c r="B29" s="33">
        <f>IF(ISERROR(TER_gezond_ele_kWh/1000),0,TER_gezond_ele_kWh/1000)</f>
        <v>15530.446</v>
      </c>
      <c r="C29" s="39">
        <f>IF(ISERROR(B29*3.6/1000000/'E Balans VL '!Z10*100),0,B29*3.6/1000000/'E Balans VL '!Z10*100)</f>
        <v>1.7498803034290613</v>
      </c>
      <c r="D29" s="233" t="s">
        <v>676</v>
      </c>
      <c r="F29" s="6"/>
    </row>
    <row r="30" spans="1:18">
      <c r="A30" s="228" t="s">
        <v>49</v>
      </c>
      <c r="B30" s="33">
        <f>IF(ISERROR(TER_ander_ele_kWh/1000),0,TER_ander_ele_kWh/1000)</f>
        <v>5635.6809999999996</v>
      </c>
      <c r="C30" s="39">
        <f>IF(ISERROR(B30*3.6/1000000/'E Balans VL '!Z14*100),0,B30*3.6/1000000/'E Balans VL '!Z14*100)</f>
        <v>0.42621692026848806</v>
      </c>
      <c r="D30" s="233" t="s">
        <v>676</v>
      </c>
      <c r="F30" s="6"/>
    </row>
    <row r="31" spans="1:18">
      <c r="A31" s="228" t="s">
        <v>54</v>
      </c>
      <c r="B31" s="33">
        <f>IF(ISERROR(TER_onderwijs_ele_kWh/1000),0,TER_onderwijs_ele_kWh/1000)</f>
        <v>2728.9380000000001</v>
      </c>
      <c r="C31" s="39">
        <f>IF(ISERROR(B31*3.6/1000000/'E Balans VL '!Z11*100),0,B31*3.6/1000000/'E Balans VL '!Z11*100)</f>
        <v>0.5664641792239542</v>
      </c>
      <c r="D31" s="233" t="s">
        <v>676</v>
      </c>
    </row>
    <row r="32" spans="1:18">
      <c r="A32" s="228" t="s">
        <v>249</v>
      </c>
      <c r="B32" s="33">
        <f>IF(ISERROR(TER_rest_ele_kWh/1000),0,TER_rest_ele_kWh/1000)</f>
        <v>5050.5990000000002</v>
      </c>
      <c r="C32" s="39">
        <f>IF(ISERROR(B32*3.6/1000000/'E Balans VL '!Z8*100),0,B32*3.6/1000000/'E Balans VL '!Z8*100)</f>
        <v>4.2548325408225805E-2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188286.53839</v>
      </c>
      <c r="C5" s="17">
        <f>IF(ISERROR('Eigen informatie GS &amp; warmtenet'!B59),0,'Eigen informatie GS &amp; warmtenet'!B59)</f>
        <v>0</v>
      </c>
      <c r="D5" s="30">
        <f>SUM(D6:D15)</f>
        <v>144655.35137735153</v>
      </c>
      <c r="E5" s="17">
        <f>SUM(E6:E15)</f>
        <v>8358.139637778384</v>
      </c>
      <c r="F5" s="17">
        <f>SUM(F6:F15)</f>
        <v>71709.331264041219</v>
      </c>
      <c r="G5" s="18"/>
      <c r="H5" s="17"/>
      <c r="I5" s="17"/>
      <c r="J5" s="17">
        <f>SUM(J6:J15)</f>
        <v>958.59632234204321</v>
      </c>
      <c r="K5" s="17"/>
      <c r="L5" s="17"/>
      <c r="M5" s="17"/>
      <c r="N5" s="17">
        <f>SUM(N6:N15)</f>
        <v>19838.860225346631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852.5385</v>
      </c>
      <c r="C8" s="33"/>
      <c r="D8" s="37">
        <f>IF( ISERROR(IND_metaal_Gas_kWH/1000),0,IND_metaal_Gas_kWH/1000)*0.902</f>
        <v>699.65335880049167</v>
      </c>
      <c r="E8" s="33">
        <f>C30*'E Balans VL '!I18/100/3.6*1000000</f>
        <v>21.336054834174195</v>
      </c>
      <c r="F8" s="33">
        <f>C30*'E Balans VL '!L18/100/3.6*1000000+C30*'E Balans VL '!N18/100/3.6*1000000</f>
        <v>267.1898066445919</v>
      </c>
      <c r="G8" s="34"/>
      <c r="H8" s="33"/>
      <c r="I8" s="33"/>
      <c r="J8" s="40">
        <f>C30*'E Balans VL '!D18/100/3.6*1000000+C30*'E Balans VL '!E18/100/3.6*1000000</f>
        <v>0</v>
      </c>
      <c r="K8" s="33"/>
      <c r="L8" s="33"/>
      <c r="M8" s="33"/>
      <c r="N8" s="33">
        <f>C30*'E Balans VL '!Y18/100/3.6*1000000</f>
        <v>21.417979650341636</v>
      </c>
      <c r="O8" s="33"/>
      <c r="P8" s="33"/>
      <c r="R8" s="32"/>
    </row>
    <row r="9" spans="1:18">
      <c r="A9" s="6" t="s">
        <v>32</v>
      </c>
      <c r="B9" s="37">
        <f t="shared" si="0"/>
        <v>8382.4689999999991</v>
      </c>
      <c r="C9" s="33"/>
      <c r="D9" s="37">
        <f>IF( ISERROR(IND_andere_gas_kWh/1000),0,IND_andere_gas_kWh/1000)*0.902</f>
        <v>5728.975501158</v>
      </c>
      <c r="E9" s="33">
        <f>C31*'E Balans VL '!I19/100/3.6*1000000</f>
        <v>2304.8351675679487</v>
      </c>
      <c r="F9" s="33">
        <f>C31*'E Balans VL '!L19/100/3.6*1000000+C31*'E Balans VL '!N19/100/3.6*1000000</f>
        <v>6606.844226334405</v>
      </c>
      <c r="G9" s="34"/>
      <c r="H9" s="33"/>
      <c r="I9" s="33"/>
      <c r="J9" s="40">
        <f>C31*'E Balans VL '!D19/100/3.6*1000000+C31*'E Balans VL '!E19/100/3.6*1000000</f>
        <v>0</v>
      </c>
      <c r="K9" s="33"/>
      <c r="L9" s="33"/>
      <c r="M9" s="33"/>
      <c r="N9" s="33">
        <f>C31*'E Balans VL '!Y19/100/3.6*1000000</f>
        <v>675.29698489871839</v>
      </c>
      <c r="O9" s="33"/>
      <c r="P9" s="33"/>
      <c r="R9" s="32"/>
    </row>
    <row r="10" spans="1:18">
      <c r="A10" s="6" t="s">
        <v>40</v>
      </c>
      <c r="B10" s="37">
        <f t="shared" si="0"/>
        <v>20390.628000000001</v>
      </c>
      <c r="C10" s="33"/>
      <c r="D10" s="37">
        <f>IF( ISERROR(IND_voed_gas_kWh/1000),0,IND_voed_gas_kWh/1000)*0.902</f>
        <v>27891.793097145794</v>
      </c>
      <c r="E10" s="33">
        <f>C32*'E Balans VL '!I20/100/3.6*1000000</f>
        <v>207.87121919893752</v>
      </c>
      <c r="F10" s="33">
        <f>C32*'E Balans VL '!L20/100/3.6*1000000+C32*'E Balans VL '!N20/100/3.6*1000000</f>
        <v>38517.768760932551</v>
      </c>
      <c r="G10" s="34"/>
      <c r="H10" s="33"/>
      <c r="I10" s="33"/>
      <c r="J10" s="40">
        <f>C32*'E Balans VL '!D20/100/3.6*1000000+C32*'E Balans VL '!E20/100/3.6*1000000</f>
        <v>488.01444647687686</v>
      </c>
      <c r="K10" s="33"/>
      <c r="L10" s="33"/>
      <c r="M10" s="33"/>
      <c r="N10" s="33">
        <f>C32*'E Balans VL '!Y20/100/3.6*1000000</f>
        <v>10748.209668338117</v>
      </c>
      <c r="O10" s="33"/>
      <c r="P10" s="33"/>
      <c r="R10" s="32"/>
    </row>
    <row r="11" spans="1:18">
      <c r="A11" s="6" t="s">
        <v>39</v>
      </c>
      <c r="B11" s="37">
        <f t="shared" si="0"/>
        <v>15.610989999999999</v>
      </c>
      <c r="C11" s="33"/>
      <c r="D11" s="37">
        <f>IF( ISERROR(IND_textiel_gas_kWh/1000),0,IND_textiel_gas_kWh/1000)*0.902</f>
        <v>70.803623762370421</v>
      </c>
      <c r="E11" s="33">
        <f>C33*'E Balans VL '!I21/100/3.6*1000000</f>
        <v>4.1376760669538395E-2</v>
      </c>
      <c r="F11" s="33">
        <f>C33*'E Balans VL '!L21/100/3.6*1000000+C33*'E Balans VL '!N21/100/3.6*1000000</f>
        <v>0.6972029173353157</v>
      </c>
      <c r="G11" s="34"/>
      <c r="H11" s="33"/>
      <c r="I11" s="33"/>
      <c r="J11" s="40">
        <f>C33*'E Balans VL '!D21/100/3.6*1000000+C33*'E Balans VL '!E21/100/3.6*1000000</f>
        <v>0</v>
      </c>
      <c r="K11" s="33"/>
      <c r="L11" s="33"/>
      <c r="M11" s="33"/>
      <c r="N11" s="33">
        <f>C33*'E Balans VL '!Y21/100/3.6*1000000</f>
        <v>0.1471224213569588</v>
      </c>
      <c r="O11" s="33"/>
      <c r="P11" s="33"/>
      <c r="R11" s="32"/>
    </row>
    <row r="12" spans="1:18">
      <c r="A12" s="6" t="s">
        <v>36</v>
      </c>
      <c r="B12" s="37">
        <f t="shared" si="0"/>
        <v>475.37490000000003</v>
      </c>
      <c r="C12" s="33"/>
      <c r="D12" s="37">
        <f>IF( ISERROR(IND_min_gas_kWh/1000),0,IND_min_gas_kWh/1000)*0.902</f>
        <v>0</v>
      </c>
      <c r="E12" s="33">
        <f>C34*'E Balans VL '!I22/100/3.6*1000000</f>
        <v>1.4396955348697722</v>
      </c>
      <c r="F12" s="33">
        <f>C34*'E Balans VL '!L22/100/3.6*1000000+C34*'E Balans VL '!N22/100/3.6*1000000</f>
        <v>14.855874321964944</v>
      </c>
      <c r="G12" s="34"/>
      <c r="H12" s="33"/>
      <c r="I12" s="33"/>
      <c r="J12" s="40">
        <f>C34*'E Balans VL '!D22/100/3.6*1000000+C34*'E Balans VL '!E22/100/3.6*1000000</f>
        <v>0.70487544890994513</v>
      </c>
      <c r="K12" s="33"/>
      <c r="L12" s="33"/>
      <c r="M12" s="33"/>
      <c r="N12" s="33">
        <f>C34*'E Balans VL '!Y22/100/3.6*1000000</f>
        <v>0</v>
      </c>
      <c r="O12" s="33"/>
      <c r="P12" s="33"/>
      <c r="R12" s="32"/>
    </row>
    <row r="13" spans="1:18">
      <c r="A13" s="6" t="s">
        <v>38</v>
      </c>
      <c r="B13" s="37">
        <f t="shared" si="0"/>
        <v>28765.23</v>
      </c>
      <c r="C13" s="33"/>
      <c r="D13" s="37">
        <f>IF( ISERROR(IND_papier_gas_kWh/1000),0,IND_papier_gas_kWh/1000)*0.902</f>
        <v>26401.23317789071</v>
      </c>
      <c r="E13" s="33">
        <f>C35*'E Balans VL '!I23/100/3.6*1000000</f>
        <v>59.574732936271936</v>
      </c>
      <c r="F13" s="33">
        <f>C35*'E Balans VL '!L23/100/3.6*1000000+C35*'E Balans VL '!N23/100/3.6*1000000</f>
        <v>570.4761786517189</v>
      </c>
      <c r="G13" s="34"/>
      <c r="H13" s="33"/>
      <c r="I13" s="33"/>
      <c r="J13" s="40">
        <f>C35*'E Balans VL '!D23/100/3.6*1000000+C35*'E Balans VL '!E23/100/3.6*1000000</f>
        <v>0</v>
      </c>
      <c r="K13" s="33"/>
      <c r="L13" s="33"/>
      <c r="M13" s="33"/>
      <c r="N13" s="33">
        <f>C35*'E Balans VL '!Y23/100/3.6*1000000</f>
        <v>1995.0140957032759</v>
      </c>
      <c r="O13" s="33"/>
      <c r="P13" s="33"/>
      <c r="R13" s="32"/>
    </row>
    <row r="14" spans="1:18">
      <c r="A14" s="6" t="s">
        <v>33</v>
      </c>
      <c r="B14" s="37">
        <f t="shared" si="0"/>
        <v>17404.687000000002</v>
      </c>
      <c r="C14" s="33"/>
      <c r="D14" s="37">
        <f>IF( ISERROR(IND_chemie_gas_kWh/1000),0,IND_chemie_gas_kWh/1000)*0.902</f>
        <v>11953.435204751779</v>
      </c>
      <c r="E14" s="33">
        <f>C36*'E Balans VL '!I24/100/3.6*1000000</f>
        <v>65.253031905167049</v>
      </c>
      <c r="F14" s="33">
        <f>C36*'E Balans VL '!L24/100/3.6*1000000+C36*'E Balans VL '!N24/100/3.6*1000000</f>
        <v>202.48530214930346</v>
      </c>
      <c r="G14" s="34"/>
      <c r="H14" s="33"/>
      <c r="I14" s="33"/>
      <c r="J14" s="40">
        <f>C36*'E Balans VL '!D24/100/3.6*1000000+C36*'E Balans VL '!E24/100/3.6*1000000</f>
        <v>0</v>
      </c>
      <c r="K14" s="33"/>
      <c r="L14" s="33"/>
      <c r="M14" s="33"/>
      <c r="N14" s="33">
        <f>C36*'E Balans VL '!Y24/100/3.6*1000000</f>
        <v>297.35072454620257</v>
      </c>
      <c r="O14" s="33"/>
      <c r="P14" s="33"/>
      <c r="R14" s="32"/>
    </row>
    <row r="15" spans="1:18">
      <c r="A15" s="6" t="s">
        <v>259</v>
      </c>
      <c r="B15" s="37">
        <f t="shared" si="0"/>
        <v>112000</v>
      </c>
      <c r="C15" s="33"/>
      <c r="D15" s="37">
        <f>IF( ISERROR(IND_rest_gas_kWh/1000),0,IND_rest_gas_kWh/1000)*0.902</f>
        <v>71909.457413842392</v>
      </c>
      <c r="E15" s="33">
        <f>C37*'E Balans VL '!I15/100/3.6*1000000</f>
        <v>5697.7883590403444</v>
      </c>
      <c r="F15" s="33">
        <f>C37*'E Balans VL '!L15/100/3.6*1000000+C37*'E Balans VL '!N15/100/3.6*1000000</f>
        <v>25529.013912089344</v>
      </c>
      <c r="G15" s="34"/>
      <c r="H15" s="33"/>
      <c r="I15" s="33"/>
      <c r="J15" s="40">
        <f>C37*'E Balans VL '!D15/100/3.6*1000000+C37*'E Balans VL '!E15/100/3.6*1000000</f>
        <v>469.87700041625641</v>
      </c>
      <c r="K15" s="33"/>
      <c r="L15" s="33"/>
      <c r="M15" s="33"/>
      <c r="N15" s="33">
        <f>C37*'E Balans VL '!Y15/100/3.6*1000000</f>
        <v>6101.4236497886186</v>
      </c>
      <c r="O15" s="33"/>
      <c r="P15" s="33"/>
      <c r="R15" s="32"/>
    </row>
    <row r="16" spans="1:18">
      <c r="A16" s="16" t="s">
        <v>481</v>
      </c>
      <c r="B16" s="243">
        <f>'lokale energieproductie'!N38+'lokale energieproductie'!N31</f>
        <v>2857.5</v>
      </c>
      <c r="C16" s="243">
        <f>'lokale energieproductie'!O38+'lokale energieproductie'!O31</f>
        <v>4082.1428571428573</v>
      </c>
      <c r="D16" s="302">
        <f>('lokale energieproductie'!P31+'lokale energieproductie'!P38)*(-1)</f>
        <v>-8164.2857142857147</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191144.03839</v>
      </c>
      <c r="C18" s="21">
        <f>C5+C16</f>
        <v>4082.1428571428573</v>
      </c>
      <c r="D18" s="21">
        <f>MAX((D5+D16),0)</f>
        <v>136491.06566306582</v>
      </c>
      <c r="E18" s="21">
        <f>MAX((E5+E16),0)</f>
        <v>8358.139637778384</v>
      </c>
      <c r="F18" s="21">
        <f>MAX((F5+F16),0)</f>
        <v>71709.331264041219</v>
      </c>
      <c r="G18" s="21"/>
      <c r="H18" s="21"/>
      <c r="I18" s="21"/>
      <c r="J18" s="21">
        <f>MAX((J5+J16),0)</f>
        <v>958.59632234204321</v>
      </c>
      <c r="K18" s="21"/>
      <c r="L18" s="21">
        <f>MAX((L5+L16),0)</f>
        <v>0</v>
      </c>
      <c r="M18" s="21"/>
      <c r="N18" s="21">
        <f>MAX((N5+N16),0)</f>
        <v>19838.860225346631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0.21111697198443599</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40353.750597773585</v>
      </c>
      <c r="C22" s="23">
        <f ca="1">C18*C20</f>
        <v>958.57293671017737</v>
      </c>
      <c r="D22" s="23">
        <f>D18*D20</f>
        <v>27571.195263939298</v>
      </c>
      <c r="E22" s="23">
        <f>E18*E20</f>
        <v>1897.2976977756932</v>
      </c>
      <c r="F22" s="23">
        <f>F18*F20</f>
        <v>19146.391447499005</v>
      </c>
      <c r="G22" s="23"/>
      <c r="H22" s="23"/>
      <c r="I22" s="23"/>
      <c r="J22" s="23">
        <f>J18*J20</f>
        <v>339.34309810908326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852.5385</v>
      </c>
      <c r="C30" s="39">
        <f>IF(ISERROR(B30*3.6/1000000/'E Balans VL '!Z18*100),0,B30*3.6/1000000/'E Balans VL '!Z18*100)</f>
        <v>0.11932697884062075</v>
      </c>
      <c r="D30" s="233" t="s">
        <v>676</v>
      </c>
    </row>
    <row r="31" spans="1:18">
      <c r="A31" s="6" t="s">
        <v>32</v>
      </c>
      <c r="B31" s="37">
        <f>IF( ISERROR(IND_ander_ele_kWh/1000),0,IND_ander_ele_kWh/1000)</f>
        <v>8382.4689999999991</v>
      </c>
      <c r="C31" s="39">
        <f>IF(ISERROR(B31*3.6/1000000/'E Balans VL '!Z19*100),0,B31*3.6/1000000/'E Balans VL '!Z19*100)</f>
        <v>0.36689930830033129</v>
      </c>
      <c r="D31" s="233" t="s">
        <v>676</v>
      </c>
    </row>
    <row r="32" spans="1:18">
      <c r="A32" s="168" t="s">
        <v>40</v>
      </c>
      <c r="B32" s="37">
        <f>IF( ISERROR(IND_voed_ele_kWh/1000),0,IND_voed_ele_kWh/1000)</f>
        <v>20390.628000000001</v>
      </c>
      <c r="C32" s="39">
        <f>IF(ISERROR(B32*3.6/1000000/'E Balans VL '!Z20*100),0,B32*3.6/1000000/'E Balans VL '!Z20*100)</f>
        <v>5.0480423534443437</v>
      </c>
      <c r="D32" s="233" t="s">
        <v>676</v>
      </c>
    </row>
    <row r="33" spans="1:5">
      <c r="A33" s="168" t="s">
        <v>39</v>
      </c>
      <c r="B33" s="37">
        <f>IF( ISERROR(IND_textiel_ele_kWh/1000),0,IND_textiel_ele_kWh/1000)</f>
        <v>15.610989999999999</v>
      </c>
      <c r="C33" s="39">
        <f>IF(ISERROR(B33*3.6/1000000/'E Balans VL '!Z21*100),0,B33*3.6/1000000/'E Balans VL '!Z21*100)</f>
        <v>1.7590835828776598E-3</v>
      </c>
      <c r="D33" s="233" t="s">
        <v>676</v>
      </c>
    </row>
    <row r="34" spans="1:5">
      <c r="A34" s="168" t="s">
        <v>36</v>
      </c>
      <c r="B34" s="37">
        <f>IF( ISERROR(IND_min_ele_kWh/1000),0,IND_min_ele_kWh/1000)</f>
        <v>475.37490000000003</v>
      </c>
      <c r="C34" s="39">
        <f>IF(ISERROR(B34*3.6/1000000/'E Balans VL '!Z22*100),0,B34*3.6/1000000/'E Balans VL '!Z22*100)</f>
        <v>1.3489200236641361E-2</v>
      </c>
      <c r="D34" s="233" t="s">
        <v>676</v>
      </c>
    </row>
    <row r="35" spans="1:5">
      <c r="A35" s="168" t="s">
        <v>38</v>
      </c>
      <c r="B35" s="37">
        <f>IF( ISERROR(IND_papier_ele_kWh/1000),0,IND_papier_ele_kWh/1000)</f>
        <v>28765.23</v>
      </c>
      <c r="C35" s="39">
        <f>IF(ISERROR(B35*3.6/1000000/'E Balans VL '!Z22*100),0,B35*3.6/1000000/'E Balans VL '!Z22*100)</f>
        <v>0.81623987156882516</v>
      </c>
      <c r="D35" s="233" t="s">
        <v>676</v>
      </c>
    </row>
    <row r="36" spans="1:5">
      <c r="A36" s="168" t="s">
        <v>33</v>
      </c>
      <c r="B36" s="37">
        <f>IF( ISERROR(IND_chemie_ele_kWh/1000),0,IND_chemie_ele_kWh/1000)</f>
        <v>17404.687000000002</v>
      </c>
      <c r="C36" s="39">
        <f>IF(ISERROR(B36*3.6/1000000/'E Balans VL '!Z24*100),0,B36*3.6/1000000/'E Balans VL '!Z24*100)</f>
        <v>0.44379295308366906</v>
      </c>
      <c r="D36" s="233" t="s">
        <v>676</v>
      </c>
    </row>
    <row r="37" spans="1:5">
      <c r="A37" s="168" t="s">
        <v>259</v>
      </c>
      <c r="B37" s="37">
        <f>IF( ISERROR(IND_rest_ele_kWh/1000),0,IND_rest_ele_kWh/1000)</f>
        <v>112000</v>
      </c>
      <c r="C37" s="39">
        <f>IF(ISERROR(B37*3.6/1000000/'E Balans VL '!Z15*100),0,B37*3.6/1000000/'E Balans VL '!Z15*100)</f>
        <v>0.8304608247885733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1497.3508999999999</v>
      </c>
      <c r="C5" s="17">
        <f>'Eigen informatie GS &amp; warmtenet'!B60</f>
        <v>0</v>
      </c>
      <c r="D5" s="30">
        <f>IF(ISERROR(SUM(LB_lb_gas_kWh,LB_rest_gas_kWh)/1000),0,SUM(LB_lb_gas_kWh,LB_rest_gas_kWh)/1000)*0.902</f>
        <v>2282.4548533818765</v>
      </c>
      <c r="E5" s="17">
        <f>B17*'E Balans VL '!I25/3.6*1000000/100</f>
        <v>13.869091184005589</v>
      </c>
      <c r="F5" s="17">
        <f>B17*('E Balans VL '!L25/3.6*1000000+'E Balans VL '!N25/3.6*1000000)/100</f>
        <v>3799.0644783537259</v>
      </c>
      <c r="G5" s="18"/>
      <c r="H5" s="17"/>
      <c r="I5" s="17"/>
      <c r="J5" s="17">
        <f>('E Balans VL '!D25+'E Balans VL '!E25)/3.6*1000000*landbouw!B17/100</f>
        <v>229.56060345481518</v>
      </c>
      <c r="K5" s="17"/>
      <c r="L5" s="17">
        <f>L6*(-1)</f>
        <v>0</v>
      </c>
      <c r="M5" s="17"/>
      <c r="N5" s="17">
        <f>N6*(-1)</f>
        <v>0</v>
      </c>
      <c r="O5" s="17"/>
      <c r="P5" s="17"/>
      <c r="R5" s="32"/>
    </row>
    <row r="6" spans="1:18">
      <c r="A6" s="16" t="s">
        <v>481</v>
      </c>
      <c r="B6" s="17" t="s">
        <v>204</v>
      </c>
      <c r="C6" s="17">
        <f>'lokale energieproductie'!O40+'lokale energieproductie'!O33</f>
        <v>0</v>
      </c>
      <c r="D6" s="302">
        <f>('lokale energieproductie'!P33+'lokale energieproductie'!P40)*(-1)</f>
        <v>0</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1497.3508999999999</v>
      </c>
      <c r="C8" s="21">
        <f>C5+C6</f>
        <v>0</v>
      </c>
      <c r="D8" s="21">
        <f>MAX((D5+D6),0)</f>
        <v>2282.4548533818765</v>
      </c>
      <c r="E8" s="21">
        <f>MAX((E5+E6),0)</f>
        <v>13.869091184005589</v>
      </c>
      <c r="F8" s="21">
        <f>MAX((F5+F6),0)</f>
        <v>3799.0644783537259</v>
      </c>
      <c r="G8" s="21"/>
      <c r="H8" s="21"/>
      <c r="I8" s="21"/>
      <c r="J8" s="21">
        <f>MAX((J5+J6),0)</f>
        <v>229.56060345481518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0.21111697198443599</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316.11618800616998</v>
      </c>
      <c r="C12" s="23">
        <f ca="1">C8*C10</f>
        <v>0</v>
      </c>
      <c r="D12" s="23">
        <f>D8*D10</f>
        <v>461.05588038313908</v>
      </c>
      <c r="E12" s="23">
        <f>E8*E10</f>
        <v>3.1482836987692688</v>
      </c>
      <c r="F12" s="23">
        <f>F8*F10</f>
        <v>1014.3502157204449</v>
      </c>
      <c r="G12" s="23"/>
      <c r="H12" s="23"/>
      <c r="I12" s="23"/>
      <c r="J12" s="23">
        <f>J8*J10</f>
        <v>81.26445362300457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0.21289154865307838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218.34234183458071</v>
      </c>
      <c r="C26" s="243">
        <f>B26*'GWP N2O_CH4'!B5</f>
        <v>4585.1891785261951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80.26128301639632</v>
      </c>
      <c r="C27" s="243">
        <f>B27*'GWP N2O_CH4'!B5</f>
        <v>1685.4869433443228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6.0290379481255112</v>
      </c>
      <c r="C28" s="243">
        <f>B28*'GWP N2O_CH4'!B4</f>
        <v>1869.0017639189084</v>
      </c>
      <c r="D28" s="50"/>
    </row>
    <row r="29" spans="1:4">
      <c r="A29" s="41" t="s">
        <v>266</v>
      </c>
      <c r="B29" s="243">
        <f>B34*'ha_N2O bodem landbouw'!B4</f>
        <v>14.596630660434577</v>
      </c>
      <c r="C29" s="243">
        <f>B29*'GWP N2O_CH4'!B4</f>
        <v>4524.9555047347194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3.2737671037628277E-3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1.2791158102899174E-4</v>
      </c>
      <c r="C5" s="430" t="s">
        <v>204</v>
      </c>
      <c r="D5" s="415">
        <f>SUM(D6:D11)</f>
        <v>1.894892988073075E-4</v>
      </c>
      <c r="E5" s="415">
        <f>SUM(E6:E11)</f>
        <v>1.9466283361806291E-3</v>
      </c>
      <c r="F5" s="428" t="s">
        <v>204</v>
      </c>
      <c r="G5" s="415">
        <f>SUM(G6:G11)</f>
        <v>0.71974092940613466</v>
      </c>
      <c r="H5" s="415">
        <f>SUM(H6:H11)</f>
        <v>0.11066853042524179</v>
      </c>
      <c r="I5" s="430" t="s">
        <v>204</v>
      </c>
      <c r="J5" s="430" t="s">
        <v>204</v>
      </c>
      <c r="K5" s="430" t="s">
        <v>204</v>
      </c>
      <c r="L5" s="430" t="s">
        <v>204</v>
      </c>
      <c r="M5" s="415">
        <f>SUM(M6:M11)</f>
        <v>4.5104235667157141E-2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7.2064024872814847E-5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1.0884104093239987E-4</v>
      </c>
      <c r="E6" s="858">
        <f>vkm_GW_PW*SUMIFS(TableVerdeelsleutelVkm[LPG],TableVerdeelsleutelVkm[Voertuigtype],"Lichte voertuigen")*SUMIFS(TableECFTransport[EnergieConsumptieFactor (PJ per km)],TableECFTransport[Index],CONCATENATE($A6,"_LPG_LPG"))</f>
        <v>1.0720308716338123E-3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0.24525814324596132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6.329199101083921E-2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1.6149955943084417E-2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3.5438366526948256E-6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0.13601392697807166</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2.5718096245054731E-6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7.8857779804097899E-3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1.58927602205401E-5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3.6208846931637136E-5</v>
      </c>
      <c r="E8" s="418">
        <f>vkm_NGW_PW*SUMIFS(TableVerdeelsleutelVkm[LPG],TableVerdeelsleutelVkm[Voertuigtype],"Lichte voertuigen")*SUMIFS(TableECFTransport[EnergieConsumptieFactor (PJ per km)],TableECFTransport[Index],CONCATENATE($A8,"_LPG_LPG"))</f>
        <v>3.4013263882347105E-4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7.2222171843758579E-2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2.034011827287505E-2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4.8076678206031443E-3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1.3027346537131421E-7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6.4240068739950165E-3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1.1411363343797853E-7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3.72449076113458E-4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3.2251443143386427E-5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4.4439410943270494E-5</v>
      </c>
      <c r="E10" s="418">
        <f>vkm_SW_PW*SUMIFS(TableVerdeelsleutelVkm[LPG],TableVerdeelsleutelVkm[Voertuigtype],"Lichte voertuigen")*SUMIFS(TableECFTransport[EnergieConsumptieFactor (PJ per km)],TableECFTransport[Index],CONCATENATE($A10,"_LPG_LPG"))</f>
        <v>5.3446482572334572E-4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0.112412102346875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2.7030725547530294E-2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7.3418481841875088E-3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4.0292426741842389E-6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0.14741057811747305</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3.0096707393096884E-6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8.5465366627588187E-3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35.530994730275481</v>
      </c>
      <c r="C14" s="21"/>
      <c r="D14" s="21">
        <f t="shared" ref="D14:M14" si="0">((D5)*10^9/3600)+D12</f>
        <v>52.635916335363191</v>
      </c>
      <c r="E14" s="21">
        <f t="shared" si="0"/>
        <v>540.73009338350801</v>
      </c>
      <c r="F14" s="21"/>
      <c r="G14" s="21">
        <f t="shared" si="0"/>
        <v>199928.03594614851</v>
      </c>
      <c r="H14" s="21">
        <f t="shared" si="0"/>
        <v>30741.258451456051</v>
      </c>
      <c r="I14" s="21"/>
      <c r="J14" s="21"/>
      <c r="K14" s="21"/>
      <c r="L14" s="21"/>
      <c r="M14" s="21">
        <f t="shared" si="0"/>
        <v>12528.954351988095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0.21111697198443599</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7.5011960190507114</v>
      </c>
      <c r="C18" s="23"/>
      <c r="D18" s="23">
        <f t="shared" ref="D18:M18" si="1">D14*D16</f>
        <v>10.632455099743366</v>
      </c>
      <c r="E18" s="23">
        <f t="shared" si="1"/>
        <v>122.74573119805632</v>
      </c>
      <c r="F18" s="23"/>
      <c r="G18" s="23">
        <f t="shared" si="1"/>
        <v>53380.785597621652</v>
      </c>
      <c r="H18" s="23">
        <f t="shared" si="1"/>
        <v>7654.5733544125569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9.5821423057750591E-5</v>
      </c>
      <c r="C50" s="313">
        <f t="shared" ref="C50:P50" si="2">SUM(C51:C52)</f>
        <v>0</v>
      </c>
      <c r="D50" s="313">
        <f t="shared" si="2"/>
        <v>0</v>
      </c>
      <c r="E50" s="313">
        <f t="shared" si="2"/>
        <v>0</v>
      </c>
      <c r="F50" s="313">
        <f t="shared" si="2"/>
        <v>0</v>
      </c>
      <c r="G50" s="313">
        <f t="shared" si="2"/>
        <v>1.8156895310696145E-2</v>
      </c>
      <c r="H50" s="313">
        <f t="shared" si="2"/>
        <v>0</v>
      </c>
      <c r="I50" s="313">
        <f t="shared" si="2"/>
        <v>0</v>
      </c>
      <c r="J50" s="313">
        <f t="shared" si="2"/>
        <v>0</v>
      </c>
      <c r="K50" s="313">
        <f t="shared" si="2"/>
        <v>0</v>
      </c>
      <c r="L50" s="313">
        <f t="shared" si="2"/>
        <v>0</v>
      </c>
      <c r="M50" s="313">
        <f t="shared" si="2"/>
        <v>1.0452568032343864E-3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9.5821423057750591E-5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1.8156895310696145E-2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1.0452568032343864E-3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26.617061960486275</v>
      </c>
      <c r="C54" s="21">
        <f t="shared" ref="C54:P54" si="3">(C50)*10^9/3600</f>
        <v>0</v>
      </c>
      <c r="D54" s="21">
        <f t="shared" si="3"/>
        <v>0</v>
      </c>
      <c r="E54" s="21">
        <f t="shared" si="3"/>
        <v>0</v>
      </c>
      <c r="F54" s="21">
        <f t="shared" si="3"/>
        <v>0</v>
      </c>
      <c r="G54" s="21">
        <f t="shared" si="3"/>
        <v>5043.5820307489284</v>
      </c>
      <c r="H54" s="21">
        <f t="shared" si="3"/>
        <v>0</v>
      </c>
      <c r="I54" s="21">
        <f t="shared" si="3"/>
        <v>0</v>
      </c>
      <c r="J54" s="21">
        <f t="shared" si="3"/>
        <v>0</v>
      </c>
      <c r="K54" s="21">
        <f t="shared" si="3"/>
        <v>0</v>
      </c>
      <c r="L54" s="21">
        <f t="shared" si="3"/>
        <v>0</v>
      </c>
      <c r="M54" s="21">
        <f t="shared" si="3"/>
        <v>290.34911200955179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0.21111697198443599</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5.6193135242199777</v>
      </c>
      <c r="C58" s="23">
        <f t="shared" ref="C58:P58" ca="1" si="4">C54*C56</f>
        <v>0</v>
      </c>
      <c r="D58" s="23">
        <f t="shared" si="4"/>
        <v>0</v>
      </c>
      <c r="E58" s="23">
        <f t="shared" si="4"/>
        <v>0</v>
      </c>
      <c r="F58" s="23">
        <f t="shared" si="4"/>
        <v>0</v>
      </c>
      <c r="G58" s="23">
        <f t="shared" si="4"/>
        <v>1346.636402209964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14517.779415769299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3172.5</v>
      </c>
      <c r="C8" s="537">
        <f>B49</f>
        <v>3687.9686931197666</v>
      </c>
      <c r="D8" s="1014"/>
      <c r="E8" s="1014">
        <f>E49</f>
        <v>0</v>
      </c>
      <c r="F8" s="1015"/>
      <c r="G8" s="538"/>
      <c r="H8" s="1014">
        <f>I49</f>
        <v>0</v>
      </c>
      <c r="I8" s="1014">
        <f>G49+F49</f>
        <v>0</v>
      </c>
      <c r="J8" s="1014">
        <f>H49+D49+C49</f>
        <v>0</v>
      </c>
      <c r="K8" s="1014"/>
      <c r="L8" s="1014"/>
      <c r="M8" s="1014"/>
      <c r="N8" s="539"/>
      <c r="O8" s="540">
        <f>C8*$C$12+D8*$D$12+E8*$E$12+F8*$F$12+G8*$G$12+H8*$H$12+I8*$I$12+J8*$J$12</f>
        <v>744.96967601019287</v>
      </c>
      <c r="P8" s="1250"/>
      <c r="Q8" s="1251"/>
      <c r="S8" s="978"/>
      <c r="T8" s="1271"/>
      <c r="U8" s="1271"/>
    </row>
    <row r="9" spans="1:21" s="526" customFormat="1" ht="17.45" customHeight="1" thickBot="1">
      <c r="A9" s="541" t="s">
        <v>237</v>
      </c>
      <c r="B9" s="542">
        <f>N37+'Eigen informatie GS &amp; warmtenet'!B12</f>
        <v>1341</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19031.279415769299</v>
      </c>
      <c r="C10" s="550">
        <f t="shared" ref="C10:L10" si="0">SUM(C8:C9)</f>
        <v>3687.9686931197666</v>
      </c>
      <c r="D10" s="550">
        <f t="shared" si="0"/>
        <v>0</v>
      </c>
      <c r="E10" s="550">
        <f t="shared" si="0"/>
        <v>0</v>
      </c>
      <c r="F10" s="550">
        <f t="shared" si="0"/>
        <v>0</v>
      </c>
      <c r="G10" s="550">
        <f t="shared" si="0"/>
        <v>0</v>
      </c>
      <c r="H10" s="550">
        <f t="shared" si="0"/>
        <v>0</v>
      </c>
      <c r="I10" s="550">
        <f t="shared" si="0"/>
        <v>0</v>
      </c>
      <c r="J10" s="550">
        <f t="shared" si="0"/>
        <v>3831.4285714285716</v>
      </c>
      <c r="K10" s="550">
        <f t="shared" si="0"/>
        <v>0</v>
      </c>
      <c r="L10" s="550">
        <f t="shared" si="0"/>
        <v>0</v>
      </c>
      <c r="M10" s="1017"/>
      <c r="N10" s="1017"/>
      <c r="O10" s="551">
        <f>SUM(O4:O9)</f>
        <v>744.96967601019287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5657.1428571428578</v>
      </c>
      <c r="C17" s="562">
        <f>B50</f>
        <v>6576.3170211659472</v>
      </c>
      <c r="D17" s="563"/>
      <c r="E17" s="563">
        <f>E50</f>
        <v>0</v>
      </c>
      <c r="F17" s="1020"/>
      <c r="G17" s="564"/>
      <c r="H17" s="562">
        <f>I50</f>
        <v>0</v>
      </c>
      <c r="I17" s="563">
        <f>G50+F50</f>
        <v>0</v>
      </c>
      <c r="J17" s="563">
        <f>H50+D50+C50</f>
        <v>0</v>
      </c>
      <c r="K17" s="563"/>
      <c r="L17" s="563"/>
      <c r="M17" s="563"/>
      <c r="N17" s="1021"/>
      <c r="O17" s="565">
        <f>C17*$C$22+E17*$E$22+H17*$H$22+I17*$I$22+J17*$J$22+D17*$D$22+F17*$F$22+G17*$G$22+K17*$K$22+L17*$L$22</f>
        <v>1328.4160382755215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5657.1428571428578</v>
      </c>
      <c r="C20" s="549">
        <f>SUM(C17:C19)</f>
        <v>6576.3170211659472</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1328.4160382755215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13040</v>
      </c>
      <c r="C28" s="763">
        <v>2300</v>
      </c>
      <c r="D28" s="620"/>
      <c r="E28" s="619"/>
      <c r="F28" s="619"/>
      <c r="G28" s="619" t="s">
        <v>922</v>
      </c>
      <c r="H28" s="619" t="s">
        <v>922</v>
      </c>
      <c r="I28" s="619"/>
      <c r="J28" s="762"/>
      <c r="K28" s="762"/>
      <c r="L28" s="619" t="s">
        <v>923</v>
      </c>
      <c r="M28" s="619">
        <v>70</v>
      </c>
      <c r="N28" s="619">
        <v>315.00000000000006</v>
      </c>
      <c r="O28" s="619">
        <v>1575.0000000000002</v>
      </c>
      <c r="P28" s="619">
        <v>2100.0000000000005</v>
      </c>
      <c r="Q28" s="619">
        <v>0</v>
      </c>
      <c r="R28" s="619">
        <v>0</v>
      </c>
      <c r="S28" s="619">
        <v>0</v>
      </c>
      <c r="T28" s="619">
        <v>0</v>
      </c>
      <c r="U28" s="619">
        <v>0</v>
      </c>
      <c r="V28" s="619">
        <v>0</v>
      </c>
      <c r="W28" s="619">
        <v>0</v>
      </c>
      <c r="X28" s="619">
        <v>1300</v>
      </c>
      <c r="Y28" s="619" t="s">
        <v>53</v>
      </c>
      <c r="Z28" s="621" t="s">
        <v>149</v>
      </c>
    </row>
    <row r="29" spans="1:26" s="573" customFormat="1" ht="25.5" hidden="1">
      <c r="A29" s="572"/>
      <c r="B29" s="763">
        <v>13040</v>
      </c>
      <c r="C29" s="763">
        <v>2300</v>
      </c>
      <c r="D29" s="620"/>
      <c r="E29" s="619"/>
      <c r="F29" s="619"/>
      <c r="G29" s="619" t="s">
        <v>924</v>
      </c>
      <c r="H29" s="619" t="s">
        <v>925</v>
      </c>
      <c r="I29" s="619"/>
      <c r="J29" s="762"/>
      <c r="K29" s="762"/>
      <c r="L29" s="619" t="s">
        <v>923</v>
      </c>
      <c r="M29" s="619">
        <v>635</v>
      </c>
      <c r="N29" s="619">
        <v>2857.5</v>
      </c>
      <c r="O29" s="619">
        <v>4082.1428571428573</v>
      </c>
      <c r="P29" s="619">
        <v>8164.2857142857147</v>
      </c>
      <c r="Q29" s="619">
        <v>0</v>
      </c>
      <c r="R29" s="619">
        <v>0</v>
      </c>
      <c r="S29" s="619">
        <v>0</v>
      </c>
      <c r="T29" s="619">
        <v>0</v>
      </c>
      <c r="U29" s="619">
        <v>0</v>
      </c>
      <c r="V29" s="619">
        <v>0</v>
      </c>
      <c r="W29" s="619">
        <v>0</v>
      </c>
      <c r="X29" s="619">
        <v>300</v>
      </c>
      <c r="Y29" s="619" t="s">
        <v>926</v>
      </c>
      <c r="Z29" s="621" t="s">
        <v>376</v>
      </c>
    </row>
    <row r="30" spans="1:26" s="557" customFormat="1" hidden="1">
      <c r="A30" s="575" t="s">
        <v>269</v>
      </c>
      <c r="B30" s="576"/>
      <c r="C30" s="576"/>
      <c r="D30" s="576"/>
      <c r="E30" s="576"/>
      <c r="F30" s="576"/>
      <c r="G30" s="576"/>
      <c r="H30" s="576"/>
      <c r="I30" s="576"/>
      <c r="J30" s="576"/>
      <c r="K30" s="576"/>
      <c r="L30" s="577"/>
      <c r="M30" s="577">
        <f>SUM(M28:M29)</f>
        <v>705</v>
      </c>
      <c r="N30" s="577">
        <f>SUM(N28:N29)</f>
        <v>3172.5</v>
      </c>
      <c r="O30" s="577">
        <f>SUM(O28:O29)</f>
        <v>5657.1428571428578</v>
      </c>
      <c r="P30" s="577">
        <f>SUM(P28:P29)</f>
        <v>10264.285714285716</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635</v>
      </c>
      <c r="N31" s="577">
        <f>SUMIF($Z$28:$Z$29,"industrie",N28:N29)</f>
        <v>2857.5</v>
      </c>
      <c r="O31" s="577">
        <f>SUMIF($Z$28:$Z$29,"industrie",O28:O29)</f>
        <v>4082.1428571428573</v>
      </c>
      <c r="P31" s="577">
        <f>SUMIF($Z$28:$Z$29,"industrie",P28:P29)</f>
        <v>8164.2857142857147</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70</v>
      </c>
      <c r="N32" s="577">
        <f ca="1">SUMIF($Z$28:AD29,"tertiair",N28:N29)</f>
        <v>315.00000000000006</v>
      </c>
      <c r="O32" s="577">
        <f ca="1">SUMIF($Z$28:AE29,"tertiair",O28:O29)</f>
        <v>1575.0000000000002</v>
      </c>
      <c r="P32" s="577">
        <f ca="1">SUMIF($Z$28:AF29,"tertiair",P28:P29)</f>
        <v>2100.0000000000005</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0</v>
      </c>
      <c r="N33" s="582">
        <f>SUMIF($Z$28:$Z$29,"landbouw",N28:N29)</f>
        <v>0</v>
      </c>
      <c r="O33" s="582">
        <f>SUMIF($Z$28:$Z$29,"landbouw",O28:O29)</f>
        <v>0</v>
      </c>
      <c r="P33" s="582">
        <f>SUMIF($Z$28:$Z$29,"landbouw",P28:P29)</f>
        <v>0</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63.75" hidden="1">
      <c r="A36" s="574"/>
      <c r="B36" s="763">
        <v>13040</v>
      </c>
      <c r="C36" s="763">
        <v>2300</v>
      </c>
      <c r="D36" s="622"/>
      <c r="E36" s="622"/>
      <c r="F36" s="622"/>
      <c r="G36" s="622" t="s">
        <v>927</v>
      </c>
      <c r="H36" s="622" t="s">
        <v>928</v>
      </c>
      <c r="I36" s="622"/>
      <c r="J36" s="762"/>
      <c r="K36" s="762"/>
      <c r="L36" s="622" t="s">
        <v>929</v>
      </c>
      <c r="M36" s="622">
        <v>298</v>
      </c>
      <c r="N36" s="622">
        <v>1341</v>
      </c>
      <c r="O36" s="622">
        <v>0</v>
      </c>
      <c r="P36" s="622">
        <v>0</v>
      </c>
      <c r="Q36" s="622">
        <v>3831.4285714285716</v>
      </c>
      <c r="R36" s="622">
        <v>0</v>
      </c>
      <c r="S36" s="622">
        <v>0</v>
      </c>
      <c r="T36" s="622">
        <v>0</v>
      </c>
      <c r="U36" s="622">
        <v>0</v>
      </c>
      <c r="V36" s="622">
        <v>0</v>
      </c>
      <c r="W36" s="622">
        <v>0</v>
      </c>
      <c r="X36" s="622">
        <v>1600</v>
      </c>
      <c r="Y36" s="622" t="s">
        <v>49</v>
      </c>
      <c r="Z36" s="623" t="s">
        <v>149</v>
      </c>
    </row>
    <row r="37" spans="1:27" s="557" customFormat="1" hidden="1">
      <c r="A37" s="575" t="s">
        <v>269</v>
      </c>
      <c r="B37" s="576"/>
      <c r="C37" s="576"/>
      <c r="D37" s="576"/>
      <c r="E37" s="576"/>
      <c r="F37" s="576"/>
      <c r="G37" s="576"/>
      <c r="H37" s="576"/>
      <c r="I37" s="576"/>
      <c r="J37" s="576"/>
      <c r="K37" s="576"/>
      <c r="L37" s="577"/>
      <c r="M37" s="577">
        <f>SUM(M36:M36)</f>
        <v>298</v>
      </c>
      <c r="N37" s="577">
        <f>SUM(N36:N36)</f>
        <v>1341</v>
      </c>
      <c r="O37" s="577">
        <f>SUM(O36:O36)</f>
        <v>0</v>
      </c>
      <c r="P37" s="577">
        <f>SUM(P36:P36)</f>
        <v>0</v>
      </c>
      <c r="Q37" s="577">
        <f>SUM(Q36:Q36)</f>
        <v>3831.4285714285716</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298</v>
      </c>
      <c r="N39" s="577">
        <f>SUMIF($Z$36:$Z$37,"tertiair",N36:N37)</f>
        <v>1341</v>
      </c>
      <c r="O39" s="577">
        <f>SUMIF($Z$36:$Z$37,"tertiair",O36:O37)</f>
        <v>0</v>
      </c>
      <c r="P39" s="577">
        <f>SUMIF($Z$36:$Z$37,"tertiair",P36:P37)</f>
        <v>0</v>
      </c>
      <c r="Q39" s="577">
        <f>SUMIF($Z$36:$Z$37,"tertiair",Q36:Q37)</f>
        <v>3831.4285714285716</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0.64069894430287577</v>
      </c>
      <c r="C46" s="602">
        <f>IF(ISERROR(N30/(O30+N30)),0,N30/(N30+O30))</f>
        <v>0.35930105569712406</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3687.9686931197666</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6576.3170211659472</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2021-11-11T13:08:40Z</dcterms:modified>
</cp:coreProperties>
</file>