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CA71FFE3-7925-4772-BE24-819F5A18AB6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D89" i="14" s="1"/>
  <c r="D19" i="59" s="1"/>
  <c r="B19" i="18"/>
  <c r="N18" i="18"/>
  <c r="L88" i="14" s="1"/>
  <c r="M18" i="18"/>
  <c r="L18" i="18"/>
  <c r="L20" i="18" s="1"/>
  <c r="K18" i="18"/>
  <c r="J18" i="18"/>
  <c r="J88" i="14" s="1"/>
  <c r="J18" i="59" s="1"/>
  <c r="I18" i="18"/>
  <c r="H18" i="18"/>
  <c r="M88" i="14" s="1"/>
  <c r="M18" i="59" s="1"/>
  <c r="G18" i="18"/>
  <c r="H88" i="14" s="1"/>
  <c r="F18" i="18"/>
  <c r="F20" i="18" s="1"/>
  <c r="E18" i="18"/>
  <c r="D18" i="18"/>
  <c r="D20" i="18" s="1"/>
  <c r="C18" i="18"/>
  <c r="D88" i="14" s="1"/>
  <c r="D18" i="59" s="1"/>
  <c r="B18" i="18"/>
  <c r="L9" i="18"/>
  <c r="K9" i="18"/>
  <c r="N77" i="14" s="1"/>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I9" i="18" s="1"/>
  <c r="S40" i="18"/>
  <c r="E9" i="18" s="1"/>
  <c r="R40" i="18"/>
  <c r="Q40" i="18"/>
  <c r="P40" i="18"/>
  <c r="C9" i="18" s="1"/>
  <c r="O40" i="18"/>
  <c r="N40" i="18"/>
  <c r="B9" i="18" s="1"/>
  <c r="M40" i="18"/>
  <c r="W36" i="18"/>
  <c r="V36" i="18"/>
  <c r="U36" i="18"/>
  <c r="T36" i="18"/>
  <c r="S36" i="18"/>
  <c r="F6" i="17" s="1"/>
  <c r="R36" i="18"/>
  <c r="Q36" i="18"/>
  <c r="P36" i="18"/>
  <c r="O36" i="18"/>
  <c r="N36" i="18"/>
  <c r="M36" i="18"/>
  <c r="W35" i="18"/>
  <c r="V35" i="18"/>
  <c r="U35" i="18"/>
  <c r="T35" i="18"/>
  <c r="S35" i="18"/>
  <c r="F13" i="15" s="1"/>
  <c r="R35" i="18"/>
  <c r="Q35" i="18"/>
  <c r="P35" i="18"/>
  <c r="O35" i="18"/>
  <c r="C13" i="15" s="1"/>
  <c r="N35" i="18"/>
  <c r="M35" i="18"/>
  <c r="W34" i="18"/>
  <c r="V34" i="18"/>
  <c r="U34" i="18"/>
  <c r="T34" i="18"/>
  <c r="S34" i="18"/>
  <c r="R34" i="18"/>
  <c r="Q34" i="18"/>
  <c r="P34" i="18"/>
  <c r="O34" i="18"/>
  <c r="N34" i="18"/>
  <c r="M34" i="18"/>
  <c r="W33" i="18"/>
  <c r="V33" i="18"/>
  <c r="U33" i="18"/>
  <c r="T33" i="18"/>
  <c r="S33" i="18"/>
  <c r="R33" i="18"/>
  <c r="Q33" i="18"/>
  <c r="P33" i="18"/>
  <c r="O33" i="18"/>
  <c r="B17" i="18" s="1"/>
  <c r="N33" i="18"/>
  <c r="B8" i="18" s="1"/>
  <c r="M33" i="18"/>
  <c r="G22" i="18"/>
  <c r="F22" i="18"/>
  <c r="E22" i="18"/>
  <c r="D22" i="18"/>
  <c r="C22" i="18"/>
  <c r="G12" i="18"/>
  <c r="F12" i="18"/>
  <c r="E12" i="18"/>
  <c r="D12" i="18"/>
  <c r="C12" i="18"/>
  <c r="L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R44" i="14"/>
  <c r="E25" i="14"/>
  <c r="E55" i="14" s="1"/>
  <c r="C25" i="14"/>
  <c r="B14" i="48" s="1"/>
  <c r="Q26" i="14"/>
  <c r="P26" i="14"/>
  <c r="N26" i="14"/>
  <c r="L26" i="14"/>
  <c r="J26" i="14"/>
  <c r="I26" i="14"/>
  <c r="H26" i="14"/>
  <c r="E88" i="14" l="1"/>
  <c r="E18" i="59" s="1"/>
  <c r="K10" i="18"/>
  <c r="P25" i="48"/>
  <c r="O31" i="48"/>
  <c r="D14" i="48"/>
  <c r="D13" i="15"/>
  <c r="L6" i="17"/>
  <c r="N6" i="17"/>
  <c r="E10" i="59"/>
  <c r="B49" i="18"/>
  <c r="C53" i="18" s="1"/>
  <c r="C6" i="17"/>
  <c r="J9" i="18"/>
  <c r="J77" i="14" s="1"/>
  <c r="J9" i="59" s="1"/>
  <c r="K20" i="18"/>
  <c r="L10" i="59"/>
  <c r="B16" i="16"/>
  <c r="C49" i="18"/>
  <c r="E52"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3" i="18" l="1"/>
  <c r="H17" i="18" s="1"/>
  <c r="M87" i="14" s="1"/>
  <c r="Q14" i="48"/>
  <c r="D53" i="18"/>
  <c r="H53" i="18"/>
  <c r="E53" i="18"/>
  <c r="E17" i="18" s="1"/>
  <c r="E20" i="18" s="1"/>
  <c r="G78" i="14"/>
  <c r="B52" i="18"/>
  <c r="C8" i="18" s="1"/>
  <c r="D76" i="14" s="1"/>
  <c r="D8" i="59" s="1"/>
  <c r="D10" i="59" s="1"/>
  <c r="H52" i="18"/>
  <c r="F52" i="18"/>
  <c r="C52" i="18"/>
  <c r="I52" i="18"/>
  <c r="H8" i="18" s="1"/>
  <c r="M76" i="14" s="1"/>
  <c r="D52" i="18"/>
  <c r="B53" i="18"/>
  <c r="C17" i="18" s="1"/>
  <c r="D87" i="14" s="1"/>
  <c r="D17" i="59" s="1"/>
  <c r="D20" i="59" s="1"/>
  <c r="F53" i="18"/>
  <c r="O9" i="18"/>
  <c r="G53" i="18"/>
  <c r="G52" i="18"/>
  <c r="G20" i="59"/>
  <c r="Q77" i="14"/>
  <c r="P9" i="59" s="1"/>
  <c r="O90" i="14"/>
  <c r="O18" i="59"/>
  <c r="O20" i="59" s="1"/>
  <c r="B89" i="14"/>
  <c r="B19" i="59" s="1"/>
  <c r="G90" i="14"/>
  <c r="C89" i="14"/>
  <c r="C19" i="59" s="1"/>
  <c r="Q89" i="14"/>
  <c r="P19" i="59" s="1"/>
  <c r="H78" i="14"/>
  <c r="H9" i="59"/>
  <c r="H10" i="59" s="1"/>
  <c r="N90" i="14"/>
  <c r="N18" i="59"/>
  <c r="N20" i="59" s="1"/>
  <c r="C77" i="14"/>
  <c r="C9" i="59" s="1"/>
  <c r="H20" i="18"/>
  <c r="F76" i="14"/>
  <c r="E10" i="18"/>
  <c r="B88" i="14"/>
  <c r="B18" i="59" s="1"/>
  <c r="C88" i="14"/>
  <c r="C18" i="59" s="1"/>
  <c r="B77" i="14"/>
  <c r="B9" i="59" s="1"/>
  <c r="Q88" i="14"/>
  <c r="P18" i="59" s="1"/>
  <c r="H14" i="15"/>
  <c r="H16" i="15" s="1"/>
  <c r="G14" i="15"/>
  <c r="G16" i="15" s="1"/>
  <c r="J17" i="18" l="1"/>
  <c r="J87" i="14" s="1"/>
  <c r="J90" i="14" s="1"/>
  <c r="H10" i="14"/>
  <c r="H16" i="14" s="1"/>
  <c r="G5" i="48"/>
  <c r="H5" i="48"/>
  <c r="I10" i="14"/>
  <c r="I16" i="14" s="1"/>
  <c r="F87" i="14"/>
  <c r="F90" i="14" s="1"/>
  <c r="C10" i="18"/>
  <c r="I8" i="18"/>
  <c r="I10" i="18" s="1"/>
  <c r="H10" i="18"/>
  <c r="I17" i="18"/>
  <c r="I87" i="14" s="1"/>
  <c r="J8" i="18"/>
  <c r="C20" i="18"/>
  <c r="J20" i="18"/>
  <c r="M78" i="14"/>
  <c r="M8" i="59"/>
  <c r="M10" i="59" s="1"/>
  <c r="F78" i="14"/>
  <c r="F8" i="59"/>
  <c r="F10" i="59" s="1"/>
  <c r="M90" i="14"/>
  <c r="M17" i="59"/>
  <c r="M20" i="59" s="1"/>
  <c r="Q76" i="14"/>
  <c r="D78" i="14"/>
  <c r="D90" i="14"/>
  <c r="A31" i="23"/>
  <c r="A32" i="23"/>
  <c r="A33" i="23"/>
  <c r="Q87" i="14" l="1"/>
  <c r="J17" i="59"/>
  <c r="J20" i="59" s="1"/>
  <c r="F17" i="59"/>
  <c r="F20" i="59" s="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<sst xmlns="http://schemas.openxmlformats.org/spreadsheetml/2006/main" count="2526" uniqueCount="925">
  <si>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</si>
  <si>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</si>
  <si>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</si>
  <si>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</si>
  <si>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</si>
  <si>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</si>
  <si>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</si>
  <si>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</si>
  <si>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</si>
  <si>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</si>
  <si>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</si>
  <si>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</si>
  <si>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</si>
  <si>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</si>
  <si>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</si>
  <si>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</si>
  <si>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</si>
  <si>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</si>
  <si>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</si>
  <si>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</si>
  <si>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</si>
  <si>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</si>
  <si>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</si>
  <si>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</si>
  <si>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</si>
  <si>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</si>
  <si>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</si>
  <si>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</si>
  <si>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</si>
  <si>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</si>
  <si>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</si>
  <si>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</si>
  <si>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</si>
  <si>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</si>
  <si>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</si>
  <si>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</si>
  <si>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</si>
  <si>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</si>
  <si>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</si>
  <si>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</si>
  <si>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</si>
  <si>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</si>
  <si>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</si>
  <si>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</si>
  <si>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</si>
  <si>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</si>
  <si>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</si>
  <si>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</si>
  <si>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</si>
  <si>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</si>
  <si>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</si>
  <si>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</si>
  <si>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</si>
  <si>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</si>
  <si>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</si>
  <si>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</si>
  <si>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</si>
  <si>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</si>
  <si>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</si>
  <si>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</si>
  <si>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</si>
  <si>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</si>
  <si>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</si>
  <si>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</si>
  <si>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</si>
  <si>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</si>
  <si>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</si>
  <si>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</si>
  <si>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</si>
  <si>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</si>
  <si>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</si>
  <si>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</si>
  <si>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</si>
  <si>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</si>
  <si>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</si>
  <si>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</si>
  <si>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</si>
  <si>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</si>
  <si>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</si>
  <si>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</si>
  <si>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</si>
  <si>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</si>
  <si>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</si>
  <si>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</si>
  <si>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</si>
  <si>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</si>
  <si>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</si>
  <si>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</si>
  <si>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</si>
  <si>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</si>
  <si>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</si>
  <si>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</si>
  <si>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</si>
  <si>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</si>
  <si>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</si>
  <si>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</si>
  <si>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</si>
  <si>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</si>
  <si>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</si>
  <si>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</si>
  <si>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</si>
  <si>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</si>
  <si>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</si>
  <si>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</si>
  <si>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</si>
  <si>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</si>
  <si>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</si>
  <si>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</si>
  <si>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</si>
  <si>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</si>
  <si>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</si>
  <si>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</si>
  <si>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</si>
  <si>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</si>
  <si>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</si>
  <si>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</si>
  <si>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</si>
  <si>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</si>
  <si>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</si>
  <si>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</si>
  <si>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</si>
  <si>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</si>
  <si>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</si>
  <si>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</si>
  <si>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</si>
  <si>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</si>
  <si>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</si>
  <si>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</si>
  <si>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</si>
  <si>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</si>
  <si>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</si>
  <si>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</si>
  <si>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</si>
  <si>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</si>
  <si>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</si>
  <si>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</si>
  <si>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</si>
  <si>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</si>
  <si>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</si>
  <si>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</si>
  <si>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</si>
  <si>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</si>
  <si>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</si>
  <si>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</si>
  <si>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</si>
  <si>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</si>
  <si>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</si>
  <si>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</si>
  <si>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</si>
  <si>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</si>
  <si>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</si>
  <si>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</si>
  <si>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</si>
  <si>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</si>
  <si>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</si>
  <si>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</si>
  <si>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</si>
  <si>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</si>
  <si>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</si>
  <si>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</si>
  <si>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</si>
  <si>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</si>
  <si>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</si>
  <si>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</si>
  <si>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</si>
  <si>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</si>
  <si>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</si>
  <si>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</si>
  <si>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</si>
  <si>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</si>
  <si>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</si>
  <si>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</si>
  <si>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</si>
  <si>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</si>
  <si>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</si>
  <si>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</si>
  <si>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</si>
  <si>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</si>
  <si>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</si>
  <si>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</si>
  <si>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</si>
  <si>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</si>
  <si>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</si>
  <si>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</si>
  <si>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</si>
  <si>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</si>
  <si>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</si>
  <si>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</si>
  <si>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</si>
  <si>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</si>
  <si>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</si>
  <si>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</si>
  <si>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</si>
  <si>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</si>
  <si>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</si>
  <si>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</si>
  <si>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</si>
  <si>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</si>
  <si>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</si>
  <si>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</si>
  <si>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</si>
  <si>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</si>
  <si>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</si>
  <si>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</si>
  <si>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</si>
  <si>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</si>
  <si>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</si>
  <si>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</si>
  <si>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</si>
  <si>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</si>
  <si>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</si>
  <si>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</si>
  <si>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</si>
  <si>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</si>
  <si>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</si>
  <si>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</si>
  <si>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</si>
  <si>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</si>
  <si>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</si>
  <si>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</si>
  <si>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</si>
  <si>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</si>
  <si>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</si>
  <si>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</si>
  <si>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</si>
  <si>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</si>
  <si>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</si>
  <si>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</si>
  <si>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</si>
  <si>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</si>
  <si>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</si>
  <si>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</si>
  <si>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</si>
  <si>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</si>
  <si>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</si>
  <si>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</si>
  <si>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</si>
  <si>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</si>
  <si>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</si>
  <si>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</si>
  <si>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</si>
  <si>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</si>
  <si>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</si>
  <si>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</si>
  <si>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</si>
  <si>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</si>
  <si>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</si>
  <si>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</si>
  <si>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</si>
  <si>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</si>
  <si>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</si>
  <si>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</si>
  <si>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</si>
  <si>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</si>
  <si>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</si>
  <si>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</si>
  <si>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</si>
  <si>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</si>
  <si>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</si>
  <si>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</si>
  <si>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</si>
  <si>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</si>
  <si>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</si>
  <si>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</si>
  <si>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</si>
  <si>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</si>
  <si>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</si>
  <si>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</si>
  <si>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</si>
  <si>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</si>
  <si>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</si>
  <si>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</si>
  <si>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</si>
  <si>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</si>
  <si>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</si>
  <si>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</si>
  <si>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</si>
  <si>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</si>
  <si>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</si>
  <si>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</si>
  <si>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</si>
  <si>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</si>
  <si>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</si>
  <si>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</si>
  <si>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</si>
  <si>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</si>
  <si>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</si>
  <si>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</si>
  <si>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</si>
  <si>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</si>
  <si>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</si>
  <si>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</si>
  <si>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</si>
  <si>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</si>
  <si>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</si>
  <si>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</si>
  <si>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</si>
  <si>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</si>
  <si>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</si>
  <si>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</si>
  <si>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</si>
  <si>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</si>
  <si>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</si>
  <si>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</si>
  <si>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</si>
  <si>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</si>
  <si>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</si>
  <si>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</si>
  <si>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</si>
  <si>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</si>
  <si>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</si>
  <si>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</si>
  <si>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</si>
  <si>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</si>
  <si>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</si>
  <si>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</si>
  <si>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</si>
  <si>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</si>
  <si>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</si>
  <si>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</si>
  <si>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</si>
  <si>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</si>
  <si>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</si>
  <si>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</si>
  <si>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</si>
  <si>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</si>
  <si>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</si>
  <si>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</si>
  <si>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</si>
  <si>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</si>
  <si>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</si>
  <si>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</si>
  <si>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</si>
  <si>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</si>
  <si>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</si>
  <si>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</si>
  <si>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</si>
  <si>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</si>
  <si>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</si>
  <si>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</si>
  <si>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</si>
  <si>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</si>
  <si>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</si>
  <si>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</si>
  <si>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</si>
  <si>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</si>
  <si>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</si>
  <si>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</si>
  <si>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</si>
  <si>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</si>
  <si>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</si>
  <si>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</si>
  <si>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</si>
  <si>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</si>
  <si>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</si>
  <si>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</si>
  <si>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</si>
  <si>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</si>
  <si>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</si>
  <si>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</si>
  <si>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</si>
  <si>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</si>
  <si>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</si>
  <si>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</si>
  <si>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</si>
  <si>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</si>
  <si>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</si>
  <si>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</si>
  <si>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</si>
  <si>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</si>
  <si>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</si>
  <si>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</si>
  <si>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</si>
  <si>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</si>
  <si>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</si>
  <si>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</si>
  <si>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</si>
  <si>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</si>
  <si>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</si>
  <si>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</si>
  <si>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</si>
  <si>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</si>
  <si>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</si>
  <si>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</si>
  <si>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</si>
  <si>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</si>
  <si>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</si>
  <si>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</si>
  <si>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</si>
  <si>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</si>
  <si>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</si>
  <si>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</si>
  <si>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</si>
  <si>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</si>
  <si>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</si>
  <si>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</si>
  <si>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</si>
  <si>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</si>
  <si>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</si>
  <si>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</si>
  <si>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</si>
  <si>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</si>
  <si>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</si>
  <si>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</si>
  <si>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</si>
  <si>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</si>
  <si>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</si>
  <si>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</si>
  <si>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</si>
  <si>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</si>
  <si>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</si>
  <si>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</si>
  <si>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</si>
  <si>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</si>
  <si>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</si>
  <si>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</si>
  <si>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</si>
  <si>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</si>
  <si>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</si>
  <si>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</si>
  <si>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</si>
  <si>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</si>
  <si>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</si>
  <si>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</si>
  <si>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</si>
  <si>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</si>
  <si>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</si>
  <si>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</si>
  <si>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</si>
  <si>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</si>
  <si>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</si>
  <si>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</si>
  <si>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</si>
  <si>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</si>
  <si>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</si>
  <si>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</si>
  <si>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</si>
  <si>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</si>
  <si>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</si>
  <si>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</si>
  <si>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</si>
  <si>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</si>
  <si>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</si>
  <si>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</si>
  <si>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</si>
  <si>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</si>
  <si>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</si>
  <si>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</si>
  <si>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</si>
  <si>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</si>
  <si>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</si>
  <si>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</si>
  <si>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</si>
  <si>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</si>
  <si>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</si>
  <si>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</si>
  <si>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</si>
  <si>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</si>
  <si>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</si>
  <si>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</si>
  <si>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</si>
  <si>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</si>
  <si>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</si>
  <si>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</si>
  <si>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</si>
  <si>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</si>
  <si>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</si>
  <si>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</si>
  <si>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</si>
  <si>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</si>
  <si>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</si>
  <si>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</si>
  <si>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</si>
  <si>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</si>
  <si>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</si>
  <si>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</si>
  <si>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</si>
  <si>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</si>
  <si>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</si>
  <si>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</si>
  <si>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</si>
  <si>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</si>
  <si>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</si>
  <si>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</si>
  <si>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</si>
  <si>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</si>
  <si>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</si>
  <si>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</si>
  <si>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</si>
  <si>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</si>
  <si>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</si>
  <si>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</si>
  <si>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</si>
  <si>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</si>
  <si>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</si>
  <si>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</si>
  <si>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</si>
  <si>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</si>
  <si>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</si>
  <si>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</si>
  <si>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</si>
  <si>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</si>
  <si>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</si>
  <si>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</si>
  <si>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</si>
  <si>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</si>
  <si>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</si>
  <si>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</si>
  <si>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</si>
  <si>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</si>
  <si>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</si>
  <si>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</si>
  <si>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</si>
  <si>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</si>
  <si>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</si>
  <si>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</si>
  <si>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</si>
  <si>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</si>
  <si>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</si>
  <si>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</si>
  <si>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</si>
  <si>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</si>
  <si>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</si>
  <si>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</si>
  <si>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</si>
  <si>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</si>
  <si>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</si>
  <si>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</si>
  <si>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</si>
  <si>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</si>
  <si>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</si>
  <si>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</si>
  <si>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</si>
  <si>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</si>
  <si>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</si>
  <si>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</si>
  <si>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</si>
  <si>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</si>
  <si>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</si>
  <si>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</si>
  <si>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</si>
  <si>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</si>
  <si>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</si>
  <si>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</si>
  <si>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</si>
  <si>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</si>
  <si>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</si>
  <si>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</si>
  <si>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</si>
  <si>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</si>
  <si>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</si>
  <si>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</si>
  <si>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</si>
  <si>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</si>
  <si>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</si>
  <si>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</si>
  <si>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</si>
  <si>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</si>
  <si>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</si>
  <si>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</si>
  <si>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</si>
  <si>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</si>
  <si>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</si>
  <si>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</si>
  <si>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</si>
  <si>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</si>
  <si>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</si>
  <si>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</si>
  <si>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</si>
  <si>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</si>
  <si>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</si>
  <si>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</si>
  <si>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</si>
  <si>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</si>
  <si>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</si>
  <si>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</si>
  <si>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</si>
  <si>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</si>
  <si>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</si>
  <si>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</si>
  <si>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</si>
  <si>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</si>
  <si>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</si>
  <si>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</si>
  <si>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</si>
  <si>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</si>
  <si>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</si>
  <si>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</si>
  <si>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</si>
  <si>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</si>
  <si>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</si>
  <si>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</si>
  <si>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</si>
  <si>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</si>
  <si>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</si>
  <si>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</si>
  <si>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</si>
  <si>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</si>
  <si>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</si>
  <si>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</si>
  <si>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</si>
  <si>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</si>
  <si>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</si>
  <si>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</si>
  <si>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</si>
  <si>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</si>
  <si>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</si>
  <si>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</si>
  <si>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</si>
  <si>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</si>
  <si>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</si>
  <si>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</si>
  <si>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</si>
  <si>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</si>
  <si>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</si>
  <si>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</si>
  <si>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</si>
  <si>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</si>
  <si>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</si>
  <si>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</si>
  <si>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</si>
  <si>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</si>
  <si>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</si>
  <si>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</si>
  <si>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</si>
  <si>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</si>
  <si>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</si>
  <si>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</si>
  <si>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</si>
  <si>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</si>
  <si>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</si>
  <si>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</si>
  <si>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</si>
  <si>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</si>
  <si>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</si>
  <si>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</si>
  <si>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</si>
  <si>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</si>
  <si>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</si>
  <si>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</si>
  <si>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</si>
  <si>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</si>
  <si>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</si>
  <si>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</si>
  <si>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</si>
  <si>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</si>
  <si>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</si>
  <si>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</si>
  <si>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</si>
  <si>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</si>
  <si>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</si>
  <si>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</si>
  <si>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</si>
  <si>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</si>
  <si>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</si>
  <si>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</si>
  <si>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</si>
  <si>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</si>
  <si>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</si>
  <si>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</si>
  <si>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</si>
  <si>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</si>
  <si>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</si>
  <si>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</si>
  <si>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</si>
  <si>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</si>
  <si>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</si>
  <si>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</si>
  <si>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</si>
  <si>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</si>
  <si>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</si>
  <si>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</si>
  <si>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</si>
  <si>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</si>
  <si>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</si>
  <si>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</si>
  <si>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</si>
  <si>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</si>
  <si>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</si>
  <si>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</si>
  <si>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</si>
  <si>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</si>
  <si>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</si>
  <si>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</si>
  <si>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</si>
  <si>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</si>
  <si>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</si>
  <si>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</si>
  <si>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</si>
  <si>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</si>
  <si>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</si>
  <si>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</si>
  <si>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</si>
  <si>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</si>
  <si>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</si>
  <si>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</si>
  <si>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</si>
  <si>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</si>
  <si>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</si>
  <si>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</si>
  <si>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</si>
  <si>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</si>
  <si>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</si>
  <si>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</si>
  <si>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</si>
  <si>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</si>
  <si>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</si>
  <si>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</si>
  <si>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</si>
  <si>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</si>
  <si>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</si>
  <si>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</si>
  <si>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</si>
  <si>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</si>
  <si>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</si>
  <si>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</si>
  <si>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</si>
  <si>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</si>
  <si>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</si>
  <si>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</si>
  <si>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</si>
  <si>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</si>
  <si>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</si>
  <si>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</si>
  <si>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</si>
  <si>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</si>
  <si>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</si>
  <si>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</si>
  <si>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</si>
  <si>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</si>
  <si>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</si>
  <si>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</si>
  <si>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</si>
  <si>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</si>
  <si>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</si>
  <si>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</si>
  <si>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</si>
  <si>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</si>
  <si>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</si>
  <si>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</si>
  <si>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</si>
  <si>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</si>
  <si>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</si>
  <si>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</si>
  <si>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</si>
  <si>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</si>
  <si>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</si>
  <si>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</si>
  <si>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</si>
  <si>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</si>
  <si>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</si>
  <si>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</si>
  <si>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</si>
  <si>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</si>
  <si>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</si>
  <si>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</si>
  <si>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</si>
  <si>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</si>
  <si>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</si>
  <si>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</si>
  <si>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</si>
  <si>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</si>
  <si>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</si>
  <si>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</si>
  <si>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</si>
  <si>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</si>
  <si>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</si>
  <si>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</si>
  <si>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</si>
  <si>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</si>
  <si>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</si>
  <si>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</si>
  <si>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</si>
  <si>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</si>
  <si>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</si>
  <si>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</si>
  <si>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</si>
  <si>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</si>
  <si>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</si>
  <si>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</si>
  <si>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</si>
  <si>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</si>
  <si>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</si>
  <si>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</si>
  <si>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</si>
  <si>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</si>
  <si>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</si>
  <si>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</si>
  <si>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</si>
  <si>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</si>
  <si>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</si>
  <si>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</si>
  <si>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</si>
  <si>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</si>
  <si>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</si>
  <si>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</si>
  <si>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</si>
  <si>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</si>
  <si>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</si>
  <si>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</si>
  <si>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</si>
  <si>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</si>
  <si>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</si>
  <si>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</si>
  <si>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</si>
  <si>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</si>
  <si>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</si>
  <si>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</si>
  <si>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</si>
  <si>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</si>
  <si>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</si>
  <si>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</si>
  <si>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</si>
  <si>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</si>
  <si>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</si>
  <si>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</si>
  <si>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</si>
  <si>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</si>
  <si>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</si>
  <si>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</si>
  <si>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</si>
  <si>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</si>
  <si>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</si>
  <si>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</si>
  <si>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</si>
  <si>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</si>
  <si>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</si>
  <si>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</si>
  <si>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</si>
  <si>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</si>
  <si>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</si>
  <si>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</si>
  <si>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</si>
  <si>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</si>
  <si>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</si>
  <si>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</si>
  <si>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</si>
  <si>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</si>
  <si>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</si>
  <si>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</si>
  <si>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</si>
  <si>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</si>
  <si>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</si>
  <si>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</si>
  <si>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</si>
  <si>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</si>
  <si>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</si>
  <si>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</si>
  <si>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</si>
  <si>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</si>
  <si>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</si>
  <si>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</si>
  <si>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</si>
  <si>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</si>
  <si>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</si>
  <si>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</si>
  <si>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</si>
  <si>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</si>
  <si>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</si>
  <si>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</si>
  <si>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</si>
  <si>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</si>
  <si>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</si>
  <si>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</si>
  <si>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</si>
  <si>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</si>
  <si>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</si>
  <si>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</si>
  <si>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</si>
  <si>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</si>
  <si>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</si>
  <si>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</si>
  <si>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</si>
  <si>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</si>
  <si>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</si>
  <si>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</si>
  <si>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</si>
  <si>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</si>
  <si>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</si>
  <si>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</si>
  <si>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</si>
  <si>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</si>
  <si>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</si>
  <si>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</si>
  <si>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</si>
  <si>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</si>
  <si>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</si>
  <si>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</si>
  <si>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</si>
  <si>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</si>
  <si>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</si>
  <si>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</si>
  <si>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</si>
  <si>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</si>
  <si>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</si>
  <si>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</si>
  <si>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</si>
  <si>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</si>
  <si>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</si>
  <si>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</si>
  <si>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</si>
  <si>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</si>
  <si>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</si>
  <si>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</si>
  <si>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</si>
  <si>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</si>
  <si>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</si>
  <si>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</si>
  <si>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</si>
  <si>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</si>
  <si>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</si>
  <si>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</si>
  <si>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</si>
  <si>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</si>
  <si>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</si>
  <si>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</si>
  <si>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13035</t>
  </si>
  <si>
    <t>RAVELS</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</si>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</sst>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D64512C-34C4-43D6-8CDF-39ACE7CD06F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131802.61152365946</c:v>
                </c:pt>
                <c:pt idx="1">
                  <c:v>29177.572257003816</c:v>
                </c:pt>
                <c:pt idx="2">
                  <c:v>1022.272</c:v>
                </c:pt>
                <c:pt idx="3">
                  <c:v>98384.240814851626</c:v>
                </c:pt>
                <c:pt idx="4">
                  <c:v>95714.947159118834</c:v>
                </c:pt>
                <c:pt idx="5">
                  <c:v>66589.533870024636</c:v>
                </c:pt>
                <c:pt idx="6">
                  <c:v>1455.2466708643065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131802.61152365946</c:v>
                </c:pt>
                <c:pt idx="1">
                  <c:v>29177.572257003816</c:v>
                </c:pt>
                <c:pt idx="2">
                  <c:v>1022.272</c:v>
                </c:pt>
                <c:pt idx="3">
                  <c:v>98384.240814851626</c:v>
                </c:pt>
                <c:pt idx="4">
                  <c:v>95714.947159118834</c:v>
                </c:pt>
                <c:pt idx="5">
                  <c:v>66589.533870024636</c:v>
                </c:pt>
                <c:pt idx="6">
                  <c:v>1455.2466708643065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27761.051909721769</c:v>
                </c:pt>
                <c:pt idx="2">
                  <c:v>5858.3322015787517</c:v>
                </c:pt>
                <c:pt idx="3">
                  <c:v>210.7498166462089</c:v>
                </c:pt>
                <c:pt idx="4">
                  <c:v>23487.649247610116</c:v>
                </c:pt>
                <c:pt idx="5">
                  <c:v>19902.891069078178</c:v>
                </c:pt>
                <c:pt idx="6">
                  <c:v>16690.700941145496</c:v>
                </c:pt>
                <c:pt idx="7">
                  <c:v>367.06573295148502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27761.051909721769</c:v>
                </c:pt>
                <c:pt idx="2">
                  <c:v>5858.3322015787517</c:v>
                </c:pt>
                <c:pt idx="3">
                  <c:v>210.7498166462089</c:v>
                </c:pt>
                <c:pt idx="4">
                  <c:v>23487.649247610116</c:v>
                </c:pt>
                <c:pt idx="5">
                  <c:v>19902.891069078178</c:v>
                </c:pt>
                <c:pt idx="6">
                  <c:v>16690.700941145496</c:v>
                </c:pt>
                <c:pt idx="7">
                  <c:v>367.06573295148502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13035</v>
      </c>
      <c r="B6" s="383"/>
      <c r="C6" s="384"/>
    </row>
    <row r="7" spans="1:7" s="381" customFormat="1" ht="15.75" customHeight="1">
      <c r="A7" s="385" t="str">
        <f>txtMunicipality</f>
        <v>RAVELS</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13003.18172</v>
      </c>
      <c r="D10" s="983">
        <f ca="1">tertiair!C16</f>
        <v>0</v>
      </c>
      <c r="E10" s="983">
        <f ca="1">tertiair!D16</f>
        <v>14094.421155667449</v>
      </c>
      <c r="F10" s="983">
        <f>tertiair!E16</f>
        <v>127.27289235886425</v>
      </c>
      <c r="G10" s="983">
        <f ca="1">tertiair!F16</f>
        <v>1919.1186587586287</v>
      </c>
      <c r="H10" s="983">
        <f>tertiair!G16</f>
        <v>0</v>
      </c>
      <c r="I10" s="983">
        <f>tertiair!H16</f>
        <v>0</v>
      </c>
      <c r="J10" s="983">
        <f>tertiair!I16</f>
        <v>0</v>
      </c>
      <c r="K10" s="983">
        <f>tertiair!J16</f>
        <v>0</v>
      </c>
      <c r="L10" s="983">
        <f>tertiair!K16</f>
        <v>0</v>
      </c>
      <c r="M10" s="983">
        <f ca="1">tertiair!L16</f>
        <v>0</v>
      </c>
      <c r="N10" s="983">
        <f>tertiair!M16</f>
        <v>0</v>
      </c>
      <c r="O10" s="983">
        <f ca="1">tertiair!N16</f>
        <v>1051.1598302188766</v>
      </c>
      <c r="P10" s="983">
        <f>tertiair!O16</f>
        <v>4.6900000000000004</v>
      </c>
      <c r="Q10" s="984">
        <f>tertiair!P16</f>
        <v>0</v>
      </c>
      <c r="R10" s="667">
        <f ca="1">SUM(C10:Q10)</f>
        <v>30199.844257003817</v>
      </c>
      <c r="S10" s="67"/>
    </row>
    <row r="11" spans="1:19" s="440" customFormat="1">
      <c r="A11" s="776" t="s">
        <v>214</v>
      </c>
      <c r="B11" s="781"/>
      <c r="C11" s="983">
        <f>huishoudens!B8</f>
        <v>27547.069689470227</v>
      </c>
      <c r="D11" s="983">
        <f>huishoudens!C8</f>
        <v>0</v>
      </c>
      <c r="E11" s="983">
        <f>huishoudens!D8</f>
        <v>56551.65022716565</v>
      </c>
      <c r="F11" s="983">
        <f>huishoudens!E8</f>
        <v>1196.1874753048614</v>
      </c>
      <c r="G11" s="983">
        <f>huishoudens!F8</f>
        <v>37735.982973860569</v>
      </c>
      <c r="H11" s="983">
        <f>huishoudens!G8</f>
        <v>0</v>
      </c>
      <c r="I11" s="983">
        <f>huishoudens!H8</f>
        <v>0</v>
      </c>
      <c r="J11" s="983">
        <f>huishoudens!I8</f>
        <v>0</v>
      </c>
      <c r="K11" s="983">
        <f>huishoudens!J8</f>
        <v>880.00169742036701</v>
      </c>
      <c r="L11" s="983">
        <f>huishoudens!K8</f>
        <v>0</v>
      </c>
      <c r="M11" s="983">
        <f>huishoudens!L8</f>
        <v>0</v>
      </c>
      <c r="N11" s="983">
        <f>huishoudens!M8</f>
        <v>0</v>
      </c>
      <c r="O11" s="983">
        <f>huishoudens!N8</f>
        <v>6743.2761271044492</v>
      </c>
      <c r="P11" s="983">
        <f>huishoudens!O8</f>
        <v>214.17666666666668</v>
      </c>
      <c r="Q11" s="984">
        <f>huishoudens!P8</f>
        <v>934.26666666666665</v>
      </c>
      <c r="R11" s="667">
        <f>SUM(C11:Q11)</f>
        <v>131802.61152365946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31876.042999999998</v>
      </c>
      <c r="D13" s="983">
        <f>industrie!C18</f>
        <v>0</v>
      </c>
      <c r="E13" s="983">
        <f>industrie!D18</f>
        <v>26928.724003129955</v>
      </c>
      <c r="F13" s="983">
        <f>industrie!E18</f>
        <v>1468.1385394809267</v>
      </c>
      <c r="G13" s="983">
        <f>industrie!F18</f>
        <v>27847.615049017855</v>
      </c>
      <c r="H13" s="983">
        <f>industrie!G18</f>
        <v>0</v>
      </c>
      <c r="I13" s="983">
        <f>industrie!H18</f>
        <v>0</v>
      </c>
      <c r="J13" s="983">
        <f>industrie!I18</f>
        <v>0</v>
      </c>
      <c r="K13" s="983">
        <f>industrie!J18</f>
        <v>348.01863584330857</v>
      </c>
      <c r="L13" s="983">
        <f>industrie!K18</f>
        <v>0</v>
      </c>
      <c r="M13" s="983">
        <f>industrie!L18</f>
        <v>0</v>
      </c>
      <c r="N13" s="983">
        <f>industrie!M18</f>
        <v>0</v>
      </c>
      <c r="O13" s="983">
        <f>industrie!N18</f>
        <v>7246.4079316467905</v>
      </c>
      <c r="P13" s="983">
        <f>industrie!O18</f>
        <v>0</v>
      </c>
      <c r="Q13" s="984">
        <f>industrie!P18</f>
        <v>0</v>
      </c>
      <c r="R13" s="667">
        <f>SUM(C13:Q13)</f>
        <v>95714.947159118834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72426.294409470225</v>
      </c>
      <c r="D16" s="699">
        <f t="shared" ref="D16:R16" ca="1" si="0">SUM(D9:D15)</f>
        <v>0</v>
      </c>
      <c r="E16" s="699">
        <f t="shared" ca="1" si="0"/>
        <v>97574.795385963051</v>
      </c>
      <c r="F16" s="699">
        <f t="shared" si="0"/>
        <v>2791.5989071446525</v>
      </c>
      <c r="G16" s="699">
        <f t="shared" ca="1" si="0"/>
        <v>67502.716681637045</v>
      </c>
      <c r="H16" s="699">
        <f t="shared" si="0"/>
        <v>0</v>
      </c>
      <c r="I16" s="699">
        <f t="shared" si="0"/>
        <v>0</v>
      </c>
      <c r="J16" s="699">
        <f t="shared" si="0"/>
        <v>0</v>
      </c>
      <c r="K16" s="699">
        <f t="shared" si="0"/>
        <v>1228.0203332636756</v>
      </c>
      <c r="L16" s="699">
        <f t="shared" si="0"/>
        <v>0</v>
      </c>
      <c r="M16" s="699">
        <f t="shared" ca="1" si="0"/>
        <v>0</v>
      </c>
      <c r="N16" s="699">
        <f t="shared" si="0"/>
        <v>0</v>
      </c>
      <c r="O16" s="699">
        <f t="shared" ca="1" si="0"/>
        <v>15040.843888970117</v>
      </c>
      <c r="P16" s="699">
        <f t="shared" si="0"/>
        <v>218.86666666666667</v>
      </c>
      <c r="Q16" s="699">
        <f t="shared" si="0"/>
        <v>934.26666666666665</v>
      </c>
      <c r="R16" s="699">
        <f t="shared" ca="1" si="0"/>
        <v>257717.40293978213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7.2258264130687584</v>
      </c>
      <c r="D19" s="983">
        <f>transport!C54</f>
        <v>0</v>
      </c>
      <c r="E19" s="983">
        <f>transport!D54</f>
        <v>0</v>
      </c>
      <c r="F19" s="983">
        <f>transport!E54</f>
        <v>0</v>
      </c>
      <c r="G19" s="983">
        <f>transport!F54</f>
        <v>0</v>
      </c>
      <c r="H19" s="983">
        <f>transport!G54</f>
        <v>1369.1987608687509</v>
      </c>
      <c r="I19" s="983">
        <f>transport!H54</f>
        <v>0</v>
      </c>
      <c r="J19" s="983">
        <f>transport!I54</f>
        <v>0</v>
      </c>
      <c r="K19" s="983">
        <f>transport!J54</f>
        <v>0</v>
      </c>
      <c r="L19" s="983">
        <f>transport!K54</f>
        <v>0</v>
      </c>
      <c r="M19" s="983">
        <f>transport!L54</f>
        <v>0</v>
      </c>
      <c r="N19" s="983">
        <f>transport!M54</f>
        <v>78.822083582486769</v>
      </c>
      <c r="O19" s="983">
        <f>transport!N54</f>
        <v>0</v>
      </c>
      <c r="P19" s="983">
        <f>transport!O54</f>
        <v>0</v>
      </c>
      <c r="Q19" s="984">
        <f>transport!P54</f>
        <v>0</v>
      </c>
      <c r="R19" s="667">
        <f>SUM(C19:Q19)</f>
        <v>1455.2466708643065</v>
      </c>
      <c r="S19" s="67"/>
    </row>
    <row r="20" spans="1:19" s="440" customFormat="1">
      <c r="A20" s="776" t="s">
        <v>296</v>
      </c>
      <c r="B20" s="781"/>
      <c r="C20" s="983">
        <f>transport!B14</f>
        <v>10.467285095064424</v>
      </c>
      <c r="D20" s="983">
        <f>transport!C14</f>
        <v>0</v>
      </c>
      <c r="E20" s="983">
        <f>transport!D14</f>
        <v>17.105530727227432</v>
      </c>
      <c r="F20" s="983">
        <f>transport!E14</f>
        <v>165.89410399924006</v>
      </c>
      <c r="G20" s="983">
        <f>transport!F14</f>
        <v>0</v>
      </c>
      <c r="H20" s="983">
        <f>transport!G14</f>
        <v>53177.810898973054</v>
      </c>
      <c r="I20" s="983">
        <f>transport!H14</f>
        <v>9835.1575703777999</v>
      </c>
      <c r="J20" s="983">
        <f>transport!I14</f>
        <v>0</v>
      </c>
      <c r="K20" s="983">
        <f>transport!J14</f>
        <v>0</v>
      </c>
      <c r="L20" s="983">
        <f>transport!K14</f>
        <v>0</v>
      </c>
      <c r="M20" s="983">
        <f>transport!L14</f>
        <v>0</v>
      </c>
      <c r="N20" s="983">
        <f>transport!M14</f>
        <v>3383.0984808522503</v>
      </c>
      <c r="O20" s="983">
        <f>transport!N14</f>
        <v>0</v>
      </c>
      <c r="P20" s="983">
        <f>transport!O14</f>
        <v>0</v>
      </c>
      <c r="Q20" s="984">
        <f>transport!P14</f>
        <v>0</v>
      </c>
      <c r="R20" s="667">
        <f>SUM(C20:Q20)</f>
        <v>66589.533870024636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17.693111508133182</v>
      </c>
      <c r="D22" s="779">
        <f t="shared" ref="D22:R22" si="1">SUM(D18:D21)</f>
        <v>0</v>
      </c>
      <c r="E22" s="779">
        <f t="shared" si="1"/>
        <v>17.105530727227432</v>
      </c>
      <c r="F22" s="779">
        <f t="shared" si="1"/>
        <v>165.89410399924006</v>
      </c>
      <c r="G22" s="779">
        <f t="shared" si="1"/>
        <v>0</v>
      </c>
      <c r="H22" s="779">
        <f t="shared" si="1"/>
        <v>54547.009659841802</v>
      </c>
      <c r="I22" s="779">
        <f t="shared" si="1"/>
        <v>9835.1575703777999</v>
      </c>
      <c r="J22" s="779">
        <f t="shared" si="1"/>
        <v>0</v>
      </c>
      <c r="K22" s="779">
        <f t="shared" si="1"/>
        <v>0</v>
      </c>
      <c r="L22" s="779">
        <f t="shared" si="1"/>
        <v>0</v>
      </c>
      <c r="M22" s="779">
        <f t="shared" si="1"/>
        <v>0</v>
      </c>
      <c r="N22" s="779">
        <f t="shared" si="1"/>
        <v>3461.9205644347371</v>
      </c>
      <c r="O22" s="779">
        <f t="shared" si="1"/>
        <v>0</v>
      </c>
      <c r="P22" s="779">
        <f t="shared" si="1"/>
        <v>0</v>
      </c>
      <c r="Q22" s="779">
        <f t="shared" si="1"/>
        <v>0</v>
      </c>
      <c r="R22" s="779">
        <f t="shared" si="1"/>
        <v>68044.78054088894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10189.7988</v>
      </c>
      <c r="D24" s="983">
        <f>+landbouw!C8</f>
        <v>46741.28571428571</v>
      </c>
      <c r="E24" s="983">
        <f>+landbouw!D8</f>
        <v>13943.103531394401</v>
      </c>
      <c r="F24" s="983">
        <f>+landbouw!E8</f>
        <v>94.382184365649195</v>
      </c>
      <c r="G24" s="983">
        <f>+landbouw!F8</f>
        <v>25853.460710279356</v>
      </c>
      <c r="H24" s="983">
        <f>+landbouw!G8</f>
        <v>0</v>
      </c>
      <c r="I24" s="983">
        <f>+landbouw!H8</f>
        <v>0</v>
      </c>
      <c r="J24" s="983">
        <f>+landbouw!I8</f>
        <v>0</v>
      </c>
      <c r="K24" s="983">
        <f>+landbouw!J8</f>
        <v>1562.2098745265064</v>
      </c>
      <c r="L24" s="983">
        <f>+landbouw!K8</f>
        <v>0</v>
      </c>
      <c r="M24" s="983">
        <f>+landbouw!L8</f>
        <v>0</v>
      </c>
      <c r="N24" s="983">
        <f>+landbouw!M8</f>
        <v>0</v>
      </c>
      <c r="O24" s="983">
        <f>+landbouw!N8</f>
        <v>0</v>
      </c>
      <c r="P24" s="983">
        <f>+landbouw!O8</f>
        <v>0</v>
      </c>
      <c r="Q24" s="984">
        <f>+landbouw!P8</f>
        <v>0</v>
      </c>
      <c r="R24" s="667">
        <f>SUM(C24:Q24)</f>
        <v>98384.240814851626</v>
      </c>
      <c r="S24" s="67"/>
    </row>
    <row r="25" spans="1:19" s="440" customFormat="1" ht="15" thickBot="1">
      <c r="A25" s="798" t="s">
        <v>829</v>
      </c>
      <c r="B25" s="986"/>
      <c r="C25" s="987">
        <f>IF(Onbekend_ele_kWh="---",0,Onbekend_ele_kWh)/1000+IF(REST_rest_ele_kWh="---",0,REST_rest_ele_kWh)/1000</f>
        <v>1037.6769999999999</v>
      </c>
      <c r="D25" s="987"/>
      <c r="E25" s="987">
        <f>IF(onbekend_gas_kWh="---",0,onbekend_gas_kWh)/1000+IF(REST_rest_gas_kWh="---",0,REST_rest_gas_kWh)/1000</f>
        <v>1862.4708369580201</v>
      </c>
      <c r="F25" s="987"/>
      <c r="G25" s="987"/>
      <c r="H25" s="987"/>
      <c r="I25" s="987"/>
      <c r="J25" s="987"/>
      <c r="K25" s="987"/>
      <c r="L25" s="987"/>
      <c r="M25" s="987"/>
      <c r="N25" s="987"/>
      <c r="O25" s="987"/>
      <c r="P25" s="987"/>
      <c r="Q25" s="988"/>
      <c r="R25" s="667">
        <f>SUM(C25:Q25)</f>
        <v>2900.14783695802</v>
      </c>
      <c r="S25" s="67"/>
    </row>
    <row r="26" spans="1:19" s="440" customFormat="1" ht="15.75" thickBot="1">
      <c r="A26" s="672" t="s">
        <v>830</v>
      </c>
      <c r="B26" s="784"/>
      <c r="C26" s="779">
        <f>SUM(C24:C25)</f>
        <v>11227.4758</v>
      </c>
      <c r="D26" s="779">
        <f t="shared" ref="D26:R26" si="2">SUM(D24:D25)</f>
        <v>46741.28571428571</v>
      </c>
      <c r="E26" s="779">
        <f t="shared" si="2"/>
        <v>15805.574368352422</v>
      </c>
      <c r="F26" s="779">
        <f t="shared" si="2"/>
        <v>94.382184365649195</v>
      </c>
      <c r="G26" s="779">
        <f t="shared" si="2"/>
        <v>25853.460710279356</v>
      </c>
      <c r="H26" s="779">
        <f t="shared" si="2"/>
        <v>0</v>
      </c>
      <c r="I26" s="779">
        <f t="shared" si="2"/>
        <v>0</v>
      </c>
      <c r="J26" s="779">
        <f t="shared" si="2"/>
        <v>0</v>
      </c>
      <c r="K26" s="779">
        <f t="shared" si="2"/>
        <v>1562.2098745265064</v>
      </c>
      <c r="L26" s="779">
        <f t="shared" si="2"/>
        <v>0</v>
      </c>
      <c r="M26" s="779">
        <f t="shared" si="2"/>
        <v>0</v>
      </c>
      <c r="N26" s="779">
        <f t="shared" si="2"/>
        <v>0</v>
      </c>
      <c r="O26" s="779">
        <f t="shared" si="2"/>
        <v>0</v>
      </c>
      <c r="P26" s="779">
        <f t="shared" si="2"/>
        <v>0</v>
      </c>
      <c r="Q26" s="779">
        <f t="shared" si="2"/>
        <v>0</v>
      </c>
      <c r="R26" s="779">
        <f t="shared" si="2"/>
        <v>101284.38865180964</v>
      </c>
      <c r="S26" s="67"/>
    </row>
    <row r="27" spans="1:19" s="440" customFormat="1" ht="17.25" thickTop="1" thickBot="1">
      <c r="A27" s="673" t="s">
        <v>109</v>
      </c>
      <c r="B27" s="772"/>
      <c r="C27" s="674">
        <f ca="1">C22+C16+C26</f>
        <v>83671.463320978364</v>
      </c>
      <c r="D27" s="674">
        <f t="shared" ref="D27:R27" ca="1" si="3">D22+D16+D26</f>
        <v>46741.28571428571</v>
      </c>
      <c r="E27" s="674">
        <f t="shared" ca="1" si="3"/>
        <v>113397.4752850427</v>
      </c>
      <c r="F27" s="674">
        <f t="shared" si="3"/>
        <v>3051.8751955095418</v>
      </c>
      <c r="G27" s="674">
        <f t="shared" ca="1" si="3"/>
        <v>93356.177391916397</v>
      </c>
      <c r="H27" s="674">
        <f t="shared" si="3"/>
        <v>54547.009659841802</v>
      </c>
      <c r="I27" s="674">
        <f t="shared" si="3"/>
        <v>9835.1575703777999</v>
      </c>
      <c r="J27" s="674">
        <f t="shared" si="3"/>
        <v>0</v>
      </c>
      <c r="K27" s="674">
        <f t="shared" si="3"/>
        <v>2790.2302077901822</v>
      </c>
      <c r="L27" s="674">
        <f t="shared" si="3"/>
        <v>0</v>
      </c>
      <c r="M27" s="674">
        <f t="shared" ca="1" si="3"/>
        <v>0</v>
      </c>
      <c r="N27" s="674">
        <f t="shared" si="3"/>
        <v>3461.9205644347371</v>
      </c>
      <c r="O27" s="674">
        <f t="shared" ca="1" si="3"/>
        <v>15040.843888970117</v>
      </c>
      <c r="P27" s="674">
        <f t="shared" si="3"/>
        <v>218.86666666666667</v>
      </c>
      <c r="Q27" s="674">
        <f t="shared" si="3"/>
        <v>934.26666666666665</v>
      </c>
      <c r="R27" s="674">
        <f t="shared" ca="1" si="3"/>
        <v>427046.57213248074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2680.7133163261196</v>
      </c>
      <c r="D40" s="983">
        <f ca="1">tertiair!C20</f>
        <v>0</v>
      </c>
      <c r="E40" s="983">
        <f ca="1">tertiair!D20</f>
        <v>2847.0730734448248</v>
      </c>
      <c r="F40" s="983">
        <f>tertiair!E20</f>
        <v>28.890946565462187</v>
      </c>
      <c r="G40" s="983">
        <f ca="1">tertiair!F20</f>
        <v>512.40468188855391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6069.0820182249608</v>
      </c>
    </row>
    <row r="41" spans="1:18">
      <c r="A41" s="789" t="s">
        <v>214</v>
      </c>
      <c r="B41" s="796"/>
      <c r="C41" s="983">
        <f ca="1">huishoudens!B12</f>
        <v>5679.0559520325205</v>
      </c>
      <c r="D41" s="983">
        <f ca="1">huishoudens!C12</f>
        <v>0</v>
      </c>
      <c r="E41" s="983">
        <f>huishoudens!D12</f>
        <v>11423.433345887463</v>
      </c>
      <c r="F41" s="983">
        <f>huishoudens!E12</f>
        <v>271.53455689420355</v>
      </c>
      <c r="G41" s="983">
        <f>huishoudens!F12</f>
        <v>10075.507454020773</v>
      </c>
      <c r="H41" s="983">
        <f>huishoudens!G12</f>
        <v>0</v>
      </c>
      <c r="I41" s="983">
        <f>huishoudens!H12</f>
        <v>0</v>
      </c>
      <c r="J41" s="983">
        <f>huishoudens!I12</f>
        <v>0</v>
      </c>
      <c r="K41" s="983">
        <f>huishoudens!J12</f>
        <v>311.52060088680992</v>
      </c>
      <c r="L41" s="983">
        <f>huishoudens!K12</f>
        <v>0</v>
      </c>
      <c r="M41" s="983">
        <f>huishoudens!L12</f>
        <v>0</v>
      </c>
      <c r="N41" s="983">
        <f>huishoudens!M12</f>
        <v>0</v>
      </c>
      <c r="O41" s="983">
        <f>huishoudens!N12</f>
        <v>0</v>
      </c>
      <c r="P41" s="983">
        <f>huishoudens!O12</f>
        <v>0</v>
      </c>
      <c r="Q41" s="741">
        <f>huishoudens!P12</f>
        <v>0</v>
      </c>
      <c r="R41" s="817">
        <f t="shared" ca="1" si="4"/>
        <v>27761.051909721769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6571.5095568074548</v>
      </c>
      <c r="D43" s="983">
        <f ca="1">industrie!C22</f>
        <v>0</v>
      </c>
      <c r="E43" s="983">
        <f>industrie!D22</f>
        <v>5439.6022486322518</v>
      </c>
      <c r="F43" s="983">
        <f>industrie!E22</f>
        <v>333.26744846217036</v>
      </c>
      <c r="G43" s="983">
        <f>industrie!F22</f>
        <v>7435.3132180877674</v>
      </c>
      <c r="H43" s="983">
        <f>industrie!G22</f>
        <v>0</v>
      </c>
      <c r="I43" s="983">
        <f>industrie!H22</f>
        <v>0</v>
      </c>
      <c r="J43" s="983">
        <f>industrie!I22</f>
        <v>0</v>
      </c>
      <c r="K43" s="983">
        <f>industrie!J22</f>
        <v>123.19859708853123</v>
      </c>
      <c r="L43" s="983">
        <f>industrie!K22</f>
        <v>0</v>
      </c>
      <c r="M43" s="983">
        <f>industrie!L22</f>
        <v>0</v>
      </c>
      <c r="N43" s="983">
        <f>industrie!M22</f>
        <v>0</v>
      </c>
      <c r="O43" s="983">
        <f>industrie!N22</f>
        <v>0</v>
      </c>
      <c r="P43" s="983">
        <f>industrie!O22</f>
        <v>0</v>
      </c>
      <c r="Q43" s="741">
        <f>industrie!P22</f>
        <v>0</v>
      </c>
      <c r="R43" s="816">
        <f t="shared" ca="1" si="4"/>
        <v>19902.891069078178</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14931.278825166093</v>
      </c>
      <c r="D46" s="699">
        <f t="shared" ref="D46:Q46" ca="1" si="5">SUM(D39:D45)</f>
        <v>0</v>
      </c>
      <c r="E46" s="699">
        <f t="shared" ca="1" si="5"/>
        <v>19710.108667964538</v>
      </c>
      <c r="F46" s="699">
        <f t="shared" si="5"/>
        <v>633.69295192183608</v>
      </c>
      <c r="G46" s="699">
        <f t="shared" ca="1" si="5"/>
        <v>18023.225353997095</v>
      </c>
      <c r="H46" s="699">
        <f t="shared" si="5"/>
        <v>0</v>
      </c>
      <c r="I46" s="699">
        <f t="shared" si="5"/>
        <v>0</v>
      </c>
      <c r="J46" s="699">
        <f t="shared" si="5"/>
        <v>0</v>
      </c>
      <c r="K46" s="699">
        <f t="shared" si="5"/>
        <v>434.71919797534116</v>
      </c>
      <c r="L46" s="699">
        <f t="shared" si="5"/>
        <v>0</v>
      </c>
      <c r="M46" s="699">
        <f t="shared" ca="1" si="5"/>
        <v>0</v>
      </c>
      <c r="N46" s="699">
        <f t="shared" si="5"/>
        <v>0</v>
      </c>
      <c r="O46" s="699">
        <f t="shared" ca="1" si="5"/>
        <v>0</v>
      </c>
      <c r="P46" s="699">
        <f t="shared" si="5"/>
        <v>0</v>
      </c>
      <c r="Q46" s="699">
        <f t="shared" si="5"/>
        <v>0</v>
      </c>
      <c r="R46" s="699">
        <f ca="1">SUM(R39:R45)</f>
        <v>53733.024997024906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1.4896637995284761</v>
      </c>
      <c r="D49" s="983">
        <f ca="1">transport!C58</f>
        <v>0</v>
      </c>
      <c r="E49" s="983">
        <f>transport!D58</f>
        <v>0</v>
      </c>
      <c r="F49" s="983">
        <f>transport!E58</f>
        <v>0</v>
      </c>
      <c r="G49" s="983">
        <f>transport!F58</f>
        <v>0</v>
      </c>
      <c r="H49" s="983">
        <f>transport!G58</f>
        <v>365.57606915195652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367.06573295148502</v>
      </c>
    </row>
    <row r="50" spans="1:18">
      <c r="A50" s="792" t="s">
        <v>296</v>
      </c>
      <c r="B50" s="802"/>
      <c r="C50" s="670">
        <f ca="1">transport!B18</f>
        <v>2.1579172808884746</v>
      </c>
      <c r="D50" s="670">
        <f>transport!C18</f>
        <v>0</v>
      </c>
      <c r="E50" s="670">
        <f>transport!D18</f>
        <v>3.4553172068999416</v>
      </c>
      <c r="F50" s="670">
        <f>transport!E18</f>
        <v>37.657961607827495</v>
      </c>
      <c r="G50" s="670">
        <f>transport!F18</f>
        <v>0</v>
      </c>
      <c r="H50" s="670">
        <f>transport!G18</f>
        <v>14198.475510025806</v>
      </c>
      <c r="I50" s="670">
        <f>transport!H18</f>
        <v>2448.9542350240722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16690.700941145496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3.6475810804169506</v>
      </c>
      <c r="D52" s="699">
        <f t="shared" ref="D52:Q52" ca="1" si="6">SUM(D48:D51)</f>
        <v>0</v>
      </c>
      <c r="E52" s="699">
        <f t="shared" si="6"/>
        <v>3.4553172068999416</v>
      </c>
      <c r="F52" s="699">
        <f t="shared" si="6"/>
        <v>37.657961607827495</v>
      </c>
      <c r="G52" s="699">
        <f t="shared" si="6"/>
        <v>0</v>
      </c>
      <c r="H52" s="699">
        <f t="shared" si="6"/>
        <v>14564.051579177763</v>
      </c>
      <c r="I52" s="699">
        <f t="shared" si="6"/>
        <v>2448.9542350240722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17057.76667409698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2100.7111891568579</v>
      </c>
      <c r="D54" s="670">
        <f ca="1">+landbouw!C12</f>
        <v>11093.110084033613</v>
      </c>
      <c r="E54" s="670">
        <f>+landbouw!D12</f>
        <v>2816.5069133416691</v>
      </c>
      <c r="F54" s="670">
        <f>+landbouw!E12</f>
        <v>21.424755851002367</v>
      </c>
      <c r="G54" s="670">
        <f>+landbouw!F12</f>
        <v>6902.8740096445881</v>
      </c>
      <c r="H54" s="670">
        <f>+landbouw!G12</f>
        <v>0</v>
      </c>
      <c r="I54" s="670">
        <f>+landbouw!H12</f>
        <v>0</v>
      </c>
      <c r="J54" s="670">
        <f>+landbouw!I12</f>
        <v>0</v>
      </c>
      <c r="K54" s="670">
        <f>+landbouw!J12</f>
        <v>553.02229558238321</v>
      </c>
      <c r="L54" s="670">
        <f>+landbouw!K12</f>
        <v>0</v>
      </c>
      <c r="M54" s="670">
        <f>+landbouw!L12</f>
        <v>0</v>
      </c>
      <c r="N54" s="670">
        <f>+landbouw!M12</f>
        <v>0</v>
      </c>
      <c r="O54" s="670">
        <f>+landbouw!N12</f>
        <v>0</v>
      </c>
      <c r="P54" s="670">
        <f>+landbouw!O12</f>
        <v>0</v>
      </c>
      <c r="Q54" s="671">
        <f>+landbouw!P12</f>
        <v>0</v>
      </c>
      <c r="R54" s="698">
        <f ca="1">SUM(C54:Q54)</f>
        <v>23487.649247610116</v>
      </c>
    </row>
    <row r="55" spans="1:18" ht="15" thickBot="1">
      <c r="A55" s="792" t="s">
        <v>829</v>
      </c>
      <c r="B55" s="802"/>
      <c r="C55" s="670">
        <f ca="1">C25*'EF ele_warmte'!B12</f>
        <v>213.92568463969286</v>
      </c>
      <c r="D55" s="670"/>
      <c r="E55" s="670">
        <f>E25*EF_CO2_aardgas</f>
        <v>376.21910906552006</v>
      </c>
      <c r="F55" s="670"/>
      <c r="G55" s="670"/>
      <c r="H55" s="670"/>
      <c r="I55" s="670"/>
      <c r="J55" s="670"/>
      <c r="K55" s="670"/>
      <c r="L55" s="670"/>
      <c r="M55" s="670"/>
      <c r="N55" s="670"/>
      <c r="O55" s="670"/>
      <c r="P55" s="670"/>
      <c r="Q55" s="671"/>
      <c r="R55" s="698">
        <f ca="1">SUM(C55:Q55)</f>
        <v>590.14479370521292</v>
      </c>
    </row>
    <row r="56" spans="1:18" ht="15.75" thickBot="1">
      <c r="A56" s="790" t="s">
        <v>830</v>
      </c>
      <c r="B56" s="803"/>
      <c r="C56" s="699">
        <f ca="1">SUM(C54:C55)</f>
        <v>2314.6368737965508</v>
      </c>
      <c r="D56" s="699">
        <f t="shared" ref="D56:Q56" ca="1" si="7">SUM(D54:D55)</f>
        <v>11093.110084033613</v>
      </c>
      <c r="E56" s="699">
        <f t="shared" si="7"/>
        <v>3192.7260224071892</v>
      </c>
      <c r="F56" s="699">
        <f t="shared" si="7"/>
        <v>21.424755851002367</v>
      </c>
      <c r="G56" s="699">
        <f t="shared" si="7"/>
        <v>6902.8740096445881</v>
      </c>
      <c r="H56" s="699">
        <f t="shared" si="7"/>
        <v>0</v>
      </c>
      <c r="I56" s="699">
        <f t="shared" si="7"/>
        <v>0</v>
      </c>
      <c r="J56" s="699">
        <f t="shared" si="7"/>
        <v>0</v>
      </c>
      <c r="K56" s="699">
        <f t="shared" si="7"/>
        <v>553.02229558238321</v>
      </c>
      <c r="L56" s="699">
        <f t="shared" si="7"/>
        <v>0</v>
      </c>
      <c r="M56" s="699">
        <f t="shared" si="7"/>
        <v>0</v>
      </c>
      <c r="N56" s="699">
        <f t="shared" si="7"/>
        <v>0</v>
      </c>
      <c r="O56" s="699">
        <f t="shared" si="7"/>
        <v>0</v>
      </c>
      <c r="P56" s="699">
        <f t="shared" si="7"/>
        <v>0</v>
      </c>
      <c r="Q56" s="700">
        <f t="shared" si="7"/>
        <v>0</v>
      </c>
      <c r="R56" s="701">
        <f ca="1">SUM(R54:R55)</f>
        <v>24077.79404131533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17249.563280043061</v>
      </c>
      <c r="D61" s="707">
        <f t="shared" ref="D61:Q61" ca="1" si="8">D46+D52+D56</f>
        <v>11093.110084033613</v>
      </c>
      <c r="E61" s="707">
        <f t="shared" ca="1" si="8"/>
        <v>22906.290007578627</v>
      </c>
      <c r="F61" s="707">
        <f t="shared" si="8"/>
        <v>692.77566938066593</v>
      </c>
      <c r="G61" s="707">
        <f t="shared" ca="1" si="8"/>
        <v>24926.099363641682</v>
      </c>
      <c r="H61" s="707">
        <f t="shared" si="8"/>
        <v>14564.051579177763</v>
      </c>
      <c r="I61" s="707">
        <f t="shared" si="8"/>
        <v>2448.9542350240722</v>
      </c>
      <c r="J61" s="707">
        <f t="shared" si="8"/>
        <v>0</v>
      </c>
      <c r="K61" s="707">
        <f t="shared" si="8"/>
        <v>987.74149355772443</v>
      </c>
      <c r="L61" s="707">
        <f t="shared" si="8"/>
        <v>0</v>
      </c>
      <c r="M61" s="707">
        <f t="shared" ca="1" si="8"/>
        <v>0</v>
      </c>
      <c r="N61" s="707">
        <f t="shared" si="8"/>
        <v>0</v>
      </c>
      <c r="O61" s="707">
        <f t="shared" ca="1" si="8"/>
        <v>0</v>
      </c>
      <c r="P61" s="707">
        <f t="shared" si="8"/>
        <v>0</v>
      </c>
      <c r="Q61" s="707">
        <f t="shared" si="8"/>
        <v>0</v>
      </c>
      <c r="R61" s="707">
        <f ca="1">R46+R52+R56</f>
        <v>94868.585712437212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0.20615825988211442</v>
      </c>
      <c r="D63" s="748">
        <f t="shared" ca="1" si="9"/>
        <v>0.23733001594868805</v>
      </c>
      <c r="E63" s="994">
        <f t="shared" ca="1" si="9"/>
        <v>0.20200000000000001</v>
      </c>
      <c r="F63" s="748">
        <f t="shared" si="9"/>
        <v>0.22699999999999998</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8036.7885643288791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43.650000000000006</v>
      </c>
      <c r="C76" s="717">
        <f>'lokale energieproductie'!B8*IFERROR(SUM(D76:H76)/SUM(D76:O76),0)</f>
        <v>32675.250000000004</v>
      </c>
      <c r="D76" s="1004">
        <f>'lokale energieproductie'!C8</f>
        <v>38441.470588235301</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51.352941176470594</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7765.1770588235313</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8080.4385643288788</v>
      </c>
      <c r="C78" s="722">
        <f>SUM(C72:C77)</f>
        <v>32675.250000000004</v>
      </c>
      <c r="D78" s="723">
        <f t="shared" ref="D78:H78" si="10">SUM(D76:D77)</f>
        <v>38441.470588235301</v>
      </c>
      <c r="E78" s="723">
        <f t="shared" si="10"/>
        <v>0</v>
      </c>
      <c r="F78" s="723">
        <f t="shared" si="10"/>
        <v>0</v>
      </c>
      <c r="G78" s="723">
        <f t="shared" si="10"/>
        <v>0</v>
      </c>
      <c r="H78" s="723">
        <f t="shared" si="10"/>
        <v>0</v>
      </c>
      <c r="I78" s="723">
        <f>SUM(I76:I77)</f>
        <v>0</v>
      </c>
      <c r="J78" s="723">
        <f>SUM(J76:J77)</f>
        <v>51.352941176470594</v>
      </c>
      <c r="K78" s="723">
        <f t="shared" ref="K78:L78" si="11">SUM(K76:K77)</f>
        <v>0</v>
      </c>
      <c r="L78" s="723">
        <f t="shared" si="11"/>
        <v>0</v>
      </c>
      <c r="M78" s="723">
        <f>SUM(M76:M77)</f>
        <v>0</v>
      </c>
      <c r="N78" s="723">
        <f>SUM(N76:N77)</f>
        <v>0</v>
      </c>
      <c r="O78" s="827">
        <f>SUM(O76:O77)</f>
        <v>0</v>
      </c>
      <c r="P78" s="724">
        <v>0</v>
      </c>
      <c r="Q78" s="724">
        <f>SUM(Q76:Q77)</f>
        <v>7765.1770588235313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46678.928571428572</v>
      </c>
      <c r="D87" s="744">
        <f>'lokale energieproductie'!C17</f>
        <v>54916.386554621844</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11093.110084033613</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46678.928571428572</v>
      </c>
      <c r="D90" s="722">
        <f t="shared" ref="D90:H90" si="12">SUM(D87:D89)</f>
        <v>54916.386554621844</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11093.110084033613</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27547.069689470227</v>
      </c>
      <c r="C4" s="444">
        <f>huishoudens!C8</f>
        <v>0</v>
      </c>
      <c r="D4" s="444">
        <f>huishoudens!D8</f>
        <v>56551.65022716565</v>
      </c>
      <c r="E4" s="444">
        <f>huishoudens!E8</f>
        <v>1196.1874753048614</v>
      </c>
      <c r="F4" s="444">
        <f>huishoudens!F8</f>
        <v>37735.982973860569</v>
      </c>
      <c r="G4" s="444">
        <f>huishoudens!G8</f>
        <v>0</v>
      </c>
      <c r="H4" s="444">
        <f>huishoudens!H8</f>
        <v>0</v>
      </c>
      <c r="I4" s="444">
        <f>huishoudens!I8</f>
        <v>0</v>
      </c>
      <c r="J4" s="444">
        <f>huishoudens!J8</f>
        <v>880.00169742036701</v>
      </c>
      <c r="K4" s="444">
        <f>huishoudens!K8</f>
        <v>0</v>
      </c>
      <c r="L4" s="444">
        <f>huishoudens!L8</f>
        <v>0</v>
      </c>
      <c r="M4" s="444">
        <f>huishoudens!M8</f>
        <v>0</v>
      </c>
      <c r="N4" s="444">
        <f>huishoudens!N8</f>
        <v>6743.2761271044492</v>
      </c>
      <c r="O4" s="444">
        <f>huishoudens!O8</f>
        <v>214.17666666666668</v>
      </c>
      <c r="P4" s="445">
        <f>huishoudens!P8</f>
        <v>934.26666666666665</v>
      </c>
      <c r="Q4" s="446">
        <f>SUM(B4:P4)</f>
        <v>131802.61152365946</v>
      </c>
    </row>
    <row r="5" spans="1:17">
      <c r="A5" s="443" t="s">
        <v>149</v>
      </c>
      <c r="B5" s="444">
        <f ca="1">tertiair!B16</f>
        <v>11980.90972</v>
      </c>
      <c r="C5" s="444">
        <f ca="1">tertiair!C16</f>
        <v>0</v>
      </c>
      <c r="D5" s="444">
        <f ca="1">tertiair!D16</f>
        <v>14094.421155667449</v>
      </c>
      <c r="E5" s="444">
        <f>tertiair!E16</f>
        <v>127.27289235886425</v>
      </c>
      <c r="F5" s="444">
        <f ca="1">tertiair!F16</f>
        <v>1919.1186587586287</v>
      </c>
      <c r="G5" s="444">
        <f>tertiair!G16</f>
        <v>0</v>
      </c>
      <c r="H5" s="444">
        <f>tertiair!H16</f>
        <v>0</v>
      </c>
      <c r="I5" s="444">
        <f>tertiair!I16</f>
        <v>0</v>
      </c>
      <c r="J5" s="444">
        <f>tertiair!J16</f>
        <v>0</v>
      </c>
      <c r="K5" s="444">
        <f>tertiair!K16</f>
        <v>0</v>
      </c>
      <c r="L5" s="444">
        <f ca="1">tertiair!L16</f>
        <v>0</v>
      </c>
      <c r="M5" s="444">
        <f>tertiair!M16</f>
        <v>0</v>
      </c>
      <c r="N5" s="444">
        <f ca="1">tertiair!N16</f>
        <v>1051.1598302188766</v>
      </c>
      <c r="O5" s="444">
        <f>tertiair!O16</f>
        <v>4.6900000000000004</v>
      </c>
      <c r="P5" s="445">
        <f>tertiair!P16</f>
        <v>0</v>
      </c>
      <c r="Q5" s="443">
        <f t="shared" ref="Q5:Q14" ca="1" si="0">SUM(B5:P5)</f>
        <v>29177.572257003816</v>
      </c>
    </row>
    <row r="6" spans="1:17">
      <c r="A6" s="443" t="s">
        <v>187</v>
      </c>
      <c r="B6" s="444">
        <f>'openbare verlichting'!B8</f>
        <v>1022.272</v>
      </c>
      <c r="C6" s="444"/>
      <c r="D6" s="444"/>
      <c r="E6" s="444"/>
      <c r="F6" s="444"/>
      <c r="G6" s="444"/>
      <c r="H6" s="444"/>
      <c r="I6" s="444"/>
      <c r="J6" s="444"/>
      <c r="K6" s="444"/>
      <c r="L6" s="444"/>
      <c r="M6" s="444"/>
      <c r="N6" s="444"/>
      <c r="O6" s="444"/>
      <c r="P6" s="445"/>
      <c r="Q6" s="443">
        <f t="shared" si="0"/>
        <v>1022.272</v>
      </c>
    </row>
    <row r="7" spans="1:17">
      <c r="A7" s="443" t="s">
        <v>105</v>
      </c>
      <c r="B7" s="444">
        <f>landbouw!B8</f>
        <v>10189.7988</v>
      </c>
      <c r="C7" s="444">
        <f>landbouw!C8</f>
        <v>46741.28571428571</v>
      </c>
      <c r="D7" s="444">
        <f>landbouw!D8</f>
        <v>13943.103531394401</v>
      </c>
      <c r="E7" s="444">
        <f>landbouw!E8</f>
        <v>94.382184365649195</v>
      </c>
      <c r="F7" s="444">
        <f>landbouw!F8</f>
        <v>25853.460710279356</v>
      </c>
      <c r="G7" s="444">
        <f>landbouw!G8</f>
        <v>0</v>
      </c>
      <c r="H7" s="444">
        <f>landbouw!H8</f>
        <v>0</v>
      </c>
      <c r="I7" s="444">
        <f>landbouw!I8</f>
        <v>0</v>
      </c>
      <c r="J7" s="444">
        <f>landbouw!J8</f>
        <v>1562.2098745265064</v>
      </c>
      <c r="K7" s="444">
        <f>landbouw!K8</f>
        <v>0</v>
      </c>
      <c r="L7" s="444">
        <f>landbouw!L8</f>
        <v>0</v>
      </c>
      <c r="M7" s="444">
        <f>landbouw!M8</f>
        <v>0</v>
      </c>
      <c r="N7" s="444">
        <f>landbouw!N8</f>
        <v>0</v>
      </c>
      <c r="O7" s="444">
        <f>landbouw!O8</f>
        <v>0</v>
      </c>
      <c r="P7" s="445">
        <f>landbouw!P8</f>
        <v>0</v>
      </c>
      <c r="Q7" s="443">
        <f t="shared" si="0"/>
        <v>98384.240814851626</v>
      </c>
    </row>
    <row r="8" spans="1:17">
      <c r="A8" s="443" t="s">
        <v>637</v>
      </c>
      <c r="B8" s="444">
        <f>industrie!B18</f>
        <v>31876.042999999998</v>
      </c>
      <c r="C8" s="444">
        <f>industrie!C18</f>
        <v>0</v>
      </c>
      <c r="D8" s="444">
        <f>industrie!D18</f>
        <v>26928.724003129955</v>
      </c>
      <c r="E8" s="444">
        <f>industrie!E18</f>
        <v>1468.1385394809267</v>
      </c>
      <c r="F8" s="444">
        <f>industrie!F18</f>
        <v>27847.615049017855</v>
      </c>
      <c r="G8" s="444">
        <f>industrie!G18</f>
        <v>0</v>
      </c>
      <c r="H8" s="444">
        <f>industrie!H18</f>
        <v>0</v>
      </c>
      <c r="I8" s="444">
        <f>industrie!I18</f>
        <v>0</v>
      </c>
      <c r="J8" s="444">
        <f>industrie!J18</f>
        <v>348.01863584330857</v>
      </c>
      <c r="K8" s="444">
        <f>industrie!K18</f>
        <v>0</v>
      </c>
      <c r="L8" s="444">
        <f>industrie!L18</f>
        <v>0</v>
      </c>
      <c r="M8" s="444">
        <f>industrie!M18</f>
        <v>0</v>
      </c>
      <c r="N8" s="444">
        <f>industrie!N18</f>
        <v>7246.4079316467905</v>
      </c>
      <c r="O8" s="444">
        <f>industrie!O18</f>
        <v>0</v>
      </c>
      <c r="P8" s="445">
        <f>industrie!P18</f>
        <v>0</v>
      </c>
      <c r="Q8" s="443">
        <f t="shared" si="0"/>
        <v>95714.947159118834</v>
      </c>
    </row>
    <row r="9" spans="1:17" s="449" customFormat="1">
      <c r="A9" s="447" t="s">
        <v>558</v>
      </c>
      <c r="B9" s="448">
        <f>transport!B14</f>
        <v>10.467285095064424</v>
      </c>
      <c r="C9" s="448">
        <f>transport!C14</f>
        <v>0</v>
      </c>
      <c r="D9" s="448">
        <f>transport!D14</f>
        <v>17.105530727227432</v>
      </c>
      <c r="E9" s="448">
        <f>transport!E14</f>
        <v>165.89410399924006</v>
      </c>
      <c r="F9" s="448">
        <f>transport!F14</f>
        <v>0</v>
      </c>
      <c r="G9" s="448">
        <f>transport!G14</f>
        <v>53177.810898973054</v>
      </c>
      <c r="H9" s="448">
        <f>transport!H14</f>
        <v>9835.1575703777999</v>
      </c>
      <c r="I9" s="448">
        <f>transport!I14</f>
        <v>0</v>
      </c>
      <c r="J9" s="448">
        <f>transport!J14</f>
        <v>0</v>
      </c>
      <c r="K9" s="448">
        <f>transport!K14</f>
        <v>0</v>
      </c>
      <c r="L9" s="448">
        <f>transport!L14</f>
        <v>0</v>
      </c>
      <c r="M9" s="448">
        <f>transport!M14</f>
        <v>3383.0984808522503</v>
      </c>
      <c r="N9" s="448">
        <f>transport!N14</f>
        <v>0</v>
      </c>
      <c r="O9" s="448">
        <f>transport!O14</f>
        <v>0</v>
      </c>
      <c r="P9" s="448">
        <f>transport!P14</f>
        <v>0</v>
      </c>
      <c r="Q9" s="447">
        <f>SUM(B9:P9)</f>
        <v>66589.533870024636</v>
      </c>
    </row>
    <row r="10" spans="1:17">
      <c r="A10" s="443" t="s">
        <v>548</v>
      </c>
      <c r="B10" s="444">
        <f>transport!B54</f>
        <v>7.2258264130687584</v>
      </c>
      <c r="C10" s="444">
        <f>transport!C54</f>
        <v>0</v>
      </c>
      <c r="D10" s="444">
        <f>transport!D54</f>
        <v>0</v>
      </c>
      <c r="E10" s="444">
        <f>transport!E54</f>
        <v>0</v>
      </c>
      <c r="F10" s="444">
        <f>transport!F54</f>
        <v>0</v>
      </c>
      <c r="G10" s="444">
        <f>transport!G54</f>
        <v>1369.1987608687509</v>
      </c>
      <c r="H10" s="444">
        <f>transport!H54</f>
        <v>0</v>
      </c>
      <c r="I10" s="444">
        <f>transport!I54</f>
        <v>0</v>
      </c>
      <c r="J10" s="444">
        <f>transport!J54</f>
        <v>0</v>
      </c>
      <c r="K10" s="444">
        <f>transport!K54</f>
        <v>0</v>
      </c>
      <c r="L10" s="444">
        <f>transport!L54</f>
        <v>0</v>
      </c>
      <c r="M10" s="444">
        <f>transport!M54</f>
        <v>78.822083582486769</v>
      </c>
      <c r="N10" s="444">
        <f>transport!N54</f>
        <v>0</v>
      </c>
      <c r="O10" s="444">
        <f>transport!O54</f>
        <v>0</v>
      </c>
      <c r="P10" s="445">
        <f>transport!P54</f>
        <v>0</v>
      </c>
      <c r="Q10" s="443">
        <f t="shared" si="0"/>
        <v>1455.2466708643065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1037.6769999999999</v>
      </c>
      <c r="C14" s="451"/>
      <c r="D14" s="451">
        <f>'SEAP template'!E25</f>
        <v>1862.4708369580201</v>
      </c>
      <c r="E14" s="451"/>
      <c r="F14" s="451"/>
      <c r="G14" s="451"/>
      <c r="H14" s="451"/>
      <c r="I14" s="451"/>
      <c r="J14" s="451"/>
      <c r="K14" s="451"/>
      <c r="L14" s="451"/>
      <c r="M14" s="451"/>
      <c r="N14" s="451"/>
      <c r="O14" s="451"/>
      <c r="P14" s="452"/>
      <c r="Q14" s="443">
        <f t="shared" si="0"/>
        <v>2900.14783695802</v>
      </c>
    </row>
    <row r="15" spans="1:17" s="453" customFormat="1">
      <c r="A15" s="1009" t="s">
        <v>552</v>
      </c>
      <c r="B15" s="949">
        <f ca="1">SUM(B4:B14)</f>
        <v>83671.463320978335</v>
      </c>
      <c r="C15" s="949">
        <f t="shared" ref="C15:Q15" ca="1" si="1">SUM(C4:C14)</f>
        <v>46741.28571428571</v>
      </c>
      <c r="D15" s="949">
        <f t="shared" ca="1" si="1"/>
        <v>113397.4752850427</v>
      </c>
      <c r="E15" s="949">
        <f t="shared" si="1"/>
        <v>3051.8751955095418</v>
      </c>
      <c r="F15" s="949">
        <f t="shared" ca="1" si="1"/>
        <v>93356.177391916412</v>
      </c>
      <c r="G15" s="949">
        <f t="shared" si="1"/>
        <v>54547.009659841802</v>
      </c>
      <c r="H15" s="949">
        <f t="shared" si="1"/>
        <v>9835.1575703777999</v>
      </c>
      <c r="I15" s="949">
        <f t="shared" si="1"/>
        <v>0</v>
      </c>
      <c r="J15" s="949">
        <f t="shared" si="1"/>
        <v>2790.2302077901818</v>
      </c>
      <c r="K15" s="949">
        <f t="shared" si="1"/>
        <v>0</v>
      </c>
      <c r="L15" s="949">
        <f t="shared" ca="1" si="1"/>
        <v>0</v>
      </c>
      <c r="M15" s="949">
        <f t="shared" si="1"/>
        <v>3461.9205644347371</v>
      </c>
      <c r="N15" s="949">
        <f t="shared" ca="1" si="1"/>
        <v>15040.843888970117</v>
      </c>
      <c r="O15" s="949">
        <f t="shared" si="1"/>
        <v>218.86666666666667</v>
      </c>
      <c r="P15" s="949">
        <f t="shared" si="1"/>
        <v>934.26666666666665</v>
      </c>
      <c r="Q15" s="949">
        <f t="shared" ca="1" si="1"/>
        <v>427046.57213248062</v>
      </c>
    </row>
    <row r="17" spans="1:17">
      <c r="A17" s="454" t="s">
        <v>553</v>
      </c>
      <c r="B17" s="753">
        <f ca="1">huishoudens!B10</f>
        <v>0.20615825988211445</v>
      </c>
      <c r="C17" s="753">
        <f ca="1">huishoudens!C10</f>
        <v>0.23733001594868805</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5679.0559520325205</v>
      </c>
      <c r="C22" s="444">
        <f t="shared" ref="C22:C32" ca="1" si="3">C4*$C$17</f>
        <v>0</v>
      </c>
      <c r="D22" s="444">
        <f t="shared" ref="D22:D32" si="4">D4*$D$17</f>
        <v>11423.433345887463</v>
      </c>
      <c r="E22" s="444">
        <f t="shared" ref="E22:E32" si="5">E4*$E$17</f>
        <v>271.53455689420355</v>
      </c>
      <c r="F22" s="444">
        <f t="shared" ref="F22:F32" si="6">F4*$F$17</f>
        <v>10075.507454020773</v>
      </c>
      <c r="G22" s="444">
        <f t="shared" ref="G22:G32" si="7">G4*$G$17</f>
        <v>0</v>
      </c>
      <c r="H22" s="444">
        <f t="shared" ref="H22:H32" si="8">H4*$H$17</f>
        <v>0</v>
      </c>
      <c r="I22" s="444">
        <f t="shared" ref="I22:I32" si="9">I4*$I$17</f>
        <v>0</v>
      </c>
      <c r="J22" s="444">
        <f t="shared" ref="J22:J32" si="10">J4*$J$17</f>
        <v>311.52060088680992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27761.051909721769</v>
      </c>
    </row>
    <row r="23" spans="1:17">
      <c r="A23" s="443" t="s">
        <v>149</v>
      </c>
      <c r="B23" s="444">
        <f t="shared" ca="1" si="2"/>
        <v>2469.9634996799109</v>
      </c>
      <c r="C23" s="444">
        <f t="shared" ca="1" si="3"/>
        <v>0</v>
      </c>
      <c r="D23" s="444">
        <f t="shared" ca="1" si="4"/>
        <v>2847.0730734448248</v>
      </c>
      <c r="E23" s="444">
        <f t="shared" si="5"/>
        <v>28.890946565462187</v>
      </c>
      <c r="F23" s="444">
        <f t="shared" ca="1" si="6"/>
        <v>512.40468188855391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5858.3322015787517</v>
      </c>
    </row>
    <row r="24" spans="1:17">
      <c r="A24" s="443" t="s">
        <v>187</v>
      </c>
      <c r="B24" s="444">
        <f t="shared" ca="1" si="2"/>
        <v>210.7498166462089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210.7498166462089</v>
      </c>
    </row>
    <row r="25" spans="1:17">
      <c r="A25" s="443" t="s">
        <v>105</v>
      </c>
      <c r="B25" s="444">
        <f t="shared" ca="1" si="2"/>
        <v>2100.7111891568579</v>
      </c>
      <c r="C25" s="444">
        <f t="shared" ca="1" si="3"/>
        <v>11093.110084033613</v>
      </c>
      <c r="D25" s="444">
        <f t="shared" si="4"/>
        <v>2816.5069133416691</v>
      </c>
      <c r="E25" s="444">
        <f t="shared" si="5"/>
        <v>21.424755851002367</v>
      </c>
      <c r="F25" s="444">
        <f t="shared" si="6"/>
        <v>6902.8740096445881</v>
      </c>
      <c r="G25" s="444">
        <f t="shared" si="7"/>
        <v>0</v>
      </c>
      <c r="H25" s="444">
        <f t="shared" si="8"/>
        <v>0</v>
      </c>
      <c r="I25" s="444">
        <f t="shared" si="9"/>
        <v>0</v>
      </c>
      <c r="J25" s="444">
        <f t="shared" si="10"/>
        <v>553.02229558238321</v>
      </c>
      <c r="K25" s="444">
        <f t="shared" si="11"/>
        <v>0</v>
      </c>
      <c r="L25" s="444">
        <f t="shared" si="12"/>
        <v>0</v>
      </c>
      <c r="M25" s="444">
        <f t="shared" si="13"/>
        <v>0</v>
      </c>
      <c r="N25" s="444">
        <f t="shared" si="14"/>
        <v>0</v>
      </c>
      <c r="O25" s="444">
        <f t="shared" si="15"/>
        <v>0</v>
      </c>
      <c r="P25" s="445">
        <f t="shared" si="16"/>
        <v>0</v>
      </c>
      <c r="Q25" s="443">
        <f t="shared" ca="1" si="17"/>
        <v>23487.649247610116</v>
      </c>
    </row>
    <row r="26" spans="1:17">
      <c r="A26" s="443" t="s">
        <v>637</v>
      </c>
      <c r="B26" s="444">
        <f t="shared" ca="1" si="2"/>
        <v>6571.5095568074548</v>
      </c>
      <c r="C26" s="444">
        <f t="shared" ca="1" si="3"/>
        <v>0</v>
      </c>
      <c r="D26" s="444">
        <f t="shared" si="4"/>
        <v>5439.6022486322518</v>
      </c>
      <c r="E26" s="444">
        <f t="shared" si="5"/>
        <v>333.26744846217036</v>
      </c>
      <c r="F26" s="444">
        <f t="shared" si="6"/>
        <v>7435.3132180877674</v>
      </c>
      <c r="G26" s="444">
        <f t="shared" si="7"/>
        <v>0</v>
      </c>
      <c r="H26" s="444">
        <f t="shared" si="8"/>
        <v>0</v>
      </c>
      <c r="I26" s="444">
        <f t="shared" si="9"/>
        <v>0</v>
      </c>
      <c r="J26" s="444">
        <f t="shared" si="10"/>
        <v>123.19859708853123</v>
      </c>
      <c r="K26" s="444">
        <f t="shared" si="11"/>
        <v>0</v>
      </c>
      <c r="L26" s="444">
        <f t="shared" si="12"/>
        <v>0</v>
      </c>
      <c r="M26" s="444">
        <f t="shared" si="13"/>
        <v>0</v>
      </c>
      <c r="N26" s="444">
        <f t="shared" si="14"/>
        <v>0</v>
      </c>
      <c r="O26" s="444">
        <f t="shared" si="15"/>
        <v>0</v>
      </c>
      <c r="P26" s="445">
        <f t="shared" si="16"/>
        <v>0</v>
      </c>
      <c r="Q26" s="443">
        <f t="shared" ca="1" si="17"/>
        <v>19902.891069078178</v>
      </c>
    </row>
    <row r="27" spans="1:17" s="449" customFormat="1">
      <c r="A27" s="447" t="s">
        <v>558</v>
      </c>
      <c r="B27" s="747">
        <f t="shared" ca="1" si="2"/>
        <v>2.1579172808884746</v>
      </c>
      <c r="C27" s="448">
        <f t="shared" ca="1" si="3"/>
        <v>0</v>
      </c>
      <c r="D27" s="448">
        <f t="shared" si="4"/>
        <v>3.4553172068999416</v>
      </c>
      <c r="E27" s="448">
        <f t="shared" si="5"/>
        <v>37.657961607827495</v>
      </c>
      <c r="F27" s="448">
        <f t="shared" si="6"/>
        <v>0</v>
      </c>
      <c r="G27" s="448">
        <f t="shared" si="7"/>
        <v>14198.475510025806</v>
      </c>
      <c r="H27" s="448">
        <f t="shared" si="8"/>
        <v>2448.9542350240722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16690.700941145496</v>
      </c>
    </row>
    <row r="28" spans="1:17">
      <c r="A28" s="443" t="s">
        <v>548</v>
      </c>
      <c r="B28" s="444">
        <f t="shared" ca="1" si="2"/>
        <v>1.4896637995284761</v>
      </c>
      <c r="C28" s="444">
        <f t="shared" ca="1" si="3"/>
        <v>0</v>
      </c>
      <c r="D28" s="444">
        <f t="shared" si="4"/>
        <v>0</v>
      </c>
      <c r="E28" s="444">
        <f t="shared" si="5"/>
        <v>0</v>
      </c>
      <c r="F28" s="444">
        <f t="shared" si="6"/>
        <v>0</v>
      </c>
      <c r="G28" s="444">
        <f t="shared" si="7"/>
        <v>365.57606915195652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367.06573295148502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213.92568463969286</v>
      </c>
      <c r="C32" s="444">
        <f t="shared" ca="1" si="3"/>
        <v>0</v>
      </c>
      <c r="D32" s="444">
        <f t="shared" si="4"/>
        <v>376.21910906552006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590.14479370521292</v>
      </c>
    </row>
    <row r="33" spans="1:17" s="453" customFormat="1">
      <c r="A33" s="1009" t="s">
        <v>552</v>
      </c>
      <c r="B33" s="949">
        <f ca="1">SUM(B22:B32)</f>
        <v>17249.563280043065</v>
      </c>
      <c r="C33" s="949">
        <f t="shared" ref="C33:Q33" ca="1" si="18">SUM(C22:C32)</f>
        <v>11093.110084033613</v>
      </c>
      <c r="D33" s="949">
        <f t="shared" ca="1" si="18"/>
        <v>22906.290007578627</v>
      </c>
      <c r="E33" s="949">
        <f t="shared" si="18"/>
        <v>692.77566938066593</v>
      </c>
      <c r="F33" s="949">
        <f t="shared" ca="1" si="18"/>
        <v>24926.099363641682</v>
      </c>
      <c r="G33" s="949">
        <f t="shared" si="18"/>
        <v>14564.051579177763</v>
      </c>
      <c r="H33" s="949">
        <f t="shared" si="18"/>
        <v>2448.9542350240722</v>
      </c>
      <c r="I33" s="949">
        <f t="shared" si="18"/>
        <v>0</v>
      </c>
      <c r="J33" s="949">
        <f t="shared" si="18"/>
        <v>987.74149355772431</v>
      </c>
      <c r="K33" s="949">
        <f t="shared" si="18"/>
        <v>0</v>
      </c>
      <c r="L33" s="949">
        <f t="shared" ca="1" si="18"/>
        <v>0</v>
      </c>
      <c r="M33" s="949">
        <f t="shared" si="18"/>
        <v>0</v>
      </c>
      <c r="N33" s="949">
        <f t="shared" ca="1" si="18"/>
        <v>0</v>
      </c>
      <c r="O33" s="949">
        <f t="shared" si="18"/>
        <v>0</v>
      </c>
      <c r="P33" s="949">
        <f t="shared" si="18"/>
        <v>0</v>
      </c>
      <c r="Q33" s="949">
        <f t="shared" ca="1" si="18"/>
        <v>94868.585712437212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8036.7885643288791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43.650000000000006</v>
      </c>
      <c r="C8" s="1026">
        <f>'SEAP template'!C76</f>
        <v>32675.250000000004</v>
      </c>
      <c r="D8" s="1026">
        <f>'SEAP template'!D76</f>
        <v>38441.470588235301</v>
      </c>
      <c r="E8" s="1026">
        <f>'SEAP template'!E76</f>
        <v>0</v>
      </c>
      <c r="F8" s="1026">
        <f>'SEAP template'!F76</f>
        <v>0</v>
      </c>
      <c r="G8" s="1026">
        <f>'SEAP template'!G76</f>
        <v>0</v>
      </c>
      <c r="H8" s="1026">
        <f>'SEAP template'!H76</f>
        <v>0</v>
      </c>
      <c r="I8" s="1026">
        <f>'SEAP template'!I76</f>
        <v>0</v>
      </c>
      <c r="J8" s="1026">
        <f>'SEAP template'!J76</f>
        <v>51.352941176470594</v>
      </c>
      <c r="K8" s="1026">
        <f>'SEAP template'!K76</f>
        <v>0</v>
      </c>
      <c r="L8" s="1026">
        <f>'SEAP template'!L76</f>
        <v>0</v>
      </c>
      <c r="M8" s="1026">
        <f>'SEAP template'!M76</f>
        <v>0</v>
      </c>
      <c r="N8" s="1026">
        <f>'SEAP template'!N76</f>
        <v>0</v>
      </c>
      <c r="O8" s="1026">
        <f>'SEAP template'!O76</f>
        <v>0</v>
      </c>
      <c r="P8" s="1027">
        <f>'SEAP template'!Q76</f>
        <v>7765.1770588235313</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8080.4385643288788</v>
      </c>
      <c r="C10" s="1030">
        <f>SUM(C4:C9)</f>
        <v>32675.250000000004</v>
      </c>
      <c r="D10" s="1030">
        <f t="shared" ref="D10:H10" si="0">SUM(D8:D9)</f>
        <v>38441.470588235301</v>
      </c>
      <c r="E10" s="1030">
        <f t="shared" si="0"/>
        <v>0</v>
      </c>
      <c r="F10" s="1030">
        <f t="shared" si="0"/>
        <v>0</v>
      </c>
      <c r="G10" s="1030">
        <f t="shared" si="0"/>
        <v>0</v>
      </c>
      <c r="H10" s="1030">
        <f t="shared" si="0"/>
        <v>0</v>
      </c>
      <c r="I10" s="1030">
        <f>SUM(I8:I9)</f>
        <v>0</v>
      </c>
      <c r="J10" s="1030">
        <f>SUM(J8:J9)</f>
        <v>51.352941176470594</v>
      </c>
      <c r="K10" s="1030">
        <f t="shared" ref="K10:L10" si="1">SUM(K8:K9)</f>
        <v>0</v>
      </c>
      <c r="L10" s="1030">
        <f t="shared" si="1"/>
        <v>0</v>
      </c>
      <c r="M10" s="1030">
        <f>SUM(M8:M9)</f>
        <v>0</v>
      </c>
      <c r="N10" s="1030">
        <f>SUM(N8:N9)</f>
        <v>0</v>
      </c>
      <c r="O10" s="1030">
        <f>SUM(O8:O9)</f>
        <v>0</v>
      </c>
      <c r="P10" s="1030">
        <f>SUM(P8:P9)</f>
        <v>7765.1770588235313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0.20615825988211445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46678.928571428572</v>
      </c>
      <c r="D17" s="1027">
        <f>'SEAP template'!D87</f>
        <v>54916.386554621844</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11093.110084033613</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46678.928571428572</v>
      </c>
      <c r="D20" s="1030">
        <f t="shared" ref="D20:H20" si="2">SUM(D17:D19)</f>
        <v>54916.386554621844</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11093.110084033613</v>
      </c>
    </row>
    <row r="22" spans="1:16">
      <c r="A22" s="454" t="s">
        <v>853</v>
      </c>
      <c r="B22" s="753" t="s">
        <v>847</v>
      </c>
      <c r="C22" s="753">
        <f ca="1">'EF ele_warmte'!B22</f>
        <v>0.23733001594868805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0.20615825988211445</v>
      </c>
      <c r="C17" s="491">
        <f ca="1">'EF ele_warmte'!B22</f>
        <v>0.23733001594868805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0.20615825988211445</v>
      </c>
      <c r="C17" s="491">
        <f ca="1">'EF ele_warmte'!B22</f>
        <v>0.23733001594868805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0.20615825988211445</v>
      </c>
      <c r="C29" s="492">
        <f ca="1">'EF ele_warmte'!B22</f>
        <v>0.23733001594868805</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5837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5017</v>
      </c>
      <c r="C14" s="324"/>
      <c r="D14" s="324"/>
      <c r="E14" s="324"/>
      <c r="F14" s="324"/>
    </row>
    <row r="15" spans="1:6">
      <c r="A15" s="1302" t="s">
        <v>177</v>
      </c>
      <c r="B15" s="1303">
        <v>18076</v>
      </c>
      <c r="C15" s="324"/>
      <c r="D15" s="324"/>
      <c r="E15" s="324"/>
      <c r="F15" s="324"/>
    </row>
    <row r="16" spans="1:6">
      <c r="A16" s="1302" t="s">
        <v>6</v>
      </c>
      <c r="B16" s="1303">
        <v>3869</v>
      </c>
      <c r="C16" s="324"/>
      <c r="D16" s="324"/>
      <c r="E16" s="324"/>
      <c r="F16" s="324"/>
    </row>
    <row r="17" spans="1:6">
      <c r="A17" s="1302" t="s">
        <v>7</v>
      </c>
      <c r="B17" s="1303">
        <v>652</v>
      </c>
      <c r="C17" s="324"/>
      <c r="D17" s="324"/>
      <c r="E17" s="324"/>
      <c r="F17" s="324"/>
    </row>
    <row r="18" spans="1:6">
      <c r="A18" s="1302" t="s">
        <v>8</v>
      </c>
      <c r="B18" s="1303">
        <v>2769</v>
      </c>
      <c r="C18" s="324"/>
      <c r="D18" s="324"/>
      <c r="E18" s="324"/>
      <c r="F18" s="324"/>
    </row>
    <row r="19" spans="1:6">
      <c r="A19" s="1302" t="s">
        <v>9</v>
      </c>
      <c r="B19" s="1303">
        <v>2176</v>
      </c>
      <c r="C19" s="324"/>
      <c r="D19" s="324"/>
      <c r="E19" s="324"/>
      <c r="F19" s="324"/>
    </row>
    <row r="20" spans="1:6">
      <c r="A20" s="1302" t="s">
        <v>10</v>
      </c>
      <c r="B20" s="1303">
        <v>1957</v>
      </c>
      <c r="C20" s="324"/>
      <c r="D20" s="324"/>
      <c r="E20" s="324"/>
      <c r="F20" s="324"/>
    </row>
    <row r="21" spans="1:6">
      <c r="A21" s="1302" t="s">
        <v>11</v>
      </c>
      <c r="B21" s="1303">
        <v>26472</v>
      </c>
      <c r="C21" s="324"/>
      <c r="D21" s="324"/>
      <c r="E21" s="324"/>
      <c r="F21" s="324"/>
    </row>
    <row r="22" spans="1:6">
      <c r="A22" s="1302" t="s">
        <v>12</v>
      </c>
      <c r="B22" s="1303">
        <v>63169</v>
      </c>
      <c r="C22" s="324"/>
      <c r="D22" s="324"/>
      <c r="E22" s="324"/>
      <c r="F22" s="324"/>
    </row>
    <row r="23" spans="1:6">
      <c r="A23" s="1302" t="s">
        <v>13</v>
      </c>
      <c r="B23" s="1303">
        <v>672</v>
      </c>
      <c r="C23" s="324"/>
      <c r="D23" s="324"/>
      <c r="E23" s="324"/>
      <c r="F23" s="324"/>
    </row>
    <row r="24" spans="1:6">
      <c r="A24" s="1302" t="s">
        <v>14</v>
      </c>
      <c r="B24" s="1303">
        <v>75</v>
      </c>
      <c r="C24" s="324"/>
      <c r="D24" s="324"/>
      <c r="E24" s="324"/>
      <c r="F24" s="324"/>
    </row>
    <row r="25" spans="1:6">
      <c r="A25" s="1302" t="s">
        <v>15</v>
      </c>
      <c r="B25" s="1303">
        <v>4735</v>
      </c>
      <c r="C25" s="324"/>
      <c r="D25" s="324"/>
      <c r="E25" s="324"/>
      <c r="F25" s="324"/>
    </row>
    <row r="26" spans="1:6">
      <c r="A26" s="1302" t="s">
        <v>16</v>
      </c>
      <c r="B26" s="1303">
        <v>115</v>
      </c>
      <c r="C26" s="324"/>
      <c r="D26" s="324"/>
      <c r="E26" s="324"/>
      <c r="F26" s="324"/>
    </row>
    <row r="27" spans="1:6">
      <c r="A27" s="1302" t="s">
        <v>17</v>
      </c>
      <c r="B27" s="1303">
        <v>2380</v>
      </c>
      <c r="C27" s="324"/>
      <c r="D27" s="324"/>
      <c r="E27" s="324"/>
      <c r="F27" s="324"/>
    </row>
    <row r="28" spans="1:6">
      <c r="A28" s="1302" t="s">
        <v>18</v>
      </c>
      <c r="B28" s="1304">
        <v>1408576</v>
      </c>
      <c r="C28" s="324"/>
      <c r="D28" s="324"/>
      <c r="E28" s="324"/>
      <c r="F28" s="324"/>
    </row>
    <row r="29" spans="1:6">
      <c r="A29" s="1302" t="s">
        <v>918</v>
      </c>
      <c r="B29" s="1304">
        <v>169</v>
      </c>
      <c r="C29" s="324"/>
      <c r="D29" s="324"/>
      <c r="E29" s="324"/>
      <c r="F29" s="324"/>
    </row>
    <row r="30" spans="1:6">
      <c r="A30" s="1297" t="s">
        <v>919</v>
      </c>
      <c r="B30" s="1305">
        <v>27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173174.21099380701</v>
      </c>
      <c r="E38" s="1303">
        <v>5</v>
      </c>
      <c r="F38" s="1303">
        <v>1124109</v>
      </c>
    </row>
    <row r="39" spans="1:6">
      <c r="A39" s="1302" t="s">
        <v>29</v>
      </c>
      <c r="B39" s="1302" t="s">
        <v>30</v>
      </c>
      <c r="C39" s="1303">
        <v>3591</v>
      </c>
      <c r="D39" s="1303">
        <v>62695842.823908702</v>
      </c>
      <c r="E39" s="1303">
        <v>5503</v>
      </c>
      <c r="F39" s="1303">
        <v>24083709</v>
      </c>
    </row>
    <row r="40" spans="1:6">
      <c r="A40" s="1302" t="s">
        <v>29</v>
      </c>
      <c r="B40" s="1302" t="s">
        <v>28</v>
      </c>
      <c r="C40" s="1303">
        <v>0</v>
      </c>
      <c r="D40" s="1303">
        <v>0</v>
      </c>
      <c r="E40" s="1303">
        <v>0</v>
      </c>
      <c r="F40" s="1303">
        <v>0</v>
      </c>
    </row>
    <row r="41" spans="1:6">
      <c r="A41" s="1302" t="s">
        <v>31</v>
      </c>
      <c r="B41" s="1302" t="s">
        <v>32</v>
      </c>
      <c r="C41" s="1303">
        <v>41</v>
      </c>
      <c r="D41" s="1303">
        <v>712132.41865535104</v>
      </c>
      <c r="E41" s="1303">
        <v>122</v>
      </c>
      <c r="F41" s="1303">
        <v>1939085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81933.706211012206</v>
      </c>
      <c r="E44" s="1303">
        <v>20</v>
      </c>
      <c r="F44" s="1303">
        <v>1675914</v>
      </c>
    </row>
    <row r="45" spans="1:6">
      <c r="A45" s="1302" t="s">
        <v>31</v>
      </c>
      <c r="B45" s="1302" t="s">
        <v>36</v>
      </c>
      <c r="C45" s="1303">
        <v>0</v>
      </c>
      <c r="D45" s="1303">
        <v>0</v>
      </c>
      <c r="E45" s="1303">
        <v>3</v>
      </c>
      <c r="F45" s="1303">
        <v>1343858</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49</v>
      </c>
      <c r="D48" s="1303">
        <v>29060395.0759429</v>
      </c>
      <c r="E48" s="1303">
        <v>54</v>
      </c>
      <c r="F48" s="1303">
        <v>15107469</v>
      </c>
    </row>
    <row r="49" spans="1:6">
      <c r="A49" s="1302" t="s">
        <v>31</v>
      </c>
      <c r="B49" s="1302" t="s">
        <v>39</v>
      </c>
      <c r="C49" s="1303">
        <v>0</v>
      </c>
      <c r="D49" s="1303">
        <v>0</v>
      </c>
      <c r="E49" s="1303">
        <v>0</v>
      </c>
      <c r="F49" s="1303">
        <v>0</v>
      </c>
    </row>
    <row r="50" spans="1:6">
      <c r="A50" s="1302" t="s">
        <v>31</v>
      </c>
      <c r="B50" s="1302" t="s">
        <v>40</v>
      </c>
      <c r="C50" s="1303">
        <v>0</v>
      </c>
      <c r="D50" s="1303">
        <v>0</v>
      </c>
      <c r="E50" s="1303">
        <v>14</v>
      </c>
      <c r="F50" s="1303">
        <v>11809717</v>
      </c>
    </row>
    <row r="51" spans="1:6">
      <c r="A51" s="1302" t="s">
        <v>41</v>
      </c>
      <c r="B51" s="1302" t="s">
        <v>42</v>
      </c>
      <c r="C51" s="1303">
        <v>18</v>
      </c>
      <c r="D51" s="1303">
        <v>749661.190121133</v>
      </c>
      <c r="E51" s="1303">
        <v>226</v>
      </c>
      <c r="F51" s="1303">
        <v>9801290</v>
      </c>
    </row>
    <row r="52" spans="1:6">
      <c r="A52" s="1302" t="s">
        <v>41</v>
      </c>
      <c r="B52" s="1302" t="s">
        <v>28</v>
      </c>
      <c r="C52" s="1303">
        <v>12</v>
      </c>
      <c r="D52" s="1303">
        <v>118209275.255834</v>
      </c>
      <c r="E52" s="1303">
        <v>19</v>
      </c>
      <c r="F52" s="1303">
        <v>388508.8</v>
      </c>
    </row>
    <row r="53" spans="1:6">
      <c r="A53" s="1302" t="s">
        <v>43</v>
      </c>
      <c r="B53" s="1302" t="s">
        <v>44</v>
      </c>
      <c r="C53" s="1303">
        <v>96</v>
      </c>
      <c r="D53" s="1303">
        <v>1862470.83695802</v>
      </c>
      <c r="E53" s="1303">
        <v>215</v>
      </c>
      <c r="F53" s="1303">
        <v>1037677</v>
      </c>
    </row>
    <row r="54" spans="1:6">
      <c r="A54" s="1302" t="s">
        <v>45</v>
      </c>
      <c r="B54" s="1302" t="s">
        <v>46</v>
      </c>
      <c r="C54" s="1303">
        <v>0</v>
      </c>
      <c r="D54" s="1303">
        <v>0</v>
      </c>
      <c r="E54" s="1303">
        <v>1</v>
      </c>
      <c r="F54" s="1303">
        <v>1022272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10</v>
      </c>
      <c r="D57" s="1303">
        <v>236463.080049546</v>
      </c>
      <c r="E57" s="1303">
        <v>45</v>
      </c>
      <c r="F57" s="1303">
        <v>862027.5</v>
      </c>
    </row>
    <row r="58" spans="1:6">
      <c r="A58" s="1302" t="s">
        <v>48</v>
      </c>
      <c r="B58" s="1302" t="s">
        <v>50</v>
      </c>
      <c r="C58" s="1303">
        <v>3</v>
      </c>
      <c r="D58" s="1303">
        <v>779872.40287455905</v>
      </c>
      <c r="E58" s="1303">
        <v>6</v>
      </c>
      <c r="F58" s="1303">
        <v>347640.4</v>
      </c>
    </row>
    <row r="59" spans="1:6">
      <c r="A59" s="1302" t="s">
        <v>48</v>
      </c>
      <c r="B59" s="1302" t="s">
        <v>51</v>
      </c>
      <c r="C59" s="1303">
        <v>25</v>
      </c>
      <c r="D59" s="1303">
        <v>487936.547210872</v>
      </c>
      <c r="E59" s="1303">
        <v>87</v>
      </c>
      <c r="F59" s="1303">
        <v>2288071</v>
      </c>
    </row>
    <row r="60" spans="1:6">
      <c r="A60" s="1302" t="s">
        <v>48</v>
      </c>
      <c r="B60" s="1302" t="s">
        <v>52</v>
      </c>
      <c r="C60" s="1303">
        <v>36</v>
      </c>
      <c r="D60" s="1303">
        <v>1311339.6912454299</v>
      </c>
      <c r="E60" s="1303">
        <v>48</v>
      </c>
      <c r="F60" s="1303">
        <v>1221881</v>
      </c>
    </row>
    <row r="61" spans="1:6">
      <c r="A61" s="1302" t="s">
        <v>48</v>
      </c>
      <c r="B61" s="1302" t="s">
        <v>53</v>
      </c>
      <c r="C61" s="1303">
        <v>34</v>
      </c>
      <c r="D61" s="1303">
        <v>591656.27511518903</v>
      </c>
      <c r="E61" s="1303">
        <v>124</v>
      </c>
      <c r="F61" s="1303">
        <v>1555677</v>
      </c>
    </row>
    <row r="62" spans="1:6">
      <c r="A62" s="1302" t="s">
        <v>48</v>
      </c>
      <c r="B62" s="1302" t="s">
        <v>54</v>
      </c>
      <c r="C62" s="1303">
        <v>32</v>
      </c>
      <c r="D62" s="1303">
        <v>3784355.00545476</v>
      </c>
      <c r="E62" s="1303">
        <v>72</v>
      </c>
      <c r="F62" s="1303">
        <v>948196.8</v>
      </c>
    </row>
    <row r="63" spans="1:6">
      <c r="A63" s="1302" t="s">
        <v>48</v>
      </c>
      <c r="B63" s="1302" t="s">
        <v>28</v>
      </c>
      <c r="C63" s="1303">
        <v>143</v>
      </c>
      <c r="D63" s="1303">
        <v>8434121.0730689894</v>
      </c>
      <c r="E63" s="1303">
        <v>210</v>
      </c>
      <c r="F63" s="1303">
        <v>4757416.0199999996</v>
      </c>
    </row>
    <row r="64" spans="1:6">
      <c r="A64" s="1302" t="s">
        <v>55</v>
      </c>
      <c r="B64" s="1302" t="s">
        <v>56</v>
      </c>
      <c r="C64" s="1303">
        <v>0</v>
      </c>
      <c r="D64" s="1303">
        <v>0</v>
      </c>
      <c r="E64" s="1303">
        <v>0</v>
      </c>
      <c r="F64" s="1303">
        <v>0</v>
      </c>
    </row>
    <row r="65" spans="1:6">
      <c r="A65" s="1302" t="s">
        <v>55</v>
      </c>
      <c r="B65" s="1302" t="s">
        <v>28</v>
      </c>
      <c r="C65" s="1303">
        <v>6</v>
      </c>
      <c r="D65" s="1303">
        <v>154251.108343459</v>
      </c>
      <c r="E65" s="1303">
        <v>3</v>
      </c>
      <c r="F65" s="1303">
        <v>7308.4880000000003</v>
      </c>
    </row>
    <row r="66" spans="1:6">
      <c r="A66" s="1302" t="s">
        <v>55</v>
      </c>
      <c r="B66" s="1302" t="s">
        <v>57</v>
      </c>
      <c r="C66" s="1303">
        <v>0</v>
      </c>
      <c r="D66" s="1303">
        <v>0</v>
      </c>
      <c r="E66" s="1303">
        <v>7</v>
      </c>
      <c r="F66" s="1303">
        <v>35560.21</v>
      </c>
    </row>
    <row r="67" spans="1:6">
      <c r="A67" s="1302" t="s">
        <v>55</v>
      </c>
      <c r="B67" s="1302" t="s">
        <v>58</v>
      </c>
      <c r="C67" s="1303">
        <v>0</v>
      </c>
      <c r="D67" s="1303">
        <v>0</v>
      </c>
      <c r="E67" s="1303">
        <v>0</v>
      </c>
      <c r="F67" s="1303">
        <v>0</v>
      </c>
    </row>
    <row r="68" spans="1:6">
      <c r="A68" s="1297" t="s">
        <v>55</v>
      </c>
      <c r="B68" s="1297" t="s">
        <v>59</v>
      </c>
      <c r="C68" s="1305">
        <v>0</v>
      </c>
      <c r="D68" s="1305">
        <v>0</v>
      </c>
      <c r="E68" s="1305">
        <v>9</v>
      </c>
      <c r="F68" s="1305">
        <v>131520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58087883</v>
      </c>
      <c r="E73" s="442"/>
      <c r="F73" s="324"/>
    </row>
    <row r="74" spans="1:6">
      <c r="A74" s="1302" t="s">
        <v>63</v>
      </c>
      <c r="B74" s="1302" t="s">
        <v>695</v>
      </c>
      <c r="C74" s="1315" t="s">
        <v>697</v>
      </c>
      <c r="D74" s="1303">
        <v>5439612.7685957728</v>
      </c>
      <c r="E74" s="442"/>
      <c r="F74" s="324"/>
    </row>
    <row r="75" spans="1:6">
      <c r="A75" s="1302" t="s">
        <v>64</v>
      </c>
      <c r="B75" s="1302" t="s">
        <v>694</v>
      </c>
      <c r="C75" s="1315" t="s">
        <v>698</v>
      </c>
      <c r="D75" s="1303">
        <v>16779908</v>
      </c>
      <c r="E75" s="442"/>
      <c r="F75" s="324"/>
    </row>
    <row r="76" spans="1:6">
      <c r="A76" s="1302" t="s">
        <v>64</v>
      </c>
      <c r="B76" s="1302" t="s">
        <v>695</v>
      </c>
      <c r="C76" s="1315" t="s">
        <v>699</v>
      </c>
      <c r="D76" s="1303">
        <v>588436.76859577326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390854.46280845359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3463.360689470227</v>
      </c>
      <c r="C91" s="324"/>
      <c r="D91" s="324"/>
      <c r="E91" s="324"/>
      <c r="F91" s="324"/>
    </row>
    <row r="92" spans="1:6">
      <c r="A92" s="1297" t="s">
        <v>68</v>
      </c>
      <c r="B92" s="1298">
        <v>4573.4278748586521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1899</v>
      </c>
      <c r="C97" s="324"/>
      <c r="D97" s="324"/>
      <c r="E97" s="324"/>
      <c r="F97" s="324"/>
    </row>
    <row r="98" spans="1:6">
      <c r="A98" s="1302" t="s">
        <v>71</v>
      </c>
      <c r="B98" s="1303">
        <v>15</v>
      </c>
      <c r="C98" s="324"/>
      <c r="D98" s="324"/>
      <c r="E98" s="324"/>
      <c r="F98" s="324"/>
    </row>
    <row r="99" spans="1:6">
      <c r="A99" s="1302" t="s">
        <v>72</v>
      </c>
      <c r="B99" s="1303">
        <v>217</v>
      </c>
      <c r="C99" s="324"/>
      <c r="D99" s="324"/>
      <c r="E99" s="324"/>
      <c r="F99" s="324"/>
    </row>
    <row r="100" spans="1:6">
      <c r="A100" s="1302" t="s">
        <v>73</v>
      </c>
      <c r="B100" s="1303">
        <v>180</v>
      </c>
      <c r="C100" s="324"/>
      <c r="D100" s="324"/>
      <c r="E100" s="324"/>
      <c r="F100" s="324"/>
    </row>
    <row r="101" spans="1:6">
      <c r="A101" s="1302" t="s">
        <v>74</v>
      </c>
      <c r="B101" s="1303">
        <v>177</v>
      </c>
      <c r="C101" s="324"/>
      <c r="D101" s="324"/>
      <c r="E101" s="324"/>
      <c r="F101" s="324"/>
    </row>
    <row r="102" spans="1:6">
      <c r="A102" s="1302" t="s">
        <v>75</v>
      </c>
      <c r="B102" s="1303">
        <v>45</v>
      </c>
      <c r="C102" s="324"/>
      <c r="D102" s="324"/>
      <c r="E102" s="324"/>
      <c r="F102" s="324"/>
    </row>
    <row r="103" spans="1:6">
      <c r="A103" s="1302" t="s">
        <v>76</v>
      </c>
      <c r="B103" s="1303">
        <v>73</v>
      </c>
      <c r="C103" s="324"/>
      <c r="D103" s="324"/>
      <c r="E103" s="324"/>
      <c r="F103" s="324"/>
    </row>
    <row r="104" spans="1:6">
      <c r="A104" s="1302" t="s">
        <v>77</v>
      </c>
      <c r="B104" s="1303">
        <v>2212</v>
      </c>
      <c r="C104" s="324"/>
      <c r="D104" s="324"/>
      <c r="E104" s="324"/>
      <c r="F104" s="324"/>
    </row>
    <row r="105" spans="1:6">
      <c r="A105" s="1297" t="s">
        <v>78</v>
      </c>
      <c r="B105" s="1305">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31</v>
      </c>
      <c r="C123" s="1303">
        <v>28</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108</v>
      </c>
      <c r="C129" s="324"/>
      <c r="D129" s="324"/>
      <c r="E129" s="324"/>
      <c r="F129" s="324"/>
    </row>
    <row r="130" spans="1:6">
      <c r="A130" s="1302" t="s">
        <v>284</v>
      </c>
      <c r="B130" s="1303">
        <v>3</v>
      </c>
      <c r="C130" s="324"/>
      <c r="D130" s="324"/>
      <c r="E130" s="324"/>
      <c r="F130" s="324"/>
    </row>
    <row r="131" spans="1:6">
      <c r="A131" s="1302" t="s">
        <v>285</v>
      </c>
      <c r="B131" s="1303">
        <v>0</v>
      </c>
      <c r="C131" s="324"/>
      <c r="D131" s="324"/>
      <c r="E131" s="324"/>
      <c r="F131" s="324"/>
    </row>
    <row r="132" spans="1:6">
      <c r="A132" s="1297" t="s">
        <v>286</v>
      </c>
      <c r="B132" s="1298">
        <v>18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83671.463320978364</v>
      </c>
      <c r="C3" s="43" t="s">
        <v>163</v>
      </c>
      <c r="D3" s="43"/>
      <c r="E3" s="154"/>
      <c r="F3" s="43"/>
      <c r="G3" s="43"/>
      <c r="H3" s="43"/>
      <c r="I3" s="43"/>
      <c r="J3" s="43"/>
      <c r="K3" s="96"/>
    </row>
    <row r="4" spans="1:11">
      <c r="A4" s="351" t="s">
        <v>164</v>
      </c>
      <c r="B4" s="49">
        <f>IF(ISERROR('SEAP template'!B78+'SEAP template'!C78),0,'SEAP template'!B78+'SEAP template'!C78)</f>
        <v>40755.688564328884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7765.1770588235313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0.20615825988211445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11093.110084033613</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46741.28571428571</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0.23733001594868805</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1022.272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1022.272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0.20615825988211445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210.7498166462089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24083.708999999999</v>
      </c>
      <c r="C5" s="17">
        <f>IF(ISERROR('Eigen informatie GS &amp; warmtenet'!B57),0,'Eigen informatie GS &amp; warmtenet'!B57)</f>
        <v>0</v>
      </c>
      <c r="D5" s="30">
        <f>(SUM(HH_hh_gas_kWh,HH_rest_gas_kWh)/1000)*0.902</f>
        <v>56551.65022716565</v>
      </c>
      <c r="E5" s="17">
        <f>B32*B41</f>
        <v>1196.1874753048614</v>
      </c>
      <c r="F5" s="17">
        <f>B36*B45</f>
        <v>37735.982973860569</v>
      </c>
      <c r="G5" s="18"/>
      <c r="H5" s="17"/>
      <c r="I5" s="17"/>
      <c r="J5" s="17">
        <f>B35*B44+C35*C44</f>
        <v>880.00169742036701</v>
      </c>
      <c r="K5" s="17"/>
      <c r="L5" s="17"/>
      <c r="M5" s="17"/>
      <c r="N5" s="17">
        <f>B34*B43+C34*C43</f>
        <v>6743.2761271044492</v>
      </c>
      <c r="O5" s="17">
        <f>B52*B53*B54</f>
        <v>214.17666666666668</v>
      </c>
      <c r="P5" s="17">
        <f>B60*B61*B62/1000-B60*B61*B62/1000/B63</f>
        <v>934.26666666666665</v>
      </c>
    </row>
    <row r="6" spans="1:16">
      <c r="A6" s="16" t="s">
        <v>618</v>
      </c>
      <c r="B6" s="755">
        <f>kWh_PV_kleiner_dan_10kW</f>
        <v>3463.360689470227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27547.069689470227</v>
      </c>
      <c r="C8" s="21">
        <f>C5</f>
        <v>0</v>
      </c>
      <c r="D8" s="21">
        <f>D5</f>
        <v>56551.65022716565</v>
      </c>
      <c r="E8" s="21">
        <f>E5</f>
        <v>1196.1874753048614</v>
      </c>
      <c r="F8" s="21">
        <f>F5</f>
        <v>37735.982973860569</v>
      </c>
      <c r="G8" s="21"/>
      <c r="H8" s="21"/>
      <c r="I8" s="21"/>
      <c r="J8" s="21">
        <f>J5</f>
        <v>880.00169742036701</v>
      </c>
      <c r="K8" s="21"/>
      <c r="L8" s="21">
        <f>L5</f>
        <v>0</v>
      </c>
      <c r="M8" s="21">
        <f>M5</f>
        <v>0</v>
      </c>
      <c r="N8" s="21">
        <f>N5</f>
        <v>6743.2761271044492</v>
      </c>
      <c r="O8" s="21">
        <f>O5</f>
        <v>214.17666666666668</v>
      </c>
      <c r="P8" s="21">
        <f>P5</f>
        <v>934.26666666666665</v>
      </c>
    </row>
    <row r="9" spans="1:16">
      <c r="B9" s="19"/>
      <c r="C9" s="19"/>
      <c r="D9" s="254"/>
      <c r="E9" s="19"/>
      <c r="F9" s="19"/>
      <c r="G9" s="19"/>
      <c r="H9" s="19"/>
      <c r="I9" s="19"/>
      <c r="J9" s="19"/>
      <c r="K9" s="19"/>
      <c r="L9" s="19"/>
      <c r="M9" s="19"/>
      <c r="N9" s="19"/>
      <c r="O9" s="19"/>
      <c r="P9" s="19"/>
    </row>
    <row r="10" spans="1:16">
      <c r="A10" s="24" t="s">
        <v>207</v>
      </c>
      <c r="B10" s="25">
        <f ca="1">'EF ele_warmte'!B12</f>
        <v>0.20615825988211445</v>
      </c>
      <c r="C10" s="25">
        <f ca="1">'EF ele_warmte'!B22</f>
        <v>0.23733001594868805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5679.0559520325205</v>
      </c>
      <c r="C12" s="23">
        <f ca="1">C10*C8</f>
        <v>0</v>
      </c>
      <c r="D12" s="23">
        <f>D8*D10</f>
        <v>11423.433345887463</v>
      </c>
      <c r="E12" s="23">
        <f>E10*E8</f>
        <v>271.53455689420355</v>
      </c>
      <c r="F12" s="23">
        <f>F10*F8</f>
        <v>10075.507454020773</v>
      </c>
      <c r="G12" s="23"/>
      <c r="H12" s="23"/>
      <c r="I12" s="23"/>
      <c r="J12" s="23">
        <f>J10*J8</f>
        <v>311.52060088680992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5837</v>
      </c>
      <c r="C26" s="36"/>
      <c r="D26" s="225"/>
    </row>
    <row r="27" spans="1:5" s="15" customFormat="1">
      <c r="A27" s="227" t="s">
        <v>721</v>
      </c>
      <c r="B27" s="37">
        <f>SUM(HH_hh_gas_aantal,HH_rest_gas_aantal)</f>
        <v>3591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3411.45</v>
      </c>
      <c r="C31" s="34" t="s">
        <v>104</v>
      </c>
      <c r="D31" s="171"/>
    </row>
    <row r="32" spans="1:5">
      <c r="A32" s="168" t="s">
        <v>72</v>
      </c>
      <c r="B32" s="33">
        <f>IF((B21*($B$26-($B$27-0.05*$B$27)-$B$60))&lt;0,0,B21*($B$26-($B$27-0.05*$B$27)-$B$60))</f>
        <v>14.984671659508058</v>
      </c>
      <c r="C32" s="34" t="s">
        <v>104</v>
      </c>
      <c r="D32" s="171"/>
    </row>
    <row r="33" spans="1:6">
      <c r="A33" s="168" t="s">
        <v>73</v>
      </c>
      <c r="B33" s="33">
        <f>IF((B22*($B$26-($B$27-0.05*$B$27)-$B$60))&lt;0,0,B22*($B$26-($B$27-0.05*$B$27)-$B$60))</f>
        <v>521.82070221809715</v>
      </c>
      <c r="C33" s="34" t="s">
        <v>104</v>
      </c>
      <c r="D33" s="171"/>
    </row>
    <row r="34" spans="1:6">
      <c r="A34" s="168" t="s">
        <v>74</v>
      </c>
      <c r="B34" s="33">
        <f>IF((B24*($B$26-($B$27-0.05*$B$27)-$B$60))&lt;0,0,B24*($B$26-($B$27-0.05*$B$27)-$B$60))</f>
        <v>103.57910089428627</v>
      </c>
      <c r="C34" s="33">
        <f>B26*C24</f>
        <v>1194.2483463118006</v>
      </c>
      <c r="D34" s="230"/>
    </row>
    <row r="35" spans="1:6">
      <c r="A35" s="168" t="s">
        <v>76</v>
      </c>
      <c r="B35" s="33">
        <f>IF((B19*($B$26-($B$27-0.05*$B$27)-$B$60))&lt;0,0,B19*($B$26-($B$27-0.05*$B$27)-$B$60))</f>
        <v>50.604281286662811</v>
      </c>
      <c r="C35" s="33">
        <f>B35/2</f>
        <v>25.302140643331406</v>
      </c>
      <c r="D35" s="230"/>
    </row>
    <row r="36" spans="1:6">
      <c r="A36" s="168" t="s">
        <v>77</v>
      </c>
      <c r="B36" s="33">
        <f>IF((B18*($B$26-($B$27-0.05*$B$27)-$B$60))&lt;0,0,B18*($B$26-($B$27-0.05*$B$27)-$B$60))</f>
        <v>1685.5612439414467</v>
      </c>
      <c r="C36" s="34" t="s">
        <v>104</v>
      </c>
      <c r="D36" s="171"/>
    </row>
    <row r="37" spans="1:6">
      <c r="A37" s="168" t="s">
        <v>78</v>
      </c>
      <c r="B37" s="33">
        <f>B60</f>
        <v>49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11980.90972</v>
      </c>
      <c r="C5" s="17">
        <f>IF(ISERROR('Eigen informatie GS &amp; warmtenet'!B58),0,'Eigen informatie GS &amp; warmtenet'!B58)</f>
        <v>0</v>
      </c>
      <c r="D5" s="30">
        <f>SUM(D6:D12)</f>
        <v>14094.421155667449</v>
      </c>
      <c r="E5" s="17">
        <f>SUM(E6:E12)</f>
        <v>127.27289235886425</v>
      </c>
      <c r="F5" s="17">
        <f>SUM(F6:F12)</f>
        <v>1919.1186587586287</v>
      </c>
      <c r="G5" s="18"/>
      <c r="H5" s="17"/>
      <c r="I5" s="17"/>
      <c r="J5" s="17">
        <f>SUM(J6:J12)</f>
        <v>0</v>
      </c>
      <c r="K5" s="17"/>
      <c r="L5" s="17"/>
      <c r="M5" s="17"/>
      <c r="N5" s="17">
        <f>SUM(N6:N12)</f>
        <v>1051.1598302188766</v>
      </c>
      <c r="O5" s="17">
        <f>B38*B39*B40</f>
        <v>4.6900000000000004</v>
      </c>
      <c r="P5" s="17">
        <f>B46*B47*B48/1000-B46*B47*B48/1000/B49</f>
        <v>0</v>
      </c>
      <c r="R5" s="32"/>
    </row>
    <row r="6" spans="1:18">
      <c r="A6" s="32" t="s">
        <v>53</v>
      </c>
      <c r="B6" s="37">
        <f>B26</f>
        <v>1555.6769999999999</v>
      </c>
      <c r="C6" s="33"/>
      <c r="D6" s="37">
        <f>IF(ISERROR(TER_kantoor_gas_kWh/1000),0,TER_kantoor_gas_kWh/1000)*0.902</f>
        <v>533.67396015390057</v>
      </c>
      <c r="E6" s="33">
        <f>$C$26*'E Balans VL '!I12/100/3.6*1000000</f>
        <v>4.507024519180086</v>
      </c>
      <c r="F6" s="33">
        <f>$C$26*('E Balans VL '!L12+'E Balans VL '!N12)/100/3.6*1000000</f>
        <v>176.06836217832918</v>
      </c>
      <c r="G6" s="34"/>
      <c r="H6" s="33"/>
      <c r="I6" s="33"/>
      <c r="J6" s="33">
        <f>$C$26*('E Balans VL '!D12+'E Balans VL '!E12)/100/3.6*1000000</f>
        <v>0</v>
      </c>
      <c r="K6" s="33"/>
      <c r="L6" s="33"/>
      <c r="M6" s="33"/>
      <c r="N6" s="33">
        <f>$C$26*'E Balans VL '!Y12/100/3.6*1000000</f>
        <v>15.571180496006678</v>
      </c>
      <c r="O6" s="33"/>
      <c r="P6" s="33"/>
      <c r="R6" s="32"/>
    </row>
    <row r="7" spans="1:18">
      <c r="A7" s="32" t="s">
        <v>52</v>
      </c>
      <c r="B7" s="37">
        <f t="shared" ref="B7:B12" si="0">B27</f>
        <v>1221.8810000000001</v>
      </c>
      <c r="C7" s="33"/>
      <c r="D7" s="37">
        <f>IF(ISERROR(TER_horeca_gas_kWh/1000),0,TER_horeca_gas_kWh/1000)*0.902</f>
        <v>1182.8284015033778</v>
      </c>
      <c r="E7" s="33">
        <f>$C$27*'E Balans VL '!I9/100/3.6*1000000</f>
        <v>51.291150511957134</v>
      </c>
      <c r="F7" s="33">
        <f>$C$27*('E Balans VL '!L9+'E Balans VL '!N9)/100/3.6*1000000</f>
        <v>262.54618987984998</v>
      </c>
      <c r="G7" s="34"/>
      <c r="H7" s="33"/>
      <c r="I7" s="33"/>
      <c r="J7" s="33">
        <f>$C$27*('E Balans VL '!D9+'E Balans VL '!E9)/100/3.6*1000000</f>
        <v>0</v>
      </c>
      <c r="K7" s="33"/>
      <c r="L7" s="33"/>
      <c r="M7" s="33"/>
      <c r="N7" s="33">
        <f>$C$27*'E Balans VL '!Y9/100/3.6*1000000</f>
        <v>0.31486804796300522</v>
      </c>
      <c r="O7" s="33"/>
      <c r="P7" s="33"/>
      <c r="R7" s="32"/>
    </row>
    <row r="8" spans="1:18">
      <c r="A8" s="6" t="s">
        <v>51</v>
      </c>
      <c r="B8" s="37">
        <f t="shared" si="0"/>
        <v>2288.0709999999999</v>
      </c>
      <c r="C8" s="33"/>
      <c r="D8" s="37">
        <f>IF(ISERROR(TER_handel_gas_kWh/1000),0,TER_handel_gas_kWh/1000)*0.902</f>
        <v>440.11876558420653</v>
      </c>
      <c r="E8" s="33">
        <f>$C$28*'E Balans VL '!I13/100/3.6*1000000</f>
        <v>24.57578684736033</v>
      </c>
      <c r="F8" s="33">
        <f>$C$28*('E Balans VL '!L13+'E Balans VL '!N13)/100/3.6*1000000</f>
        <v>296.20968545081178</v>
      </c>
      <c r="G8" s="34"/>
      <c r="H8" s="33"/>
      <c r="I8" s="33"/>
      <c r="J8" s="33">
        <f>$C$28*('E Balans VL '!D13+'E Balans VL '!E13)/100/3.6*1000000</f>
        <v>0</v>
      </c>
      <c r="K8" s="33"/>
      <c r="L8" s="33"/>
      <c r="M8" s="33"/>
      <c r="N8" s="33">
        <f>$C$28*'E Balans VL '!Y13/100/3.6*1000000</f>
        <v>18.560956886108674</v>
      </c>
      <c r="O8" s="33"/>
      <c r="P8" s="33"/>
      <c r="R8" s="32"/>
    </row>
    <row r="9" spans="1:18">
      <c r="A9" s="32" t="s">
        <v>50</v>
      </c>
      <c r="B9" s="37">
        <f t="shared" si="0"/>
        <v>347.6404</v>
      </c>
      <c r="C9" s="33"/>
      <c r="D9" s="37">
        <f>IF(ISERROR(TER_gezond_gas_kWh/1000),0,TER_gezond_gas_kWh/1000)*0.902</f>
        <v>703.44490739285231</v>
      </c>
      <c r="E9" s="33">
        <f>$C$29*'E Balans VL '!I10/100/3.6*1000000</f>
        <v>0.27674424317868701</v>
      </c>
      <c r="F9" s="33">
        <f>$C$29*('E Balans VL '!L10+'E Balans VL '!N10)/100/3.6*1000000</f>
        <v>42.260714476280775</v>
      </c>
      <c r="G9" s="34"/>
      <c r="H9" s="33"/>
      <c r="I9" s="33"/>
      <c r="J9" s="33">
        <f>$C$29*('E Balans VL '!D10+'E Balans VL '!E10)/100/3.6*1000000</f>
        <v>0</v>
      </c>
      <c r="K9" s="33"/>
      <c r="L9" s="33"/>
      <c r="M9" s="33"/>
      <c r="N9" s="33">
        <f>$C$29*'E Balans VL '!Y10/100/3.6*1000000</f>
        <v>2.808147049927415</v>
      </c>
      <c r="O9" s="33"/>
      <c r="P9" s="33"/>
      <c r="R9" s="32"/>
    </row>
    <row r="10" spans="1:18">
      <c r="A10" s="32" t="s">
        <v>49</v>
      </c>
      <c r="B10" s="37">
        <f t="shared" si="0"/>
        <v>862.02750000000003</v>
      </c>
      <c r="C10" s="33"/>
      <c r="D10" s="37">
        <f>IF(ISERROR(TER_ander_gas_kWh/1000),0,TER_ander_gas_kWh/1000)*0.902</f>
        <v>213.2896982046905</v>
      </c>
      <c r="E10" s="33">
        <f>$C$30*'E Balans VL '!I14/100/3.6*1000000</f>
        <v>2.9542135276199328</v>
      </c>
      <c r="F10" s="33">
        <f>$C$30*('E Balans VL '!L14+'E Balans VL '!N14)/100/3.6*1000000</f>
        <v>192.54191482865494</v>
      </c>
      <c r="G10" s="34"/>
      <c r="H10" s="33"/>
      <c r="I10" s="33"/>
      <c r="J10" s="33">
        <f>$C$30*('E Balans VL '!D14+'E Balans VL '!E14)/100/3.6*1000000</f>
        <v>0</v>
      </c>
      <c r="K10" s="33"/>
      <c r="L10" s="33"/>
      <c r="M10" s="33"/>
      <c r="N10" s="33">
        <f>$C$30*'E Balans VL '!Y14/100/3.6*1000000</f>
        <v>607.21688016418091</v>
      </c>
      <c r="O10" s="33"/>
      <c r="P10" s="33"/>
      <c r="R10" s="32"/>
    </row>
    <row r="11" spans="1:18">
      <c r="A11" s="32" t="s">
        <v>54</v>
      </c>
      <c r="B11" s="37">
        <f t="shared" si="0"/>
        <v>948.19680000000005</v>
      </c>
      <c r="C11" s="33"/>
      <c r="D11" s="37">
        <f>IF(ISERROR(TER_onderwijs_gas_kWh/1000),0,TER_onderwijs_gas_kWh/1000)*0.902</f>
        <v>3413.4882149201935</v>
      </c>
      <c r="E11" s="33">
        <f>$C$31*'E Balans VL '!I11/100/3.6*1000000</f>
        <v>0.65545924567680647</v>
      </c>
      <c r="F11" s="33">
        <f>$C$31*('E Balans VL '!L11+'E Balans VL '!N11)/100/3.6*1000000</f>
        <v>248.21037899181428</v>
      </c>
      <c r="G11" s="34"/>
      <c r="H11" s="33"/>
      <c r="I11" s="33"/>
      <c r="J11" s="33">
        <f>$C$31*('E Balans VL '!D11+'E Balans VL '!E11)/100/3.6*1000000</f>
        <v>0</v>
      </c>
      <c r="K11" s="33"/>
      <c r="L11" s="33"/>
      <c r="M11" s="33"/>
      <c r="N11" s="33">
        <f>$C$31*'E Balans VL '!Y11/100/3.6*1000000</f>
        <v>0.94384915329660946</v>
      </c>
      <c r="O11" s="33"/>
      <c r="P11" s="33"/>
      <c r="R11" s="32"/>
    </row>
    <row r="12" spans="1:18">
      <c r="A12" s="32" t="s">
        <v>249</v>
      </c>
      <c r="B12" s="37">
        <f t="shared" si="0"/>
        <v>4757.4160199999997</v>
      </c>
      <c r="C12" s="33"/>
      <c r="D12" s="37">
        <f>IF(ISERROR(TER_rest_gas_kWh/1000),0,TER_rest_gas_kWh/1000)*0.902</f>
        <v>7607.577207908228</v>
      </c>
      <c r="E12" s="33">
        <f>$C$32*'E Balans VL '!I8/100/3.6*1000000</f>
        <v>43.012513463891274</v>
      </c>
      <c r="F12" s="33">
        <f>$C$32*('E Balans VL '!L8+'E Balans VL '!N8)/100/3.6*1000000</f>
        <v>701.28141295288788</v>
      </c>
      <c r="G12" s="34"/>
      <c r="H12" s="33"/>
      <c r="I12" s="33"/>
      <c r="J12" s="33">
        <f>$C$32*('E Balans VL '!D8+'E Balans VL '!E8)/100/3.6*1000000</f>
        <v>0</v>
      </c>
      <c r="K12" s="33"/>
      <c r="L12" s="33"/>
      <c r="M12" s="33"/>
      <c r="N12" s="33">
        <f>$C$32*'E Balans VL '!Y8/100/3.6*1000000</f>
        <v>405.74394842139327</v>
      </c>
      <c r="O12" s="33"/>
      <c r="P12" s="33"/>
      <c r="R12" s="32"/>
    </row>
    <row r="13" spans="1:18">
      <c r="A13" s="16" t="s">
        <v>481</v>
      </c>
      <c r="B13" s="243">
        <f ca="1">'lokale energieproductie'!N42+'lokale energieproductie'!N35</f>
        <v>0</v>
      </c>
      <c r="C13" s="243">
        <f ca="1">'lokale energieproductie'!O42+'lokale energieproductie'!O35</f>
        <v>0</v>
      </c>
      <c r="D13" s="302">
        <f ca="1">('lokale energieproductie'!P35+'lokale energieproductie'!P42)*(-1)</f>
        <v>0</v>
      </c>
      <c r="E13" s="244"/>
      <c r="F13" s="302">
        <f ca="1">('lokale energieproductie'!S35+'lokale energieproductie'!S42)*(-1)</f>
        <v>0</v>
      </c>
      <c r="G13" s="245"/>
      <c r="H13" s="244"/>
      <c r="I13" s="244"/>
      <c r="J13" s="244"/>
      <c r="K13" s="244"/>
      <c r="L13" s="302">
        <f ca="1">('lokale energieproductie'!U35+'lokale energieproductie'!T35+'lokale energieproductie'!U42+'lokale energieproductie'!T42)*(-1)</f>
        <v>0</v>
      </c>
      <c r="M13" s="244"/>
      <c r="N13" s="302">
        <f ca="1">('lokale energieproductie'!Q35+'lokale energieproductie'!R35+'lokale energieproductie'!V35+'lokale energieproductie'!Q42+'lokale energieproductie'!R42+'lokale energieproductie'!V42)*(-1)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11980.90972</v>
      </c>
      <c r="C16" s="21">
        <f t="shared" ca="1" si="1"/>
        <v>0</v>
      </c>
      <c r="D16" s="21">
        <f t="shared" ca="1" si="1"/>
        <v>14094.421155667449</v>
      </c>
      <c r="E16" s="21">
        <f t="shared" si="1"/>
        <v>127.27289235886425</v>
      </c>
      <c r="F16" s="21">
        <f t="shared" ca="1" si="1"/>
        <v>1919.1186587586287</v>
      </c>
      <c r="G16" s="21">
        <f t="shared" si="1"/>
        <v>0</v>
      </c>
      <c r="H16" s="21">
        <f t="shared" si="1"/>
        <v>0</v>
      </c>
      <c r="I16" s="21">
        <f t="shared" si="1"/>
        <v>0</v>
      </c>
      <c r="J16" s="21">
        <f t="shared" si="1"/>
        <v>0</v>
      </c>
      <c r="K16" s="21">
        <f t="shared" si="1"/>
        <v>0</v>
      </c>
      <c r="L16" s="21">
        <f t="shared" ca="1" si="1"/>
        <v>0</v>
      </c>
      <c r="M16" s="21">
        <f t="shared" si="1"/>
        <v>0</v>
      </c>
      <c r="N16" s="21">
        <f t="shared" ca="1" si="1"/>
        <v>1051.1598302188766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0.20615825988211445</v>
      </c>
      <c r="C18" s="25">
        <f ca="1">'EF ele_warmte'!B22</f>
        <v>0.23733001594868805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2469.9634996799109</v>
      </c>
      <c r="C20" s="23">
        <f t="shared" ref="C20:P20" ca="1" si="2">C16*C18</f>
        <v>0</v>
      </c>
      <c r="D20" s="23">
        <f t="shared" ca="1" si="2"/>
        <v>2847.0730734448248</v>
      </c>
      <c r="E20" s="23">
        <f t="shared" si="2"/>
        <v>28.890946565462187</v>
      </c>
      <c r="F20" s="23">
        <f t="shared" ca="1" si="2"/>
        <v>512.40468188855391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1555.6769999999999</v>
      </c>
      <c r="C26" s="39">
        <f>IF(ISERROR(B26*3.6/1000000/'E Balans VL '!Z12*100),0,B26*3.6/1000000/'E Balans VL '!Z12*100)</f>
        <v>3.4172243847713106E-2</v>
      </c>
      <c r="D26" s="233" t="s">
        <v>676</v>
      </c>
      <c r="F26" s="6"/>
    </row>
    <row r="27" spans="1:18">
      <c r="A27" s="228" t="s">
        <v>52</v>
      </c>
      <c r="B27" s="33">
        <f>IF(ISERROR(TER_horeca_ele_kWh/1000),0,TER_horeca_ele_kWh/1000)</f>
        <v>1221.8810000000001</v>
      </c>
      <c r="C27" s="39">
        <f>IF(ISERROR(B27*3.6/1000000/'E Balans VL '!Z9*100),0,B27*3.6/1000000/'E Balans VL '!Z9*100)</f>
        <v>9.8190318203665236E-2</v>
      </c>
      <c r="D27" s="233" t="s">
        <v>676</v>
      </c>
      <c r="F27" s="6"/>
    </row>
    <row r="28" spans="1:18">
      <c r="A28" s="168" t="s">
        <v>51</v>
      </c>
      <c r="B28" s="33">
        <f>IF(ISERROR(TER_handel_ele_kWh/1000),0,TER_handel_ele_kWh/1000)</f>
        <v>2288.0709999999999</v>
      </c>
      <c r="C28" s="39">
        <f>IF(ISERROR(B28*3.6/1000000/'E Balans VL '!Z13*100),0,B28*3.6/1000000/'E Balans VL '!Z13*100)</f>
        <v>6.7656660990036796E-2</v>
      </c>
      <c r="D28" s="233" t="s">
        <v>676</v>
      </c>
      <c r="F28" s="6"/>
    </row>
    <row r="29" spans="1:18">
      <c r="A29" s="228" t="s">
        <v>50</v>
      </c>
      <c r="B29" s="33">
        <f>IF(ISERROR(TER_gezond_ele_kWh/1000),0,TER_gezond_ele_kWh/1000)</f>
        <v>347.6404</v>
      </c>
      <c r="C29" s="39">
        <f>IF(ISERROR(B29*3.6/1000000/'E Balans VL '!Z10*100),0,B29*3.6/1000000/'E Balans VL '!Z10*100)</f>
        <v>3.9170097796045286E-2</v>
      </c>
      <c r="D29" s="233" t="s">
        <v>676</v>
      </c>
      <c r="F29" s="6"/>
    </row>
    <row r="30" spans="1:18">
      <c r="A30" s="228" t="s">
        <v>49</v>
      </c>
      <c r="B30" s="33">
        <f>IF(ISERROR(TER_ander_ele_kWh/1000),0,TER_ander_ele_kWh/1000)</f>
        <v>862.02750000000003</v>
      </c>
      <c r="C30" s="39">
        <f>IF(ISERROR(B30*3.6/1000000/'E Balans VL '!Z14*100),0,B30*3.6/1000000/'E Balans VL '!Z14*100)</f>
        <v>6.5193666255549967E-2</v>
      </c>
      <c r="D30" s="233" t="s">
        <v>676</v>
      </c>
      <c r="F30" s="6"/>
    </row>
    <row r="31" spans="1:18">
      <c r="A31" s="228" t="s">
        <v>54</v>
      </c>
      <c r="B31" s="33">
        <f>IF(ISERROR(TER_onderwijs_ele_kWh/1000),0,TER_onderwijs_ele_kWh/1000)</f>
        <v>948.19680000000005</v>
      </c>
      <c r="C31" s="39">
        <f>IF(ISERROR(B31*3.6/1000000/'E Balans VL '!Z11*100),0,B31*3.6/1000000/'E Balans VL '!Z11*100)</f>
        <v>0.19682364423624865</v>
      </c>
      <c r="D31" s="233" t="s">
        <v>676</v>
      </c>
    </row>
    <row r="32" spans="1:18">
      <c r="A32" s="228" t="s">
        <v>249</v>
      </c>
      <c r="B32" s="33">
        <f>IF(ISERROR(TER_rest_ele_kWh/1000),0,TER_rest_ele_kWh/1000)</f>
        <v>4757.4160199999997</v>
      </c>
      <c r="C32" s="39">
        <f>IF(ISERROR(B32*3.6/1000000/'E Balans VL '!Z8*100),0,B32*3.6/1000000/'E Balans VL '!Z8*100)</f>
        <v>4.0078431275432168E-2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31876.042999999998</v>
      </c>
      <c r="C5" s="17">
        <f>IF(ISERROR('Eigen informatie GS &amp; warmtenet'!B59),0,'Eigen informatie GS &amp; warmtenet'!B59)</f>
        <v>0</v>
      </c>
      <c r="D5" s="30">
        <f>SUM(D6:D15)</f>
        <v>26928.724003129955</v>
      </c>
      <c r="E5" s="17">
        <f>SUM(E6:E15)</f>
        <v>1468.1385394809267</v>
      </c>
      <c r="F5" s="17">
        <f>SUM(F6:F15)</f>
        <v>27847.615049017855</v>
      </c>
      <c r="G5" s="18"/>
      <c r="H5" s="17"/>
      <c r="I5" s="17"/>
      <c r="J5" s="17">
        <f>SUM(J6:J15)</f>
        <v>348.01863584330857</v>
      </c>
      <c r="K5" s="17"/>
      <c r="L5" s="17"/>
      <c r="M5" s="17"/>
      <c r="N5" s="17">
        <f>SUM(N6:N15)</f>
        <v>7246.4079316467905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1675.914</v>
      </c>
      <c r="C8" s="33"/>
      <c r="D8" s="37">
        <f>IF( ISERROR(IND_metaal_Gas_kWH/1000),0,IND_metaal_Gas_kWH/1000)*0.902</f>
        <v>73.90420300233302</v>
      </c>
      <c r="E8" s="33">
        <f>C30*'E Balans VL '!I18/100/3.6*1000000</f>
        <v>41.942261846661715</v>
      </c>
      <c r="F8" s="33">
        <f>C30*'E Balans VL '!L18/100/3.6*1000000+C30*'E Balans VL '!N18/100/3.6*1000000</f>
        <v>525.23978402496141</v>
      </c>
      <c r="G8" s="34"/>
      <c r="H8" s="33"/>
      <c r="I8" s="33"/>
      <c r="J8" s="40">
        <f>C30*'E Balans VL '!D18/100/3.6*1000000+C30*'E Balans VL '!E18/100/3.6*1000000</f>
        <v>0</v>
      </c>
      <c r="K8" s="33"/>
      <c r="L8" s="33"/>
      <c r="M8" s="33"/>
      <c r="N8" s="33">
        <f>C30*'E Balans VL '!Y18/100/3.6*1000000</f>
        <v>42.103309056098524</v>
      </c>
      <c r="O8" s="33"/>
      <c r="P8" s="33"/>
      <c r="R8" s="32"/>
    </row>
    <row r="9" spans="1:18">
      <c r="A9" s="6" t="s">
        <v>32</v>
      </c>
      <c r="B9" s="37">
        <f t="shared" si="0"/>
        <v>1939.085</v>
      </c>
      <c r="C9" s="33"/>
      <c r="D9" s="37">
        <f>IF( ISERROR(IND_andere_gas_kWh/1000),0,IND_andere_gas_kWh/1000)*0.902</f>
        <v>642.34344162712659</v>
      </c>
      <c r="E9" s="33">
        <f>C31*'E Balans VL '!I19/100/3.6*1000000</f>
        <v>533.16884332092309</v>
      </c>
      <c r="F9" s="33">
        <f>C31*'E Balans VL '!L19/100/3.6*1000000+C31*'E Balans VL '!N19/100/3.6*1000000</f>
        <v>1528.3364050164275</v>
      </c>
      <c r="G9" s="34"/>
      <c r="H9" s="33"/>
      <c r="I9" s="33"/>
      <c r="J9" s="40">
        <f>C31*'E Balans VL '!D19/100/3.6*1000000+C31*'E Balans VL '!E19/100/3.6*1000000</f>
        <v>0</v>
      </c>
      <c r="K9" s="33"/>
      <c r="L9" s="33"/>
      <c r="M9" s="33"/>
      <c r="N9" s="33">
        <f>C31*'E Balans VL '!Y19/100/3.6*1000000</f>
        <v>156.21390952502554</v>
      </c>
      <c r="O9" s="33"/>
      <c r="P9" s="33"/>
      <c r="R9" s="32"/>
    </row>
    <row r="10" spans="1:18">
      <c r="A10" s="6" t="s">
        <v>40</v>
      </c>
      <c r="B10" s="37">
        <f t="shared" si="0"/>
        <v>11809.717000000001</v>
      </c>
      <c r="C10" s="33"/>
      <c r="D10" s="37">
        <f>IF( ISERROR(IND_voed_gas_kWh/1000),0,IND_voed_gas_kWh/1000)*0.902</f>
        <v>0</v>
      </c>
      <c r="E10" s="33">
        <f>C32*'E Balans VL '!I20/100/3.6*1000000</f>
        <v>120.39355880478125</v>
      </c>
      <c r="F10" s="33">
        <f>C32*'E Balans VL '!L20/100/3.6*1000000+C32*'E Balans VL '!N20/100/3.6*1000000</f>
        <v>22308.4815503502</v>
      </c>
      <c r="G10" s="34"/>
      <c r="H10" s="33"/>
      <c r="I10" s="33"/>
      <c r="J10" s="40">
        <f>C32*'E Balans VL '!D20/100/3.6*1000000+C32*'E Balans VL '!E20/100/3.6*1000000</f>
        <v>282.64516937896974</v>
      </c>
      <c r="K10" s="33"/>
      <c r="L10" s="33"/>
      <c r="M10" s="33"/>
      <c r="N10" s="33">
        <f>C32*'E Balans VL '!Y20/100/3.6*1000000</f>
        <v>6225.0811715920199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1343.8579999999999</v>
      </c>
      <c r="C12" s="33"/>
      <c r="D12" s="37">
        <f>IF( ISERROR(IND_min_gas_kWh/1000),0,IND_min_gas_kWh/1000)*0.902</f>
        <v>0</v>
      </c>
      <c r="E12" s="33">
        <f>C34*'E Balans VL '!I22/100/3.6*1000000</f>
        <v>4.0699379838923386</v>
      </c>
      <c r="F12" s="33">
        <f>C34*'E Balans VL '!L22/100/3.6*1000000+C34*'E Balans VL '!N22/100/3.6*1000000</f>
        <v>41.99671786324258</v>
      </c>
      <c r="G12" s="34"/>
      <c r="H12" s="33"/>
      <c r="I12" s="33"/>
      <c r="J12" s="40">
        <f>C34*'E Balans VL '!D22/100/3.6*1000000+C34*'E Balans VL '!E22/100/3.6*1000000</f>
        <v>1.9926430928961982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15107.468999999999</v>
      </c>
      <c r="C15" s="33"/>
      <c r="D15" s="37">
        <f>IF( ISERROR(IND_rest_gas_kWh/1000),0,IND_rest_gas_kWh/1000)*0.902</f>
        <v>26212.476358500495</v>
      </c>
      <c r="E15" s="33">
        <f>C37*'E Balans VL '!I15/100/3.6*1000000</f>
        <v>768.5639375246684</v>
      </c>
      <c r="F15" s="33">
        <f>C37*'E Balans VL '!L15/100/3.6*1000000+C37*'E Balans VL '!N15/100/3.6*1000000</f>
        <v>3443.5605917630223</v>
      </c>
      <c r="G15" s="34"/>
      <c r="H15" s="33"/>
      <c r="I15" s="33"/>
      <c r="J15" s="40">
        <f>C37*'E Balans VL '!D15/100/3.6*1000000+C37*'E Balans VL '!E15/100/3.6*1000000</f>
        <v>63.380823371442673</v>
      </c>
      <c r="K15" s="33"/>
      <c r="L15" s="33"/>
      <c r="M15" s="33"/>
      <c r="N15" s="33">
        <f>C37*'E Balans VL '!Y15/100/3.6*1000000</f>
        <v>823.00954147364655</v>
      </c>
      <c r="O15" s="33"/>
      <c r="P15" s="33"/>
      <c r="R15" s="32"/>
    </row>
    <row r="16" spans="1:18">
      <c r="A16" s="16" t="s">
        <v>481</v>
      </c>
      <c r="B16" s="243">
        <f>'lokale energieproductie'!N41+'lokale energieproductie'!N34</f>
        <v>0</v>
      </c>
      <c r="C16" s="243">
        <f>'lokale energieproductie'!O41+'lokale energieproductie'!O34</f>
        <v>0</v>
      </c>
      <c r="D16" s="302">
        <f>('lokale energieproductie'!P34+'lokale energieproductie'!P41)*(-1)</f>
        <v>0</v>
      </c>
      <c r="E16" s="244"/>
      <c r="F16" s="302">
        <f>('lokale energieproductie'!S34+'lokale energieproductie'!S41)*(-1)</f>
        <v>0</v>
      </c>
      <c r="G16" s="245"/>
      <c r="H16" s="244"/>
      <c r="I16" s="244"/>
      <c r="J16" s="244"/>
      <c r="K16" s="244"/>
      <c r="L16" s="302">
        <f>('lokale energieproductie'!T34+'lokale energieproductie'!U34+'lokale energieproductie'!T41+'lokale energieproductie'!U41)*(-1)</f>
        <v>0</v>
      </c>
      <c r="M16" s="244"/>
      <c r="N16" s="302">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31876.042999999998</v>
      </c>
      <c r="C18" s="21">
        <f>C5+C16</f>
        <v>0</v>
      </c>
      <c r="D18" s="21">
        <f>MAX((D5+D16),0)</f>
        <v>26928.724003129955</v>
      </c>
      <c r="E18" s="21">
        <f>MAX((E5+E16),0)</f>
        <v>1468.1385394809267</v>
      </c>
      <c r="F18" s="21">
        <f>MAX((F5+F16),0)</f>
        <v>27847.615049017855</v>
      </c>
      <c r="G18" s="21"/>
      <c r="H18" s="21"/>
      <c r="I18" s="21"/>
      <c r="J18" s="21">
        <f>MAX((J5+J16),0)</f>
        <v>348.01863584330857</v>
      </c>
      <c r="K18" s="21"/>
      <c r="L18" s="21">
        <f>MAX((L5+L16),0)</f>
        <v>0</v>
      </c>
      <c r="M18" s="21"/>
      <c r="N18" s="21">
        <f>MAX((N5+N16),0)</f>
        <v>7246.4079316467905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0.20615825988211445</v>
      </c>
      <c r="C20" s="25">
        <f ca="1">'EF ele_warmte'!B22</f>
        <v>0.23733001594868805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6571.5095568074548</v>
      </c>
      <c r="C22" s="23">
        <f ca="1">C18*C20</f>
        <v>0</v>
      </c>
      <c r="D22" s="23">
        <f>D18*D20</f>
        <v>5439.6022486322518</v>
      </c>
      <c r="E22" s="23">
        <f>E18*E20</f>
        <v>333.26744846217036</v>
      </c>
      <c r="F22" s="23">
        <f>F18*F20</f>
        <v>7435.3132180877674</v>
      </c>
      <c r="G22" s="23"/>
      <c r="H22" s="23"/>
      <c r="I22" s="23"/>
      <c r="J22" s="23">
        <f>J18*J20</f>
        <v>123.19859708853123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1675.914</v>
      </c>
      <c r="C30" s="39">
        <f>IF(ISERROR(B30*3.6/1000000/'E Balans VL '!Z18*100),0,B30*3.6/1000000/'E Balans VL '!Z18*100)</f>
        <v>0.23457210954895302</v>
      </c>
      <c r="D30" s="233" t="s">
        <v>676</v>
      </c>
    </row>
    <row r="31" spans="1:18">
      <c r="A31" s="6" t="s">
        <v>32</v>
      </c>
      <c r="B31" s="37">
        <f>IF( ISERROR(IND_ander_ele_kWh/1000),0,IND_ander_ele_kWh/1000)</f>
        <v>1939.085</v>
      </c>
      <c r="C31" s="39">
        <f>IF(ISERROR(B31*3.6/1000000/'E Balans VL '!Z19*100),0,B31*3.6/1000000/'E Balans VL '!Z19*100)</f>
        <v>8.4873435885721479E-2</v>
      </c>
      <c r="D31" s="233" t="s">
        <v>676</v>
      </c>
    </row>
    <row r="32" spans="1:18">
      <c r="A32" s="168" t="s">
        <v>40</v>
      </c>
      <c r="B32" s="37">
        <f>IF( ISERROR(IND_voed_ele_kWh/1000),0,IND_voed_ele_kWh/1000)</f>
        <v>11809.717000000001</v>
      </c>
      <c r="C32" s="39">
        <f>IF(ISERROR(B32*3.6/1000000/'E Balans VL '!Z20*100),0,B32*3.6/1000000/'E Balans VL '!Z20*100)</f>
        <v>2.9236937478429641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1343.8579999999999</v>
      </c>
      <c r="C34" s="39">
        <f>IF(ISERROR(B34*3.6/1000000/'E Balans VL '!Z22*100),0,B34*3.6/1000000/'E Balans VL '!Z22*100)</f>
        <v>3.8133207394021817E-2</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15107.468999999999</v>
      </c>
      <c r="C37" s="39">
        <f>IF(ISERROR(B37*3.6/1000000/'E Balans VL '!Z15*100),0,B37*3.6/1000000/'E Balans VL '!Z15*100)</f>
        <v>0.11201929612685536</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10189.7988</v>
      </c>
      <c r="C5" s="17">
        <f>'Eigen informatie GS &amp; warmtenet'!B60</f>
        <v>0</v>
      </c>
      <c r="D5" s="30">
        <f>IF(ISERROR(SUM(LB_lb_gas_kWh,LB_rest_gas_kWh)/1000),0,SUM(LB_lb_gas_kWh,LB_rest_gas_kWh)/1000)*0.902</f>
        <v>107300.96067425153</v>
      </c>
      <c r="E5" s="17">
        <f>B17*'E Balans VL '!I25/3.6*1000000/100</f>
        <v>94.382184365649195</v>
      </c>
      <c r="F5" s="17">
        <f>B17*('E Balans VL '!L25/3.6*1000000+'E Balans VL '!N25/3.6*1000000)/100</f>
        <v>25853.460710279356</v>
      </c>
      <c r="G5" s="18"/>
      <c r="H5" s="17"/>
      <c r="I5" s="17"/>
      <c r="J5" s="17">
        <f>('E Balans VL '!D25+'E Balans VL '!E25)/3.6*1000000*landbouw!B17/100</f>
        <v>1562.2098745265064</v>
      </c>
      <c r="K5" s="17"/>
      <c r="L5" s="17">
        <f>L6*(-1)</f>
        <v>0</v>
      </c>
      <c r="M5" s="17"/>
      <c r="N5" s="17">
        <f>N6*(-1)</f>
        <v>124.71428571428569</v>
      </c>
      <c r="O5" s="17"/>
      <c r="P5" s="17"/>
      <c r="R5" s="32"/>
    </row>
    <row r="6" spans="1:18">
      <c r="A6" s="16" t="s">
        <v>481</v>
      </c>
      <c r="B6" s="17" t="s">
        <v>204</v>
      </c>
      <c r="C6" s="17">
        <f>'lokale energieproductie'!O43+'lokale energieproductie'!O36</f>
        <v>46741.28571428571</v>
      </c>
      <c r="D6" s="302">
        <f>('lokale energieproductie'!P36+'lokale energieproductie'!P43)*(-1)</f>
        <v>-93357.85714285713</v>
      </c>
      <c r="E6" s="244"/>
      <c r="F6" s="302">
        <f>('lokale energieproductie'!S36+'lokale energieproductie'!S872)*(-1)</f>
        <v>0</v>
      </c>
      <c r="G6" s="245"/>
      <c r="H6" s="244"/>
      <c r="I6" s="244"/>
      <c r="J6" s="244"/>
      <c r="K6" s="244"/>
      <c r="L6" s="302">
        <f>('lokale energieproductie'!T36+'lokale energieproductie'!U36+'lokale energieproductie'!T43+'lokale energieproductie'!U43)*(-1)</f>
        <v>0</v>
      </c>
      <c r="M6" s="244"/>
      <c r="N6" s="302">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10189.7988</v>
      </c>
      <c r="C8" s="21">
        <f>C5+C6</f>
        <v>46741.28571428571</v>
      </c>
      <c r="D8" s="21">
        <f>MAX((D5+D6),0)</f>
        <v>13943.103531394401</v>
      </c>
      <c r="E8" s="21">
        <f>MAX((E5+E6),0)</f>
        <v>94.382184365649195</v>
      </c>
      <c r="F8" s="21">
        <f>MAX((F5+F6),0)</f>
        <v>25853.460710279356</v>
      </c>
      <c r="G8" s="21"/>
      <c r="H8" s="21"/>
      <c r="I8" s="21"/>
      <c r="J8" s="21">
        <f>MAX((J5+J6),0)</f>
        <v>1562.2098745265064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0.20615825988211445</v>
      </c>
      <c r="C10" s="31">
        <f ca="1">'EF ele_warmte'!B22</f>
        <v>0.23733001594868805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2100.7111891568579</v>
      </c>
      <c r="C12" s="23">
        <f ca="1">C8*C10</f>
        <v>11093.110084033613</v>
      </c>
      <c r="D12" s="23">
        <f>D8*D10</f>
        <v>2816.5069133416691</v>
      </c>
      <c r="E12" s="23">
        <f>E8*E10</f>
        <v>21.424755851002367</v>
      </c>
      <c r="F12" s="23">
        <f>F8*F10</f>
        <v>6902.8740096445881</v>
      </c>
      <c r="G12" s="23"/>
      <c r="H12" s="23"/>
      <c r="I12" s="23"/>
      <c r="J12" s="23">
        <f>J8*J10</f>
        <v>553.02229558238321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1.4487733282794835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1021.9180986365035</v>
      </c>
      <c r="C26" s="243">
        <f>B26*'GWP N2O_CH4'!B5</f>
        <v>21460.280071366575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659.44935713886798</v>
      </c>
      <c r="C27" s="243">
        <f>B27*'GWP N2O_CH4'!B5</f>
        <v>13848.436499916228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31.314156784941375</v>
      </c>
      <c r="C28" s="243">
        <f>B28*'GWP N2O_CH4'!B4</f>
        <v>9707.3886033318267</v>
      </c>
      <c r="D28" s="50"/>
    </row>
    <row r="29" spans="1:4">
      <c r="A29" s="41" t="s">
        <v>266</v>
      </c>
      <c r="B29" s="243">
        <f>B34*'ha_N2O bodem landbouw'!B4</f>
        <v>33.211472119455905</v>
      </c>
      <c r="C29" s="243">
        <f>B29*'GWP N2O_CH4'!B4</f>
        <v>10295.55635703133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7.4487480995819077E-3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3.7682226342231927E-5</v>
      </c>
      <c r="C5" s="430" t="s">
        <v>204</v>
      </c>
      <c r="D5" s="415">
        <f>SUM(D6:D11)</f>
        <v>6.1579910618018749E-5</v>
      </c>
      <c r="E5" s="415">
        <f>SUM(E6:E11)</f>
        <v>5.9721877439726425E-4</v>
      </c>
      <c r="F5" s="428" t="s">
        <v>204</v>
      </c>
      <c r="G5" s="415">
        <f>SUM(G6:G11)</f>
        <v>0.191440119236303</v>
      </c>
      <c r="H5" s="415">
        <f>SUM(H6:H11)</f>
        <v>3.5406567253360076E-2</v>
      </c>
      <c r="I5" s="430" t="s">
        <v>204</v>
      </c>
      <c r="J5" s="430" t="s">
        <v>204</v>
      </c>
      <c r="K5" s="430" t="s">
        <v>204</v>
      </c>
      <c r="L5" s="430" t="s">
        <v>204</v>
      </c>
      <c r="M5" s="415">
        <f>SUM(M6:M11)</f>
        <v>1.2179154531068102E-2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2.724608284529689E-5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4.1150796440336042E-5</v>
      </c>
      <c r="E6" s="858">
        <f>vkm_GW_PW*SUMIFS(TableVerdeelsleutelVkm[LPG],TableVerdeelsleutelVkm[Voertuigtype],"Lichte voertuigen")*SUMIFS(TableECFTransport[EnergieConsumptieFactor (PJ per km)],TableECFTransport[Index],CONCATENATE($A6,"_LPG_LPG"))</f>
        <v>4.0531516235459733E-4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9.2727594679269276E-2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2.3929538123475529E-2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6.1060014112418182E-3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1.3259731017375156E-6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5.0891400002161552E-2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9.6227640241001247E-7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2.9505675664667284E-3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8.9667316321046912E-6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2.042911417768271E-5</v>
      </c>
      <c r="E8" s="418">
        <f>vkm_NGW_PW*SUMIFS(TableVerdeelsleutelVkm[LPG],TableVerdeelsleutelVkm[Voertuigtype],"Lichte voertuigen")*SUMIFS(TableECFTransport[EnergieConsumptieFactor (PJ per km)],TableECFTransport[Index],CONCATENATE($A8,"_LPG_LPG"))</f>
        <v>1.9190361204266698E-4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4.0747914385178011E-2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1.1475941207646384E-2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2.7124971701227244E-3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1.4343876309282926E-7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7.0732101696941449E-3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1.2564583574804031E-7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4.1008838323683026E-4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10.467285095064424</v>
      </c>
      <c r="C14" s="21"/>
      <c r="D14" s="21">
        <f t="shared" ref="D14:M14" si="0">((D5)*10^9/3600)+D12</f>
        <v>17.105530727227432</v>
      </c>
      <c r="E14" s="21">
        <f t="shared" si="0"/>
        <v>165.89410399924006</v>
      </c>
      <c r="F14" s="21"/>
      <c r="G14" s="21">
        <f t="shared" si="0"/>
        <v>53177.810898973054</v>
      </c>
      <c r="H14" s="21">
        <f t="shared" si="0"/>
        <v>9835.1575703777999</v>
      </c>
      <c r="I14" s="21"/>
      <c r="J14" s="21"/>
      <c r="K14" s="21"/>
      <c r="L14" s="21"/>
      <c r="M14" s="21">
        <f t="shared" si="0"/>
        <v>3383.0984808522503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0.20615825988211445</v>
      </c>
      <c r="C16" s="56">
        <f ca="1">'EF ele_warmte'!B22</f>
        <v>0.23733001594868805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2.1579172808884746</v>
      </c>
      <c r="C18" s="23"/>
      <c r="D18" s="23">
        <f t="shared" ref="D18:M18" si="1">D14*D16</f>
        <v>3.4553172068999416</v>
      </c>
      <c r="E18" s="23">
        <f t="shared" si="1"/>
        <v>37.657961607827495</v>
      </c>
      <c r="F18" s="23"/>
      <c r="G18" s="23">
        <f t="shared" si="1"/>
        <v>14198.475510025806</v>
      </c>
      <c r="H18" s="23">
        <f t="shared" si="1"/>
        <v>2448.9542350240722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2.6012975087047528E-5</v>
      </c>
      <c r="C50" s="313">
        <f t="shared" ref="C50:P50" si="2">SUM(C51:C52)</f>
        <v>0</v>
      </c>
      <c r="D50" s="313">
        <f t="shared" si="2"/>
        <v>0</v>
      </c>
      <c r="E50" s="313">
        <f t="shared" si="2"/>
        <v>0</v>
      </c>
      <c r="F50" s="313">
        <f t="shared" si="2"/>
        <v>0</v>
      </c>
      <c r="G50" s="313">
        <f t="shared" si="2"/>
        <v>4.9291155391275035E-3</v>
      </c>
      <c r="H50" s="313">
        <f t="shared" si="2"/>
        <v>0</v>
      </c>
      <c r="I50" s="313">
        <f t="shared" si="2"/>
        <v>0</v>
      </c>
      <c r="J50" s="313">
        <f t="shared" si="2"/>
        <v>0</v>
      </c>
      <c r="K50" s="313">
        <f t="shared" si="2"/>
        <v>0</v>
      </c>
      <c r="L50" s="313">
        <f t="shared" si="2"/>
        <v>0</v>
      </c>
      <c r="M50" s="313">
        <f t="shared" si="2"/>
        <v>2.8375950089695235E-4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2.6012975087047528E-5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4.9291155391275035E-3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2.8375950089695235E-4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7.2258264130687584</v>
      </c>
      <c r="C54" s="21">
        <f t="shared" ref="C54:P54" si="3">(C50)*10^9/3600</f>
        <v>0</v>
      </c>
      <c r="D54" s="21">
        <f t="shared" si="3"/>
        <v>0</v>
      </c>
      <c r="E54" s="21">
        <f t="shared" si="3"/>
        <v>0</v>
      </c>
      <c r="F54" s="21">
        <f t="shared" si="3"/>
        <v>0</v>
      </c>
      <c r="G54" s="21">
        <f t="shared" si="3"/>
        <v>1369.1987608687509</v>
      </c>
      <c r="H54" s="21">
        <f t="shared" si="3"/>
        <v>0</v>
      </c>
      <c r="I54" s="21">
        <f t="shared" si="3"/>
        <v>0</v>
      </c>
      <c r="J54" s="21">
        <f t="shared" si="3"/>
        <v>0</v>
      </c>
      <c r="K54" s="21">
        <f t="shared" si="3"/>
        <v>0</v>
      </c>
      <c r="L54" s="21">
        <f t="shared" si="3"/>
        <v>0</v>
      </c>
      <c r="M54" s="21">
        <f t="shared" si="3"/>
        <v>78.822083582486769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0.20615825988211445</v>
      </c>
      <c r="C56" s="56">
        <f ca="1">'EF ele_warmte'!B22</f>
        <v>0.23733001594868805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1.4896637995284761</v>
      </c>
      <c r="C58" s="23">
        <f t="shared" ref="C58:P58" ca="1" si="4">C54*C56</f>
        <v>0</v>
      </c>
      <c r="D58" s="23">
        <f t="shared" si="4"/>
        <v>0</v>
      </c>
      <c r="E58" s="23">
        <f t="shared" si="4"/>
        <v>0</v>
      </c>
      <c r="F58" s="23">
        <f t="shared" si="4"/>
        <v>0</v>
      </c>
      <c r="G58" s="23">
        <f t="shared" si="4"/>
        <v>365.57606915195652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8036.7885643288791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N33</f>
        <v>32718.9</v>
      </c>
      <c r="C8" s="537">
        <f>B52</f>
        <v>38441.470588235301</v>
      </c>
      <c r="D8" s="1014"/>
      <c r="E8" s="1014">
        <f>E52</f>
        <v>0</v>
      </c>
      <c r="F8" s="1015"/>
      <c r="G8" s="538"/>
      <c r="H8" s="1014">
        <f>I52</f>
        <v>0</v>
      </c>
      <c r="I8" s="1014">
        <f>G52+F52</f>
        <v>0</v>
      </c>
      <c r="J8" s="1014">
        <f>H52+D52+C52</f>
        <v>51.352941176470594</v>
      </c>
      <c r="K8" s="1014"/>
      <c r="L8" s="1014"/>
      <c r="M8" s="1014"/>
      <c r="N8" s="539"/>
      <c r="O8" s="540">
        <f>C8*$C$12+D8*$D$12+E8*$E$12+F8*$F$12+G8*$G$12+H8*$H$12+I8*$I$12+J8*$J$12</f>
        <v>7765.1770588235313</v>
      </c>
      <c r="P8" s="1250"/>
      <c r="Q8" s="1251"/>
      <c r="S8" s="978"/>
      <c r="T8" s="1271"/>
      <c r="U8" s="1271"/>
    </row>
    <row r="9" spans="1:21" s="526" customFormat="1" ht="17.45" customHeight="1" thickBot="1">
      <c r="A9" s="541" t="s">
        <v>237</v>
      </c>
      <c r="B9" s="542">
        <f>N40+'Eigen informatie GS &amp; warmtenet'!B12</f>
        <v>0</v>
      </c>
      <c r="C9" s="54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40755.688564328884</v>
      </c>
      <c r="C10" s="550">
        <f t="shared" ref="C10:L10" si="0">SUM(C8:C9)</f>
        <v>38441.470588235301</v>
      </c>
      <c r="D10" s="550">
        <f t="shared" si="0"/>
        <v>0</v>
      </c>
      <c r="E10" s="550">
        <f t="shared" si="0"/>
        <v>0</v>
      </c>
      <c r="F10" s="550">
        <f t="shared" si="0"/>
        <v>0</v>
      </c>
      <c r="G10" s="550">
        <f t="shared" si="0"/>
        <v>0</v>
      </c>
      <c r="H10" s="550">
        <f t="shared" si="0"/>
        <v>0</v>
      </c>
      <c r="I10" s="550">
        <f t="shared" si="0"/>
        <v>0</v>
      </c>
      <c r="J10" s="550">
        <f t="shared" si="0"/>
        <v>51.352941176470594</v>
      </c>
      <c r="K10" s="550">
        <f t="shared" si="0"/>
        <v>0</v>
      </c>
      <c r="L10" s="550">
        <f t="shared" si="0"/>
        <v>0</v>
      </c>
      <c r="M10" s="1017"/>
      <c r="N10" s="1017"/>
      <c r="O10" s="551">
        <f>SUM(O4:O9)</f>
        <v>7765.1770588235313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O33</f>
        <v>46741.28571428571</v>
      </c>
      <c r="C17" s="562">
        <f>B53</f>
        <v>54916.386554621844</v>
      </c>
      <c r="D17" s="563"/>
      <c r="E17" s="563">
        <f>E53</f>
        <v>0</v>
      </c>
      <c r="F17" s="1020"/>
      <c r="G17" s="564"/>
      <c r="H17" s="562">
        <f>I53</f>
        <v>0</v>
      </c>
      <c r="I17" s="563">
        <f>G53+F53</f>
        <v>0</v>
      </c>
      <c r="J17" s="563">
        <f>H53+D53+C53</f>
        <v>73.361344537815114</v>
      </c>
      <c r="K17" s="563"/>
      <c r="L17" s="563"/>
      <c r="M17" s="563"/>
      <c r="N17" s="1021"/>
      <c r="O17" s="565">
        <f>C17*$C$22+E17*$E$22+H17*$H$22+I17*$I$22+J17*$J$22+D17*$D$22+F17*$F$22+G17*$G$22+K17*$K$22+L17*$L$22</f>
        <v>11093.110084033613</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46741.28571428571</v>
      </c>
      <c r="C20" s="549">
        <f>SUM(C17:C19)</f>
        <v>54916.386554621844</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11093.110084033613</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13035</v>
      </c>
      <c r="C28" s="763">
        <v>2381</v>
      </c>
      <c r="D28" s="620"/>
      <c r="E28" s="619"/>
      <c r="F28" s="619"/>
      <c r="G28" s="619" t="s">
        <v>922</v>
      </c>
      <c r="H28" s="619" t="s">
        <v>923</v>
      </c>
      <c r="I28" s="619"/>
      <c r="J28" s="762"/>
      <c r="K28" s="762"/>
      <c r="L28" s="619" t="s">
        <v>924</v>
      </c>
      <c r="M28" s="619">
        <v>5024</v>
      </c>
      <c r="N28" s="619">
        <v>22608</v>
      </c>
      <c r="O28" s="619">
        <v>32297.142857142859</v>
      </c>
      <c r="P28" s="619">
        <v>64594.285714285717</v>
      </c>
      <c r="Q28" s="619">
        <v>0</v>
      </c>
      <c r="R28" s="619">
        <v>0</v>
      </c>
      <c r="S28" s="619">
        <v>0</v>
      </c>
      <c r="T28" s="619">
        <v>0</v>
      </c>
      <c r="U28" s="619">
        <v>0</v>
      </c>
      <c r="V28" s="619">
        <v>0</v>
      </c>
      <c r="W28" s="619">
        <v>0</v>
      </c>
      <c r="X28" s="619">
        <v>10</v>
      </c>
      <c r="Y28" s="619" t="s">
        <v>105</v>
      </c>
      <c r="Z28" s="621" t="s">
        <v>105</v>
      </c>
    </row>
    <row r="29" spans="1:26" s="573" customFormat="1" ht="25.5" hidden="1">
      <c r="A29" s="572"/>
      <c r="B29" s="763">
        <v>13035</v>
      </c>
      <c r="C29" s="763">
        <v>2382</v>
      </c>
      <c r="D29" s="620"/>
      <c r="E29" s="619"/>
      <c r="F29" s="619"/>
      <c r="G29" s="619" t="s">
        <v>922</v>
      </c>
      <c r="H29" s="619" t="s">
        <v>923</v>
      </c>
      <c r="I29" s="619"/>
      <c r="J29" s="762"/>
      <c r="K29" s="762"/>
      <c r="L29" s="619" t="s">
        <v>924</v>
      </c>
      <c r="M29" s="619">
        <v>2014</v>
      </c>
      <c r="N29" s="619">
        <v>9062.9999999999982</v>
      </c>
      <c r="O29" s="619">
        <v>12947.142857142855</v>
      </c>
      <c r="P29" s="619">
        <v>25894.28571428571</v>
      </c>
      <c r="Q29" s="619">
        <v>0</v>
      </c>
      <c r="R29" s="619">
        <v>0</v>
      </c>
      <c r="S29" s="619">
        <v>0</v>
      </c>
      <c r="T29" s="619">
        <v>0</v>
      </c>
      <c r="U29" s="619">
        <v>0</v>
      </c>
      <c r="V29" s="619">
        <v>0</v>
      </c>
      <c r="W29" s="619">
        <v>0</v>
      </c>
      <c r="X29" s="619">
        <v>10</v>
      </c>
      <c r="Y29" s="619" t="s">
        <v>105</v>
      </c>
      <c r="Z29" s="621" t="s">
        <v>105</v>
      </c>
    </row>
    <row r="30" spans="1:26" s="573" customFormat="1" ht="25.5" hidden="1">
      <c r="A30" s="572"/>
      <c r="B30" s="763">
        <v>13035</v>
      </c>
      <c r="C30" s="763">
        <v>2380</v>
      </c>
      <c r="D30" s="620"/>
      <c r="E30" s="619"/>
      <c r="F30" s="619"/>
      <c r="G30" s="619" t="s">
        <v>922</v>
      </c>
      <c r="H30" s="619" t="s">
        <v>923</v>
      </c>
      <c r="I30" s="619"/>
      <c r="J30" s="762"/>
      <c r="K30" s="762"/>
      <c r="L30" s="619" t="s">
        <v>924</v>
      </c>
      <c r="M30" s="619">
        <v>9.6999999999999993</v>
      </c>
      <c r="N30" s="619">
        <v>43.649999999999991</v>
      </c>
      <c r="O30" s="619">
        <v>62.357142857142847</v>
      </c>
      <c r="P30" s="619">
        <v>0</v>
      </c>
      <c r="Q30" s="619">
        <v>124.71428571428569</v>
      </c>
      <c r="R30" s="619">
        <v>0</v>
      </c>
      <c r="S30" s="619">
        <v>0</v>
      </c>
      <c r="T30" s="619">
        <v>0</v>
      </c>
      <c r="U30" s="619">
        <v>0</v>
      </c>
      <c r="V30" s="619">
        <v>0</v>
      </c>
      <c r="W30" s="619">
        <v>0</v>
      </c>
      <c r="X30" s="619">
        <v>10</v>
      </c>
      <c r="Y30" s="619" t="s">
        <v>105</v>
      </c>
      <c r="Z30" s="621" t="s">
        <v>105</v>
      </c>
    </row>
    <row r="31" spans="1:26" s="573" customFormat="1" ht="25.5" hidden="1">
      <c r="A31" s="572"/>
      <c r="B31" s="763">
        <v>13035</v>
      </c>
      <c r="C31" s="763">
        <v>2381</v>
      </c>
      <c r="D31" s="620"/>
      <c r="E31" s="619"/>
      <c r="F31" s="619"/>
      <c r="G31" s="619" t="s">
        <v>922</v>
      </c>
      <c r="H31" s="619" t="s">
        <v>923</v>
      </c>
      <c r="I31" s="619"/>
      <c r="J31" s="762"/>
      <c r="K31" s="762"/>
      <c r="L31" s="619" t="s">
        <v>924</v>
      </c>
      <c r="M31" s="619">
        <v>2678</v>
      </c>
      <c r="N31" s="619">
        <v>1004.25</v>
      </c>
      <c r="O31" s="619">
        <v>1434.6428571428571</v>
      </c>
      <c r="P31" s="619">
        <v>2869.2857142857147</v>
      </c>
      <c r="Q31" s="619">
        <v>0</v>
      </c>
      <c r="R31" s="619">
        <v>0</v>
      </c>
      <c r="S31" s="619">
        <v>0</v>
      </c>
      <c r="T31" s="619">
        <v>0</v>
      </c>
      <c r="U31" s="619">
        <v>0</v>
      </c>
      <c r="V31" s="619">
        <v>0</v>
      </c>
      <c r="W31" s="619">
        <v>0</v>
      </c>
      <c r="X31" s="619">
        <v>10</v>
      </c>
      <c r="Y31" s="619" t="s">
        <v>105</v>
      </c>
      <c r="Z31" s="621" t="s">
        <v>105</v>
      </c>
    </row>
    <row r="32" spans="1:26" s="573" customFormat="1" ht="25.5" hidden="1">
      <c r="A32" s="572"/>
      <c r="B32" s="763">
        <v>13035</v>
      </c>
      <c r="C32" s="763">
        <v>2381</v>
      </c>
      <c r="D32" s="620"/>
      <c r="E32" s="619"/>
      <c r="F32" s="619"/>
      <c r="G32" s="619" t="s">
        <v>922</v>
      </c>
      <c r="H32" s="619" t="s">
        <v>923</v>
      </c>
      <c r="I32" s="619"/>
      <c r="J32" s="762"/>
      <c r="K32" s="762"/>
      <c r="L32" s="619" t="s">
        <v>924</v>
      </c>
      <c r="M32" s="619">
        <v>3120</v>
      </c>
      <c r="N32" s="619">
        <v>0</v>
      </c>
      <c r="O32" s="619">
        <v>0</v>
      </c>
      <c r="P32" s="619">
        <v>0</v>
      </c>
      <c r="Q32" s="619">
        <v>0</v>
      </c>
      <c r="R32" s="619">
        <v>0</v>
      </c>
      <c r="S32" s="619">
        <v>0</v>
      </c>
      <c r="T32" s="619">
        <v>0</v>
      </c>
      <c r="U32" s="619">
        <v>0</v>
      </c>
      <c r="V32" s="619">
        <v>0</v>
      </c>
      <c r="W32" s="619">
        <v>0</v>
      </c>
      <c r="X32" s="619">
        <v>10</v>
      </c>
      <c r="Y32" s="619" t="s">
        <v>105</v>
      </c>
      <c r="Z32" s="621" t="s">
        <v>105</v>
      </c>
    </row>
    <row r="33" spans="1:27" s="557" customFormat="1" hidden="1">
      <c r="A33" s="575" t="s">
        <v>269</v>
      </c>
      <c r="B33" s="576"/>
      <c r="C33" s="576"/>
      <c r="D33" s="576"/>
      <c r="E33" s="576"/>
      <c r="F33" s="576"/>
      <c r="G33" s="576"/>
      <c r="H33" s="576"/>
      <c r="I33" s="576"/>
      <c r="J33" s="576"/>
      <c r="K33" s="576"/>
      <c r="L33" s="577"/>
      <c r="M33" s="577">
        <f>SUM(M28:M32)</f>
        <v>12845.7</v>
      </c>
      <c r="N33" s="577">
        <f>SUM(N28:N32)</f>
        <v>32718.9</v>
      </c>
      <c r="O33" s="577">
        <f>SUM(O28:O32)</f>
        <v>46741.28571428571</v>
      </c>
      <c r="P33" s="577">
        <f>SUM(P28:P32)</f>
        <v>93357.85714285713</v>
      </c>
      <c r="Q33" s="577">
        <f>SUM(Q28:Q32)</f>
        <v>124.71428571428569</v>
      </c>
      <c r="R33" s="577">
        <f>SUM(R28:R32)</f>
        <v>0</v>
      </c>
      <c r="S33" s="577">
        <f>SUM(S28:S32)</f>
        <v>0</v>
      </c>
      <c r="T33" s="577">
        <f>SUM(T28:T32)</f>
        <v>0</v>
      </c>
      <c r="U33" s="577">
        <f>SUM(U28:U32)</f>
        <v>0</v>
      </c>
      <c r="V33" s="577">
        <f>SUM(V28:V32)</f>
        <v>0</v>
      </c>
      <c r="W33" s="577">
        <f>SUM(W28:W32)</f>
        <v>0</v>
      </c>
      <c r="X33" s="578"/>
      <c r="Y33" s="578"/>
      <c r="Z33" s="579"/>
    </row>
    <row r="34" spans="1:27" s="557" customFormat="1">
      <c r="A34" s="575" t="s">
        <v>276</v>
      </c>
      <c r="B34" s="576"/>
      <c r="C34" s="576"/>
      <c r="D34" s="576"/>
      <c r="E34" s="576"/>
      <c r="F34" s="576"/>
      <c r="G34" s="576"/>
      <c r="H34" s="576"/>
      <c r="I34" s="576"/>
      <c r="J34" s="576"/>
      <c r="K34" s="576"/>
      <c r="L34" s="577"/>
      <c r="M34" s="577">
        <f>SUMIF($Z$28:$Z$32,"industrie",M28:M32)</f>
        <v>0</v>
      </c>
      <c r="N34" s="577">
        <f>SUMIF($Z$28:$Z$32,"industrie",N28:N32)</f>
        <v>0</v>
      </c>
      <c r="O34" s="577">
        <f>SUMIF($Z$28:$Z$32,"industrie",O28:O32)</f>
        <v>0</v>
      </c>
      <c r="P34" s="577">
        <f>SUMIF($Z$28:$Z$32,"industrie",P28:P32)</f>
        <v>0</v>
      </c>
      <c r="Q34" s="577">
        <f>SUMIF($Z$28:$Z$32,"industrie",Q28:Q32)</f>
        <v>0</v>
      </c>
      <c r="R34" s="577">
        <f>SUMIF($Z$28:$Z$32,"industrie",R28:R32)</f>
        <v>0</v>
      </c>
      <c r="S34" s="577">
        <f>SUMIF($Z$28:$Z$32,"industrie",S28:S32)</f>
        <v>0</v>
      </c>
      <c r="T34" s="577">
        <f>SUMIF($Z$28:$Z$32,"industrie",T28:T32)</f>
        <v>0</v>
      </c>
      <c r="U34" s="577">
        <f>SUMIF($Z$28:$Z$32,"industrie",U28:U32)</f>
        <v>0</v>
      </c>
      <c r="V34" s="577">
        <f>SUMIF($Z$28:$Z$32,"industrie",V28:V32)</f>
        <v>0</v>
      </c>
      <c r="W34" s="577">
        <f>SUMIF($Z$28:$Z$32,"industrie",W28:W32)</f>
        <v>0</v>
      </c>
      <c r="X34" s="578"/>
      <c r="Y34" s="578"/>
      <c r="Z34" s="579"/>
    </row>
    <row r="35" spans="1:27" s="557" customFormat="1">
      <c r="A35" s="575" t="s">
        <v>277</v>
      </c>
      <c r="B35" s="576"/>
      <c r="C35" s="576"/>
      <c r="D35" s="576"/>
      <c r="E35" s="576"/>
      <c r="F35" s="576"/>
      <c r="G35" s="576"/>
      <c r="H35" s="576"/>
      <c r="I35" s="576"/>
      <c r="J35" s="576"/>
      <c r="K35" s="576"/>
      <c r="L35" s="577"/>
      <c r="M35" s="577">
        <f ca="1">SUMIF($Z$28:AC32,"tertiair",M28:M32)</f>
        <v>0</v>
      </c>
      <c r="N35" s="577">
        <f ca="1">SUMIF($Z$28:AD32,"tertiair",N28:N32)</f>
        <v>0</v>
      </c>
      <c r="O35" s="577">
        <f ca="1">SUMIF($Z$28:AE32,"tertiair",O28:O32)</f>
        <v>0</v>
      </c>
      <c r="P35" s="577">
        <f ca="1">SUMIF($Z$28:AF32,"tertiair",P28:P32)</f>
        <v>0</v>
      </c>
      <c r="Q35" s="577">
        <f ca="1">SUMIF($Z$28:AG32,"tertiair",Q28:Q32)</f>
        <v>0</v>
      </c>
      <c r="R35" s="577">
        <f ca="1">SUMIF($Z$28:AH32,"tertiair",R28:R32)</f>
        <v>0</v>
      </c>
      <c r="S35" s="577">
        <f ca="1">SUMIF($Z$28:AI32,"tertiair",S28:S32)</f>
        <v>0</v>
      </c>
      <c r="T35" s="577">
        <f ca="1">SUMIF($Z$28:AJ32,"tertiair",T28:T32)</f>
        <v>0</v>
      </c>
      <c r="U35" s="577">
        <f ca="1">SUMIF($Z$28:AK32,"tertiair",U28:U32)</f>
        <v>0</v>
      </c>
      <c r="V35" s="577">
        <f ca="1">SUMIF($Z$28:AL32,"tertiair",V28:V32)</f>
        <v>0</v>
      </c>
      <c r="W35" s="577">
        <f ca="1">SUMIF($Z$28:AM32,"tertiair",W28:W32)</f>
        <v>0</v>
      </c>
      <c r="X35" s="578"/>
      <c r="Y35" s="578"/>
      <c r="Z35" s="579"/>
    </row>
    <row r="36" spans="1:27" s="557" customFormat="1" ht="15.75" thickBot="1">
      <c r="A36" s="580" t="s">
        <v>278</v>
      </c>
      <c r="B36" s="581"/>
      <c r="C36" s="581"/>
      <c r="D36" s="581"/>
      <c r="E36" s="581"/>
      <c r="F36" s="581"/>
      <c r="G36" s="581"/>
      <c r="H36" s="581"/>
      <c r="I36" s="581"/>
      <c r="J36" s="581"/>
      <c r="K36" s="581"/>
      <c r="L36" s="582"/>
      <c r="M36" s="582">
        <f>SUMIF($Z$28:$Z$32,"landbouw",M28:M32)</f>
        <v>12845.7</v>
      </c>
      <c r="N36" s="582">
        <f>SUMIF($Z$28:$Z$32,"landbouw",N28:N32)</f>
        <v>32718.9</v>
      </c>
      <c r="O36" s="582">
        <f>SUMIF($Z$28:$Z$32,"landbouw",O28:O32)</f>
        <v>46741.28571428571</v>
      </c>
      <c r="P36" s="582">
        <f>SUMIF($Z$28:$Z$32,"landbouw",P28:P32)</f>
        <v>93357.85714285713</v>
      </c>
      <c r="Q36" s="582">
        <f>SUMIF($Z$28:$Z$32,"landbouw",Q28:Q32)</f>
        <v>124.71428571428569</v>
      </c>
      <c r="R36" s="582">
        <f>SUMIF($Z$28:$Z$32,"landbouw",R28:R32)</f>
        <v>0</v>
      </c>
      <c r="S36" s="582">
        <f>SUMIF($Z$28:$Z$32,"landbouw",S28:S32)</f>
        <v>0</v>
      </c>
      <c r="T36" s="582">
        <f>SUMIF($Z$28:$Z$32,"landbouw",T28:T32)</f>
        <v>0</v>
      </c>
      <c r="U36" s="582">
        <f>SUMIF($Z$28:$Z$32,"landbouw",U28:U32)</f>
        <v>0</v>
      </c>
      <c r="V36" s="582">
        <f>SUMIF($Z$28:$Z$32,"landbouw",V28:V32)</f>
        <v>0</v>
      </c>
      <c r="W36" s="582">
        <f>SUMIF($Z$28:$Z$32,"landbouw",W28:W32)</f>
        <v>0</v>
      </c>
      <c r="X36" s="583"/>
      <c r="Y36" s="583"/>
      <c r="Z36" s="584"/>
    </row>
    <row r="37" spans="1:27" s="526" customFormat="1" ht="15.75" thickBot="1">
      <c r="A37" s="585"/>
      <c r="B37" s="586"/>
      <c r="C37" s="586"/>
      <c r="D37" s="586"/>
      <c r="E37" s="586"/>
      <c r="F37" s="586"/>
      <c r="G37" s="586"/>
      <c r="H37" s="586"/>
      <c r="I37" s="586"/>
      <c r="J37" s="586"/>
      <c r="K37" s="586"/>
      <c r="L37" s="569"/>
      <c r="M37" s="569"/>
      <c r="N37" s="569"/>
      <c r="O37" s="570"/>
      <c r="P37" s="570"/>
    </row>
    <row r="38" spans="1:27" s="526" customFormat="1" ht="45">
      <c r="A38" s="587" t="s">
        <v>270</v>
      </c>
      <c r="B38" s="616" t="s">
        <v>89</v>
      </c>
      <c r="C38" s="616" t="s">
        <v>90</v>
      </c>
      <c r="D38" s="616"/>
      <c r="E38" s="616"/>
      <c r="F38" s="616"/>
      <c r="G38" s="616" t="s">
        <v>91</v>
      </c>
      <c r="H38" s="616" t="s">
        <v>92</v>
      </c>
      <c r="I38" s="616"/>
      <c r="J38" s="616"/>
      <c r="K38" s="616"/>
      <c r="L38" s="616" t="s">
        <v>93</v>
      </c>
      <c r="M38" s="617" t="s">
        <v>287</v>
      </c>
      <c r="N38" s="617" t="s">
        <v>94</v>
      </c>
      <c r="O38" s="617" t="s">
        <v>95</v>
      </c>
      <c r="P38" s="617" t="s">
        <v>531</v>
      </c>
      <c r="Q38" s="617" t="s">
        <v>96</v>
      </c>
      <c r="R38" s="617" t="s">
        <v>97</v>
      </c>
      <c r="S38" s="617" t="s">
        <v>98</v>
      </c>
      <c r="T38" s="617" t="s">
        <v>99</v>
      </c>
      <c r="U38" s="617" t="s">
        <v>100</v>
      </c>
      <c r="V38" s="617" t="s">
        <v>101</v>
      </c>
      <c r="W38" s="616" t="s">
        <v>102</v>
      </c>
      <c r="X38" s="616" t="s">
        <v>288</v>
      </c>
      <c r="Y38" s="616" t="s">
        <v>103</v>
      </c>
      <c r="Z38" s="618" t="s">
        <v>289</v>
      </c>
    </row>
    <row r="39" spans="1:27" s="588" customFormat="1" ht="12.75" hidden="1">
      <c r="A39" s="574"/>
      <c r="B39" s="763"/>
      <c r="C39" s="763"/>
      <c r="D39" s="622"/>
      <c r="E39" s="622"/>
      <c r="F39" s="622"/>
      <c r="G39" s="622"/>
      <c r="H39" s="622"/>
      <c r="I39" s="622"/>
      <c r="J39" s="762"/>
      <c r="K39" s="762"/>
      <c r="L39" s="622"/>
      <c r="M39" s="622"/>
      <c r="N39" s="622"/>
      <c r="O39" s="622"/>
      <c r="P39" s="622"/>
      <c r="Q39" s="622"/>
      <c r="R39" s="622"/>
      <c r="S39" s="622"/>
      <c r="T39" s="622"/>
      <c r="U39" s="622"/>
      <c r="V39" s="622"/>
      <c r="W39" s="622"/>
      <c r="X39" s="622"/>
      <c r="Y39" s="622"/>
      <c r="Z39" s="623"/>
    </row>
    <row r="40" spans="1:27" s="557" customFormat="1" hidden="1">
      <c r="A40" s="575" t="s">
        <v>269</v>
      </c>
      <c r="B40" s="576"/>
      <c r="C40" s="576"/>
      <c r="D40" s="576"/>
      <c r="E40" s="576"/>
      <c r="F40" s="576"/>
      <c r="G40" s="576"/>
      <c r="H40" s="576"/>
      <c r="I40" s="576"/>
      <c r="J40" s="576"/>
      <c r="K40" s="576"/>
      <c r="L40" s="577"/>
      <c r="M40" s="577">
        <f>SUM(M39:M39)</f>
        <v>0</v>
      </c>
      <c r="N40" s="577">
        <f>SUM(N39:N39)</f>
        <v>0</v>
      </c>
      <c r="O40" s="577">
        <f>SUM(O39:O39)</f>
        <v>0</v>
      </c>
      <c r="P40" s="577">
        <f>SUM(P39:P39)</f>
        <v>0</v>
      </c>
      <c r="Q40" s="577">
        <f>SUM(Q39:Q39)</f>
        <v>0</v>
      </c>
      <c r="R40" s="577">
        <f>SUM(R39:R39)</f>
        <v>0</v>
      </c>
      <c r="S40" s="577">
        <f>SUM(S39:S39)</f>
        <v>0</v>
      </c>
      <c r="T40" s="577">
        <f>SUM(T39:T39)</f>
        <v>0</v>
      </c>
      <c r="U40" s="577">
        <f>SUM(U39:U39)</f>
        <v>0</v>
      </c>
      <c r="V40" s="577">
        <f>SUM(V39:V39)</f>
        <v>0</v>
      </c>
      <c r="W40" s="577">
        <f>SUM(W39:W39)</f>
        <v>0</v>
      </c>
      <c r="X40" s="578"/>
      <c r="Y40" s="578"/>
      <c r="Z40" s="579"/>
    </row>
    <row r="41" spans="1:27" s="557" customFormat="1">
      <c r="A41" s="575" t="s">
        <v>276</v>
      </c>
      <c r="B41" s="576"/>
      <c r="C41" s="576"/>
      <c r="D41" s="576"/>
      <c r="E41" s="576"/>
      <c r="F41" s="576"/>
      <c r="G41" s="576"/>
      <c r="H41" s="576"/>
      <c r="I41" s="576"/>
      <c r="J41" s="576"/>
      <c r="K41" s="576"/>
      <c r="L41" s="577"/>
      <c r="M41" s="577">
        <f>SUMIF($Z$39:$Z$39,"industrie",M39:M39)</f>
        <v>0</v>
      </c>
      <c r="N41" s="577">
        <f>SUMIF($Z$39:$Z$39,"industrie",N39:N39)</f>
        <v>0</v>
      </c>
      <c r="O41" s="577">
        <f>SUMIF($Z$39:$Z$39,"industrie",O39:O39)</f>
        <v>0</v>
      </c>
      <c r="P41" s="577">
        <f>SUMIF($Z$39:$Z$39,"industrie",P39:P39)</f>
        <v>0</v>
      </c>
      <c r="Q41" s="577">
        <f>SUMIF($Z$39:$Z$39,"industrie",Q39:Q39)</f>
        <v>0</v>
      </c>
      <c r="R41" s="577">
        <f>SUMIF($Z$39:$Z$39,"industrie",R39:R39)</f>
        <v>0</v>
      </c>
      <c r="S41" s="577">
        <f>SUMIF($Z$39:$Z$39,"industrie",S39:S39)</f>
        <v>0</v>
      </c>
      <c r="T41" s="577">
        <f>SUMIF($Z$39:$Z$39,"industrie",T39:T39)</f>
        <v>0</v>
      </c>
      <c r="U41" s="577">
        <f>SUMIF($Z$39:$Z$39,"industrie",U39:U39)</f>
        <v>0</v>
      </c>
      <c r="V41" s="577">
        <f>SUMIF($Z$39:$Z$39,"industrie",V39:V39)</f>
        <v>0</v>
      </c>
      <c r="W41" s="577">
        <f>SUMIF($Z$39:$Z$39,"industrie",W39:W39)</f>
        <v>0</v>
      </c>
      <c r="X41" s="578"/>
      <c r="Y41" s="578"/>
      <c r="Z41" s="579"/>
    </row>
    <row r="42" spans="1:27" s="557" customFormat="1">
      <c r="A42" s="575" t="s">
        <v>277</v>
      </c>
      <c r="B42" s="576"/>
      <c r="C42" s="576"/>
      <c r="D42" s="576"/>
      <c r="E42" s="576"/>
      <c r="F42" s="576"/>
      <c r="G42" s="576"/>
      <c r="H42" s="576"/>
      <c r="I42" s="576"/>
      <c r="J42" s="576"/>
      <c r="K42" s="576"/>
      <c r="L42" s="577"/>
      <c r="M42" s="577">
        <f>SUMIF($Z$39:$Z$40,"tertiair",M39:M40)</f>
        <v>0</v>
      </c>
      <c r="N42" s="577">
        <f>SUMIF($Z$39:$Z$40,"tertiair",N39:N40)</f>
        <v>0</v>
      </c>
      <c r="O42" s="577">
        <f>SUMIF($Z$39:$Z$40,"tertiair",O39:O40)</f>
        <v>0</v>
      </c>
      <c r="P42" s="577">
        <f>SUMIF($Z$39:$Z$40,"tertiair",P39:P40)</f>
        <v>0</v>
      </c>
      <c r="Q42" s="577">
        <f>SUMIF($Z$39:$Z$40,"tertiair",Q39:Q40)</f>
        <v>0</v>
      </c>
      <c r="R42" s="577">
        <f>SUMIF($Z$39:$Z$40,"tertiair",R39:R40)</f>
        <v>0</v>
      </c>
      <c r="S42" s="577">
        <f>SUMIF($Z$39:$Z$40,"tertiair",S39:S40)</f>
        <v>0</v>
      </c>
      <c r="T42" s="577">
        <f>SUMIF($Z$39:$Z$40,"tertiair",T39:T40)</f>
        <v>0</v>
      </c>
      <c r="U42" s="577">
        <f>SUMIF($Z$39:$Z$40,"tertiair",U39:U40)</f>
        <v>0</v>
      </c>
      <c r="V42" s="577">
        <f>SUMIF($Z$39:$Z$40,"tertiair",V39:V40)</f>
        <v>0</v>
      </c>
      <c r="W42" s="577">
        <f>SUMIF($Z$39:$Z$40,"tertiair",W39:W40)</f>
        <v>0</v>
      </c>
      <c r="X42" s="578"/>
      <c r="Y42" s="578"/>
      <c r="Z42" s="579"/>
    </row>
    <row r="43" spans="1:27" s="557" customFormat="1" ht="15.75" thickBot="1">
      <c r="A43" s="580" t="s">
        <v>278</v>
      </c>
      <c r="B43" s="581"/>
      <c r="C43" s="581"/>
      <c r="D43" s="581"/>
      <c r="E43" s="581"/>
      <c r="F43" s="581"/>
      <c r="G43" s="581"/>
      <c r="H43" s="581"/>
      <c r="I43" s="581"/>
      <c r="J43" s="581"/>
      <c r="K43" s="581"/>
      <c r="L43" s="582"/>
      <c r="M43" s="582">
        <f>SUMIF($Z$39:$Z$41,"landbouw",M39:M41)</f>
        <v>0</v>
      </c>
      <c r="N43" s="582">
        <f>SUMIF($Z$39:$Z$41,"landbouw",N39:N41)</f>
        <v>0</v>
      </c>
      <c r="O43" s="582">
        <f>SUMIF($Z$39:$Z$41,"landbouw",O39:O41)</f>
        <v>0</v>
      </c>
      <c r="P43" s="582">
        <f>SUMIF($Z$39:$Z$41,"landbouw",P39:P41)</f>
        <v>0</v>
      </c>
      <c r="Q43" s="582">
        <f>SUMIF($Z$39:$Z$41,"landbouw",Q39:Q41)</f>
        <v>0</v>
      </c>
      <c r="R43" s="582">
        <f>SUMIF($Z$39:$Z$41,"landbouw",R39:R41)</f>
        <v>0</v>
      </c>
      <c r="S43" s="582">
        <f>SUMIF($Z$39:$Z$41,"landbouw",S39:S41)</f>
        <v>0</v>
      </c>
      <c r="T43" s="582">
        <f>SUMIF($Z$39:$Z$41,"landbouw",T39:T41)</f>
        <v>0</v>
      </c>
      <c r="U43" s="582">
        <f>SUMIF($Z$39:$Z$41,"landbouw",U39:U41)</f>
        <v>0</v>
      </c>
      <c r="V43" s="582">
        <f>SUMIF($Z$39:$Z$41,"landbouw",V39:V41)</f>
        <v>0</v>
      </c>
      <c r="W43" s="582">
        <f>SUMIF($Z$39:$Z$41,"landbouw",W39:W41)</f>
        <v>0</v>
      </c>
      <c r="X43" s="583"/>
      <c r="Y43" s="583"/>
      <c r="Z43" s="584"/>
    </row>
    <row r="44" spans="1:27" s="589" customForma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row>
    <row r="45" spans="1:27" s="589" customFormat="1" ht="15.75" thickBot="1">
      <c r="A45" s="585"/>
      <c r="B45" s="569"/>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row>
    <row r="46" spans="1:27">
      <c r="A46" s="590" t="s">
        <v>271</v>
      </c>
      <c r="B46" s="591"/>
      <c r="C46" s="591"/>
      <c r="D46" s="591"/>
      <c r="E46" s="591"/>
      <c r="F46" s="591"/>
      <c r="G46" s="591"/>
      <c r="H46" s="591"/>
      <c r="I46" s="592"/>
      <c r="J46" s="593"/>
      <c r="K46" s="593"/>
      <c r="L46" s="594"/>
      <c r="M46" s="594"/>
      <c r="N46" s="594"/>
      <c r="O46" s="594"/>
      <c r="P46" s="594"/>
    </row>
    <row r="47" spans="1:27">
      <c r="A47" s="596"/>
      <c r="B47" s="586"/>
      <c r="C47" s="586"/>
      <c r="D47" s="586"/>
      <c r="E47" s="586"/>
      <c r="F47" s="586"/>
      <c r="G47" s="586"/>
      <c r="H47" s="586"/>
      <c r="I47" s="597"/>
      <c r="J47" s="586"/>
      <c r="K47" s="586"/>
      <c r="L47" s="594"/>
      <c r="M47" s="594"/>
      <c r="N47" s="594"/>
      <c r="O47" s="594"/>
      <c r="P47" s="594"/>
    </row>
    <row r="48" spans="1:27">
      <c r="A48" s="598"/>
      <c r="B48" s="599" t="s">
        <v>272</v>
      </c>
      <c r="C48" s="599" t="s">
        <v>273</v>
      </c>
      <c r="D48" s="599"/>
      <c r="E48" s="599"/>
      <c r="F48" s="599"/>
      <c r="G48" s="599"/>
      <c r="H48" s="599"/>
      <c r="I48" s="600"/>
      <c r="J48" s="599"/>
      <c r="K48" s="599"/>
      <c r="L48" s="599"/>
      <c r="M48" s="599"/>
      <c r="N48" s="599"/>
      <c r="O48" s="599"/>
      <c r="P48" s="594"/>
    </row>
    <row r="49" spans="1:16">
      <c r="A49" s="596" t="s">
        <v>269</v>
      </c>
      <c r="B49" s="601">
        <f>IF(ISERROR(O33/(O33+N33)),0,O33/(O33+N33))</f>
        <v>0.58823529411764708</v>
      </c>
      <c r="C49" s="602">
        <f>IF(ISERROR(N33/(O33+N33)),0,N33/(N33+O33))</f>
        <v>0.41176470588235303</v>
      </c>
      <c r="D49" s="569"/>
      <c r="E49" s="569"/>
      <c r="F49" s="569"/>
      <c r="G49" s="569"/>
      <c r="H49" s="569"/>
      <c r="I49" s="603"/>
      <c r="J49" s="569"/>
      <c r="K49" s="569"/>
      <c r="L49" s="604"/>
      <c r="M49" s="604"/>
      <c r="N49" s="604"/>
      <c r="O49" s="604"/>
      <c r="P49" s="594"/>
    </row>
    <row r="50" spans="1:16">
      <c r="A50" s="596"/>
      <c r="B50" s="605"/>
      <c r="C50" s="605"/>
      <c r="D50" s="605"/>
      <c r="E50" s="605"/>
      <c r="F50" s="605"/>
      <c r="G50" s="605"/>
      <c r="H50" s="605"/>
      <c r="I50" s="606"/>
      <c r="J50" s="605"/>
      <c r="K50" s="605"/>
      <c r="L50" s="607"/>
      <c r="M50" s="607"/>
      <c r="N50" s="607"/>
      <c r="O50" s="607"/>
      <c r="P50" s="594"/>
    </row>
    <row r="51" spans="1:16" ht="30">
      <c r="A51" s="608"/>
      <c r="B51" s="609" t="s">
        <v>531</v>
      </c>
      <c r="C51" s="609" t="s">
        <v>96</v>
      </c>
      <c r="D51" s="609" t="s">
        <v>97</v>
      </c>
      <c r="E51" s="609" t="s">
        <v>98</v>
      </c>
      <c r="F51" s="609" t="s">
        <v>99</v>
      </c>
      <c r="G51" s="609" t="s">
        <v>100</v>
      </c>
      <c r="H51" s="609" t="s">
        <v>101</v>
      </c>
      <c r="I51" s="610" t="s">
        <v>102</v>
      </c>
      <c r="J51" s="599"/>
      <c r="K51" s="599"/>
      <c r="L51" s="607"/>
      <c r="M51" s="607"/>
      <c r="N51" s="607"/>
      <c r="O51" s="594"/>
      <c r="P51" s="594"/>
    </row>
    <row r="52" spans="1:16">
      <c r="A52" s="598" t="s">
        <v>274</v>
      </c>
      <c r="B52" s="611">
        <f t="shared" ref="B52:I52" si="2">$C$49*P33</f>
        <v>38441.470588235301</v>
      </c>
      <c r="C52" s="611">
        <f t="shared" si="2"/>
        <v>51.352941176470594</v>
      </c>
      <c r="D52" s="611">
        <f t="shared" si="2"/>
        <v>0</v>
      </c>
      <c r="E52" s="611">
        <f t="shared" si="2"/>
        <v>0</v>
      </c>
      <c r="F52" s="611">
        <f t="shared" si="2"/>
        <v>0</v>
      </c>
      <c r="G52" s="611">
        <f t="shared" si="2"/>
        <v>0</v>
      </c>
      <c r="H52" s="611">
        <f t="shared" si="2"/>
        <v>0</v>
      </c>
      <c r="I52" s="612">
        <f t="shared" si="2"/>
        <v>0</v>
      </c>
      <c r="J52" s="569"/>
      <c r="K52" s="569"/>
      <c r="L52" s="607"/>
      <c r="M52" s="607"/>
      <c r="N52" s="607"/>
      <c r="O52" s="594"/>
      <c r="P52" s="594"/>
    </row>
    <row r="53" spans="1:16" ht="15.75" thickBot="1">
      <c r="A53" s="613" t="s">
        <v>275</v>
      </c>
      <c r="B53" s="614">
        <f t="shared" ref="B53:I53" si="3">$B$49*P33</f>
        <v>54916.386554621844</v>
      </c>
      <c r="C53" s="614">
        <f t="shared" si="3"/>
        <v>73.361344537815114</v>
      </c>
      <c r="D53" s="614">
        <f t="shared" si="3"/>
        <v>0</v>
      </c>
      <c r="E53" s="614">
        <f t="shared" si="3"/>
        <v>0</v>
      </c>
      <c r="F53" s="614">
        <f t="shared" si="3"/>
        <v>0</v>
      </c>
      <c r="G53" s="614">
        <f t="shared" si="3"/>
        <v>0</v>
      </c>
      <c r="H53" s="614">
        <f t="shared" si="3"/>
        <v>0</v>
      </c>
      <c r="I53" s="615">
        <f t="shared" si="3"/>
        <v>0</v>
      </c>
      <c r="J53" s="569"/>
      <c r="K53" s="569"/>
      <c r="L53" s="607"/>
      <c r="M53" s="607"/>
      <c r="N53" s="607"/>
      <c r="O53" s="594"/>
      <c r="P53" s="594"/>
    </row>
    <row r="54" spans="1:16">
      <c r="J54" s="555"/>
      <c r="K54" s="555"/>
      <c r="L54" s="555"/>
      <c r="M54" s="555"/>
      <c r="N54" s="555"/>
    </row>
    <row r="55" spans="1:16">
      <c r="J55" s="555"/>
      <c r="K55" s="555"/>
      <c r="L55" s="555"/>
      <c r="M55" s="555"/>
      <c r="N55"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2021-11-11T13:08:33Z</dcterms:modified>
</cp:coreProperties>
</file>