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7E82DDE-6736-4285-9ADC-ED1DCB5885B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<sst xmlns="http://schemas.openxmlformats.org/spreadsheetml/2006/main" count="2511" uniqueCount="928">
  <si>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</si>
  <si>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</si>
  <si>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</si>
  <si>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</si>
  <si>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</si>
  <si>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</si>
  <si>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</si>
  <si>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</si>
  <si>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</si>
  <si>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</si>
  <si>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</si>
  <si>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</si>
  <si>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</si>
  <si>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</si>
  <si>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</si>
  <si>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</si>
  <si>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</si>
  <si>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</si>
  <si>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</si>
  <si>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</si>
  <si>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</si>
  <si>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</si>
  <si>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</si>
  <si>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</si>
  <si>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</si>
  <si>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</si>
  <si>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</si>
  <si>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</si>
  <si>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</si>
  <si>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</si>
  <si>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</si>
  <si>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</si>
  <si>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</si>
  <si>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</si>
  <si>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</si>
  <si>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</si>
  <si>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</si>
  <si>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</si>
  <si>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</si>
  <si>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</si>
  <si>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</si>
  <si>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</si>
  <si>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</si>
  <si>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</si>
  <si>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</si>
  <si>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</si>
  <si>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</si>
  <si>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</si>
  <si>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</si>
  <si>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</si>
  <si>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</si>
  <si>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</si>
  <si>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</si>
  <si>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</si>
  <si>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</si>
  <si>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</si>
  <si>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</si>
  <si>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</si>
  <si>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</si>
  <si>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</si>
  <si>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</si>
  <si>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</si>
  <si>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</si>
  <si>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</si>
  <si>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</si>
  <si>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</si>
  <si>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</si>
  <si>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</si>
  <si>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</si>
  <si>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</si>
  <si>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</si>
  <si>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</si>
  <si>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</si>
  <si>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</si>
  <si>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</si>
  <si>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</si>
  <si>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</si>
  <si>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</si>
  <si>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</si>
  <si>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</si>
  <si>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</si>
  <si>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</si>
  <si>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</si>
  <si>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</si>
  <si>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</si>
  <si>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</si>
  <si>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</si>
  <si>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</si>
  <si>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</si>
  <si>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</si>
  <si>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</si>
  <si>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</si>
  <si>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</si>
  <si>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</si>
  <si>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</si>
  <si>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</si>
  <si>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</si>
  <si>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</si>
  <si>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</si>
  <si>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</si>
  <si>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</si>
  <si>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</si>
  <si>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</si>
  <si>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</si>
  <si>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</si>
  <si>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</si>
  <si>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</si>
  <si>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</si>
  <si>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</si>
  <si>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</si>
  <si>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</si>
  <si>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</si>
  <si>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</si>
  <si>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</si>
  <si>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</si>
  <si>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</si>
  <si>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</si>
  <si>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</si>
  <si>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</si>
  <si>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</si>
  <si>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</si>
  <si>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</si>
  <si>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</si>
  <si>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</si>
  <si>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</si>
  <si>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</si>
  <si>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</si>
  <si>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</si>
  <si>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</si>
  <si>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</si>
  <si>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</si>
  <si>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</si>
  <si>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</si>
  <si>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</si>
  <si>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</si>
  <si>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</si>
  <si>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</si>
  <si>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</si>
  <si>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</si>
  <si>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</si>
  <si>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</si>
  <si>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</si>
  <si>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</si>
  <si>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</si>
  <si>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</si>
  <si>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</si>
  <si>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</si>
  <si>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</si>
  <si>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</si>
  <si>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</si>
  <si>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</si>
  <si>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</si>
  <si>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</si>
  <si>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</si>
  <si>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</si>
  <si>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</si>
  <si>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</si>
  <si>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</si>
  <si>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</si>
  <si>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</si>
  <si>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</si>
  <si>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</si>
  <si>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</si>
  <si>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</si>
  <si>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</si>
  <si>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</si>
  <si>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</si>
  <si>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</si>
  <si>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</si>
  <si>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</si>
  <si>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</si>
  <si>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</si>
  <si>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</si>
  <si>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</si>
  <si>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</si>
  <si>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</si>
  <si>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</si>
  <si>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</si>
  <si>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</si>
  <si>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</si>
  <si>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</si>
  <si>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</si>
  <si>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</si>
  <si>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</si>
  <si>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</si>
  <si>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</si>
  <si>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</si>
  <si>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</si>
  <si>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</si>
  <si>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</si>
  <si>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</si>
  <si>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</si>
  <si>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</si>
  <si>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</si>
  <si>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</si>
  <si>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</si>
  <si>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</si>
  <si>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</si>
  <si>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</si>
  <si>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</si>
  <si>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</si>
  <si>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</si>
  <si>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</si>
  <si>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</si>
  <si>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</si>
  <si>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</si>
  <si>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</si>
  <si>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</si>
  <si>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</si>
  <si>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</si>
  <si>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</si>
  <si>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</si>
  <si>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</si>
  <si>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</si>
  <si>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</si>
  <si>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</si>
  <si>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</si>
  <si>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</si>
  <si>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</si>
  <si>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</si>
  <si>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</si>
  <si>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</si>
  <si>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</si>
  <si>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</si>
  <si>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</si>
  <si>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</si>
  <si>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</si>
  <si>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</si>
  <si>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</si>
  <si>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</si>
  <si>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</si>
  <si>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</si>
  <si>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</si>
  <si>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</si>
  <si>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</si>
  <si>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</si>
  <si>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</si>
  <si>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</si>
  <si>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</si>
  <si>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</si>
  <si>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</si>
  <si>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</si>
  <si>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</si>
  <si>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</si>
  <si>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</si>
  <si>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</si>
  <si>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</si>
  <si>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</si>
  <si>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</si>
  <si>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</si>
  <si>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</si>
  <si>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</si>
  <si>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</si>
  <si>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</si>
  <si>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</si>
  <si>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</si>
  <si>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</si>
  <si>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</si>
  <si>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</si>
  <si>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</si>
  <si>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</si>
  <si>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</si>
  <si>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</si>
  <si>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</si>
  <si>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</si>
  <si>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</si>
  <si>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</si>
  <si>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</si>
  <si>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</si>
  <si>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</si>
  <si>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</si>
  <si>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</si>
  <si>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</si>
  <si>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</si>
  <si>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</si>
  <si>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</si>
  <si>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</si>
  <si>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</si>
  <si>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</si>
  <si>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</si>
  <si>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</si>
  <si>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</si>
  <si>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</si>
  <si>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</si>
  <si>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</si>
  <si>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</si>
  <si>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</si>
  <si>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</si>
  <si>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</si>
  <si>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</si>
  <si>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</si>
  <si>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</si>
  <si>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</si>
  <si>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</si>
  <si>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</si>
  <si>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</si>
  <si>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</si>
  <si>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</si>
  <si>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</si>
  <si>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</si>
  <si>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</si>
  <si>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</si>
  <si>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</si>
  <si>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</si>
  <si>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</si>
  <si>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</si>
  <si>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</si>
  <si>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</si>
  <si>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</si>
  <si>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</si>
  <si>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</si>
  <si>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</si>
  <si>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</si>
  <si>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</si>
  <si>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</si>
  <si>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</si>
  <si>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</si>
  <si>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</si>
  <si>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</si>
  <si>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</si>
  <si>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</si>
  <si>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</si>
  <si>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</si>
  <si>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</si>
  <si>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</si>
  <si>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</si>
  <si>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</si>
  <si>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</si>
  <si>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</si>
  <si>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</si>
  <si>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</si>
  <si>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</si>
  <si>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</si>
  <si>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</si>
  <si>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</si>
  <si>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</si>
  <si>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</si>
  <si>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</si>
  <si>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</si>
  <si>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</si>
  <si>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</si>
  <si>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</si>
  <si>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</si>
  <si>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</si>
  <si>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</si>
  <si>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</si>
  <si>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</si>
  <si>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</si>
  <si>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</si>
  <si>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</si>
  <si>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</si>
  <si>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</si>
  <si>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</si>
  <si>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</si>
  <si>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</si>
  <si>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</si>
  <si>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</si>
  <si>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</si>
  <si>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</si>
  <si>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</si>
  <si>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</si>
  <si>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</si>
  <si>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</si>
  <si>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</si>
  <si>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</si>
  <si>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</si>
  <si>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</si>
  <si>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</si>
  <si>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</si>
  <si>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</si>
  <si>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</si>
  <si>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</si>
  <si>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</si>
  <si>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</si>
  <si>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</si>
  <si>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</si>
  <si>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</si>
  <si>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</si>
  <si>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</si>
  <si>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</si>
  <si>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</si>
  <si>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</si>
  <si>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</si>
  <si>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</si>
  <si>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</si>
  <si>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</si>
  <si>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</si>
  <si>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</si>
  <si>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</si>
  <si>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</si>
  <si>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</si>
  <si>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</si>
  <si>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</si>
  <si>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</si>
  <si>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</si>
  <si>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</si>
  <si>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</si>
  <si>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</si>
  <si>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</si>
  <si>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</si>
  <si>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</si>
  <si>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</si>
  <si>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</si>
  <si>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</si>
  <si>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</si>
  <si>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</si>
  <si>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</si>
  <si>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</si>
  <si>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</si>
  <si>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</si>
  <si>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</si>
  <si>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</si>
  <si>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</si>
  <si>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</si>
  <si>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</si>
  <si>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</si>
  <si>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</si>
  <si>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</si>
  <si>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</si>
  <si>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</si>
  <si>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</si>
  <si>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</si>
  <si>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</si>
  <si>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</si>
  <si>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</si>
  <si>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</si>
  <si>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</si>
  <si>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</si>
  <si>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</si>
  <si>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</si>
  <si>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</si>
  <si>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</si>
  <si>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</si>
  <si>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</si>
  <si>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</si>
  <si>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</si>
  <si>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</si>
  <si>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</si>
  <si>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</si>
  <si>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</si>
  <si>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</si>
  <si>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</si>
  <si>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</si>
  <si>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</si>
  <si>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</si>
  <si>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</si>
  <si>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</si>
  <si>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</si>
  <si>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</si>
  <si>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</si>
  <si>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</si>
  <si>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</si>
  <si>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</si>
  <si>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</si>
  <si>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</si>
  <si>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</si>
  <si>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</si>
  <si>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</si>
  <si>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</si>
  <si>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</si>
  <si>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</si>
  <si>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</si>
  <si>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</si>
  <si>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</si>
  <si>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</si>
  <si>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</si>
  <si>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</si>
  <si>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</si>
  <si>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</si>
  <si>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</si>
  <si>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</si>
  <si>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</si>
  <si>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</si>
  <si>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</si>
  <si>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</si>
  <si>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</si>
  <si>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</si>
  <si>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</si>
  <si>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</si>
  <si>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</si>
  <si>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</si>
  <si>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</si>
  <si>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</si>
  <si>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</si>
  <si>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</si>
  <si>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</si>
  <si>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</si>
  <si>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</si>
  <si>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</si>
  <si>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</si>
  <si>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</si>
  <si>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</si>
  <si>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</si>
  <si>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</si>
  <si>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</si>
  <si>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</si>
  <si>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</si>
  <si>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</si>
  <si>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</si>
  <si>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</si>
  <si>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</si>
  <si>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</si>
  <si>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</si>
  <si>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</si>
  <si>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</si>
  <si>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</si>
  <si>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</si>
  <si>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</si>
  <si>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</si>
  <si>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</si>
  <si>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</si>
  <si>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</si>
  <si>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</si>
  <si>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</si>
  <si>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</si>
  <si>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</si>
  <si>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</si>
  <si>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</si>
  <si>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</si>
  <si>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</si>
  <si>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</si>
  <si>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</si>
  <si>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</si>
  <si>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</si>
  <si>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</si>
  <si>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</si>
  <si>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</si>
  <si>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</si>
  <si>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</si>
  <si>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</si>
  <si>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</si>
  <si>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</si>
  <si>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</si>
  <si>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</si>
  <si>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</si>
  <si>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</si>
  <si>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</si>
  <si>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</si>
  <si>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</si>
  <si>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</si>
  <si>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</si>
  <si>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</si>
  <si>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</si>
  <si>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</si>
  <si>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</si>
  <si>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</si>
  <si>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</si>
  <si>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</si>
  <si>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</si>
  <si>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</si>
  <si>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</si>
  <si>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</si>
  <si>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</si>
  <si>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</si>
  <si>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</si>
  <si>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</si>
  <si>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</si>
  <si>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</si>
  <si>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</si>
  <si>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</si>
  <si>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</si>
  <si>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</si>
  <si>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</si>
  <si>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</si>
  <si>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</si>
  <si>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</si>
  <si>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</si>
  <si>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</si>
  <si>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</si>
  <si>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</si>
  <si>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</si>
  <si>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</si>
  <si>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</si>
  <si>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</si>
  <si>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</si>
  <si>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</si>
  <si>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</si>
  <si>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</si>
  <si>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</si>
  <si>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</si>
  <si>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</si>
  <si>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</si>
  <si>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</si>
  <si>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</si>
  <si>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</si>
  <si>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</si>
  <si>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</si>
  <si>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</si>
  <si>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</si>
  <si>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</si>
  <si>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</si>
  <si>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</si>
  <si>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</si>
  <si>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</si>
  <si>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</si>
  <si>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</si>
  <si>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</si>
  <si>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</si>
  <si>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</si>
  <si>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</si>
  <si>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</si>
  <si>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</si>
  <si>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</si>
  <si>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</si>
  <si>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</si>
  <si>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</si>
  <si>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</si>
  <si>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</si>
  <si>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</si>
  <si>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</si>
  <si>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</si>
  <si>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</si>
  <si>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</si>
  <si>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</si>
  <si>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</si>
  <si>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</si>
  <si>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</si>
  <si>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</si>
  <si>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</si>
  <si>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</si>
  <si>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</si>
  <si>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</si>
  <si>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</si>
  <si>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</si>
  <si>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</si>
  <si>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</si>
  <si>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</si>
  <si>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</si>
  <si>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</si>
  <si>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</si>
  <si>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</si>
  <si>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</si>
  <si>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</si>
  <si>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</si>
  <si>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</si>
  <si>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</si>
  <si>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</si>
  <si>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</si>
  <si>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</si>
  <si>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</si>
  <si>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</si>
  <si>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</si>
  <si>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</si>
  <si>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</si>
  <si>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</si>
  <si>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</si>
  <si>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</si>
  <si>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</si>
  <si>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</si>
  <si>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</si>
  <si>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</si>
  <si>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</si>
  <si>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</si>
  <si>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</si>
  <si>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</si>
  <si>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</si>
  <si>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</si>
  <si>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</si>
  <si>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</si>
  <si>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</si>
  <si>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</si>
  <si>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</si>
  <si>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</si>
  <si>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</si>
  <si>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</si>
  <si>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</si>
  <si>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</si>
  <si>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</si>
  <si>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</si>
  <si>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</si>
  <si>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</si>
  <si>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</si>
  <si>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</si>
  <si>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</si>
  <si>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</si>
  <si>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</si>
  <si>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</si>
  <si>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</si>
  <si>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</si>
  <si>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</si>
  <si>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</si>
  <si>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</si>
  <si>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</si>
  <si>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</si>
  <si>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</si>
  <si>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</si>
  <si>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</si>
  <si>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</si>
  <si>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</si>
  <si>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</si>
  <si>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</si>
  <si>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</si>
  <si>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</si>
  <si>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</si>
  <si>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</si>
  <si>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</si>
  <si>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</si>
  <si>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</si>
  <si>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</si>
  <si>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</si>
  <si>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</si>
  <si>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</si>
  <si>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</si>
  <si>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</si>
  <si>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</si>
  <si>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</si>
  <si>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</si>
  <si>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</si>
  <si>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</si>
  <si>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</si>
  <si>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</si>
  <si>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</si>
  <si>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</si>
  <si>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</si>
  <si>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</si>
  <si>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</si>
  <si>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</si>
  <si>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</si>
  <si>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</si>
  <si>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</si>
  <si>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</si>
  <si>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</si>
  <si>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</si>
  <si>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</si>
  <si>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</si>
  <si>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</si>
  <si>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</si>
  <si>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</si>
  <si>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</si>
  <si>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</si>
  <si>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</si>
  <si>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</si>
  <si>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</si>
  <si>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</si>
  <si>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</si>
  <si>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</si>
  <si>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</si>
  <si>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</si>
  <si>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</si>
  <si>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</si>
  <si>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</si>
  <si>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</si>
  <si>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</si>
  <si>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</si>
  <si>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</si>
  <si>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</si>
  <si>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</si>
  <si>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</si>
  <si>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</si>
  <si>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</si>
  <si>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</si>
  <si>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</si>
  <si>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</si>
  <si>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</si>
  <si>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</si>
  <si>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</si>
  <si>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</si>
  <si>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</si>
  <si>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</si>
  <si>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</si>
  <si>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</si>
  <si>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</si>
  <si>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</si>
  <si>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</si>
  <si>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</si>
  <si>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</si>
  <si>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</si>
  <si>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</si>
  <si>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</si>
  <si>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</si>
  <si>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</si>
  <si>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</si>
  <si>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</si>
  <si>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</si>
  <si>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</si>
  <si>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</si>
  <si>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</si>
  <si>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</si>
  <si>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</si>
  <si>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</si>
  <si>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</si>
  <si>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</si>
  <si>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</si>
  <si>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</si>
  <si>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</si>
  <si>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</si>
  <si>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</si>
  <si>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</si>
  <si>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</si>
  <si>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</si>
  <si>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</si>
  <si>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</si>
  <si>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</si>
  <si>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</si>
  <si>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</si>
  <si>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</si>
  <si>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</si>
  <si>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</si>
  <si>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</si>
  <si>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</si>
  <si>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</si>
  <si>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</si>
  <si>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</si>
  <si>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</si>
  <si>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</si>
  <si>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</si>
  <si>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</si>
  <si>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</si>
  <si>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</si>
  <si>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</si>
  <si>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</si>
  <si>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</si>
  <si>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</si>
  <si>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</si>
  <si>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</si>
  <si>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</si>
  <si>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</si>
  <si>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</si>
  <si>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</si>
  <si>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</si>
  <si>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</si>
  <si>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</si>
  <si>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</si>
  <si>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</si>
  <si>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</si>
  <si>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</si>
  <si>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</si>
  <si>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</si>
  <si>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</si>
  <si>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</si>
  <si>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</si>
  <si>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</si>
  <si>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</si>
  <si>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</si>
  <si>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</si>
  <si>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</si>
  <si>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</si>
  <si>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</si>
  <si>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</si>
  <si>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</si>
  <si>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</si>
  <si>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</si>
  <si>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</si>
  <si>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</si>
  <si>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</si>
  <si>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</si>
  <si>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</si>
  <si>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</si>
  <si>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</si>
  <si>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</si>
  <si>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</si>
  <si>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</si>
  <si>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</si>
  <si>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</si>
  <si>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</si>
  <si>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</si>
  <si>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</si>
  <si>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</si>
  <si>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</si>
  <si>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</si>
  <si>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</si>
  <si>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</si>
  <si>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</si>
  <si>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</si>
  <si>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</si>
  <si>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</si>
  <si>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</si>
  <si>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</si>
  <si>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</si>
  <si>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</si>
  <si>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</si>
  <si>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</si>
  <si>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</si>
  <si>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</si>
  <si>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</si>
  <si>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</si>
  <si>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</si>
  <si>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</si>
  <si>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</si>
  <si>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</si>
  <si>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</si>
  <si>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</si>
  <si>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</si>
  <si>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</si>
  <si>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</si>
  <si>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</si>
  <si>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</si>
  <si>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</si>
  <si>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</si>
  <si>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</si>
  <si>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</si>
  <si>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</si>
  <si>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</si>
  <si>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</si>
  <si>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</si>
  <si>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</si>
  <si>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</si>
  <si>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</si>
  <si>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</si>
  <si>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</si>
  <si>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</si>
  <si>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</si>
  <si>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</si>
  <si>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</si>
  <si>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</si>
  <si>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</si>
  <si>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</si>
  <si>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</si>
  <si>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</si>
  <si>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</si>
  <si>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</si>
  <si>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</si>
  <si>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</si>
  <si>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</si>
  <si>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</si>
  <si>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</si>
  <si>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13029</t>
  </si>
  <si>
    <t>OLEN</t>
  </si>
  <si>
    <t>Paarden&amp;pony's 200 - 600 kg</t>
  </si>
  <si>
    <t>Paarden&amp;pony's &lt; 200 kg</t>
  </si>
  <si>
    <t>Fluvius</t>
  </si>
  <si>
    <t>referentietaak LNE (2017); Jaarverslag De Lijn</t>
  </si>
  <si>
    <t>interne verbrandingsmotor</t>
  </si>
  <si>
    <t>WKK interne verbrandinsgmotor (gas)</t>
  </si>
  <si>
    <t>IVEKA</t>
  </si>
  <si>
    <t>Iveka</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</si>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</sst>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15B6BD2-F6C4-49E5-984E-60A64CA4DE2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101953.86139325178</c:v>
                </c:pt>
                <c:pt idx="1">
                  <c:v>36119.57374530541</c:v>
                </c:pt>
                <c:pt idx="2">
                  <c:v>638.00699999999995</c:v>
                </c:pt>
                <c:pt idx="3">
                  <c:v>13593.952556046419</c:v>
                </c:pt>
                <c:pt idx="4">
                  <c:v>267998.22058870707</c:v>
                </c:pt>
                <c:pt idx="5">
                  <c:v>137599.85258634892</c:v>
                </c:pt>
                <c:pt idx="6">
                  <c:v>674.48469884857536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101953.86139325178</c:v>
                </c:pt>
                <c:pt idx="1">
                  <c:v>36119.57374530541</c:v>
                </c:pt>
                <c:pt idx="2">
                  <c:v>638.00699999999995</c:v>
                </c:pt>
                <c:pt idx="3">
                  <c:v>13593.952556046419</c:v>
                </c:pt>
                <c:pt idx="4">
                  <c:v>267998.22058870707</c:v>
                </c:pt>
                <c:pt idx="5">
                  <c:v>137599.85258634892</c:v>
                </c:pt>
                <c:pt idx="6">
                  <c:v>674.48469884857536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20942.227545317754</c:v>
                </c:pt>
                <c:pt idx="2">
                  <c:v>7219.7054245577874</c:v>
                </c:pt>
                <c:pt idx="3">
                  <c:v>120.52130852867803</c:v>
                </c:pt>
                <c:pt idx="4">
                  <c:v>3144.2754678291249</c:v>
                </c:pt>
                <c:pt idx="5">
                  <c:v>54035.168235169476</c:v>
                </c:pt>
                <c:pt idx="6">
                  <c:v>34516.757263583801</c:v>
                </c:pt>
                <c:pt idx="7">
                  <c:v>170.07159487453652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20942.227545317754</c:v>
                </c:pt>
                <c:pt idx="2">
                  <c:v>7219.7054245577874</c:v>
                </c:pt>
                <c:pt idx="3">
                  <c:v>120.52130852867803</c:v>
                </c:pt>
                <c:pt idx="4">
                  <c:v>3144.2754678291249</c:v>
                </c:pt>
                <c:pt idx="5">
                  <c:v>54035.168235169476</c:v>
                </c:pt>
                <c:pt idx="6">
                  <c:v>34516.757263583801</c:v>
                </c:pt>
                <c:pt idx="7">
                  <c:v>170.07159487453652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13029</v>
      </c>
      <c r="B6" s="383"/>
      <c r="C6" s="384"/>
    </row>
    <row r="7" spans="1:7" s="381" customFormat="1" ht="15.75" customHeight="1">
      <c r="A7" s="385" t="str">
        <f>txtMunicipality</f>
        <v>OLEN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18868.422450000002</v>
      </c>
      <c r="D10" s="983">
        <f ca="1">tertiair!C16</f>
        <v>0</v>
      </c>
      <c r="E10" s="983">
        <f ca="1">tertiair!D16</f>
        <v>15098.856449727726</v>
      </c>
      <c r="F10" s="983">
        <f>tertiair!E16</f>
        <v>200.85673173278289</v>
      </c>
      <c r="G10" s="983">
        <f ca="1">tertiair!F16</f>
        <v>2548.1851138449088</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3.1266666666666669</v>
      </c>
      <c r="Q10" s="984">
        <f>tertiair!P16</f>
        <v>38.133333333333333</v>
      </c>
      <c r="R10" s="667">
        <f ca="1">SUM(C10:Q10)</f>
        <v>36757.580745305408</v>
      </c>
      <c r="S10" s="67"/>
    </row>
    <row r="11" spans="1:19" s="440" customFormat="1">
      <c r="A11" s="776" t="s">
        <v>214</v>
      </c>
      <c r="B11" s="781"/>
      <c r="C11" s="983">
        <f>huishoudens!B8</f>
        <v>19961.284170684648</v>
      </c>
      <c r="D11" s="983">
        <f>huishoudens!C8</f>
        <v>0</v>
      </c>
      <c r="E11" s="983">
        <f>huishoudens!D8</f>
        <v>46075.408267643303</v>
      </c>
      <c r="F11" s="983">
        <f>huishoudens!E8</f>
        <v>882.58809532602913</v>
      </c>
      <c r="G11" s="983">
        <f>huishoudens!F8</f>
        <v>27842.900904531572</v>
      </c>
      <c r="H11" s="983">
        <f>huishoudens!G8</f>
        <v>0</v>
      </c>
      <c r="I11" s="983">
        <f>huishoudens!H8</f>
        <v>0</v>
      </c>
      <c r="J11" s="983">
        <f>huishoudens!I8</f>
        <v>0</v>
      </c>
      <c r="K11" s="983">
        <f>huishoudens!J8</f>
        <v>649.29539728876443</v>
      </c>
      <c r="L11" s="983">
        <f>huishoudens!K8</f>
        <v>0</v>
      </c>
      <c r="M11" s="983">
        <f>huishoudens!L8</f>
        <v>0</v>
      </c>
      <c r="N11" s="983">
        <f>huishoudens!M8</f>
        <v>0</v>
      </c>
      <c r="O11" s="983">
        <f>huishoudens!N8</f>
        <v>5679.2978911107748</v>
      </c>
      <c r="P11" s="983">
        <f>huishoudens!O8</f>
        <v>272.02000000000004</v>
      </c>
      <c r="Q11" s="984">
        <f>huishoudens!P8</f>
        <v>591.06666666666661</v>
      </c>
      <c r="R11" s="667">
        <f>SUM(C11:Q11)</f>
        <v>101953.86139325178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76767.080699999991</v>
      </c>
      <c r="D13" s="983">
        <f>industrie!C18</f>
        <v>0</v>
      </c>
      <c r="E13" s="983">
        <f>industrie!D18</f>
        <v>106939.10457835703</v>
      </c>
      <c r="F13" s="983">
        <f>industrie!E18</f>
        <v>3284.3140709985628</v>
      </c>
      <c r="G13" s="983">
        <f>industrie!F18</f>
        <v>63251.871967344632</v>
      </c>
      <c r="H13" s="983">
        <f>industrie!G18</f>
        <v>0</v>
      </c>
      <c r="I13" s="983">
        <f>industrie!H18</f>
        <v>0</v>
      </c>
      <c r="J13" s="983">
        <f>industrie!I18</f>
        <v>0</v>
      </c>
      <c r="K13" s="983">
        <f>industrie!J18</f>
        <v>842.26986401146098</v>
      </c>
      <c r="L13" s="983">
        <f>industrie!K18</f>
        <v>0</v>
      </c>
      <c r="M13" s="983">
        <f>industrie!L18</f>
        <v>0</v>
      </c>
      <c r="N13" s="983">
        <f>industrie!M18</f>
        <v>0</v>
      </c>
      <c r="O13" s="983">
        <f>industrie!N18</f>
        <v>16913.579407995403</v>
      </c>
      <c r="P13" s="983">
        <f>industrie!O18</f>
        <v>0</v>
      </c>
      <c r="Q13" s="984">
        <f>industrie!P18</f>
        <v>0</v>
      </c>
      <c r="R13" s="667">
        <f>SUM(C13:Q13)</f>
        <v>267998.22058870707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115596.78732068464</v>
      </c>
      <c r="D16" s="699">
        <f t="shared" ref="D16:R16" ca="1" si="0">SUM(D9:D15)</f>
        <v>0</v>
      </c>
      <c r="E16" s="699">
        <f t="shared" ca="1" si="0"/>
        <v>168113.36929572804</v>
      </c>
      <c r="F16" s="699">
        <f t="shared" si="0"/>
        <v>4367.7588980573746</v>
      </c>
      <c r="G16" s="699">
        <f t="shared" ca="1" si="0"/>
        <v>93642.957985721121</v>
      </c>
      <c r="H16" s="699">
        <f t="shared" si="0"/>
        <v>0</v>
      </c>
      <c r="I16" s="699">
        <f t="shared" si="0"/>
        <v>0</v>
      </c>
      <c r="J16" s="699">
        <f t="shared" si="0"/>
        <v>0</v>
      </c>
      <c r="K16" s="699">
        <f t="shared" si="0"/>
        <v>1491.5652613002253</v>
      </c>
      <c r="L16" s="699">
        <f t="shared" si="0"/>
        <v>0</v>
      </c>
      <c r="M16" s="699">
        <f t="shared" ca="1" si="0"/>
        <v>0</v>
      </c>
      <c r="N16" s="699">
        <f t="shared" si="0"/>
        <v>0</v>
      </c>
      <c r="O16" s="699">
        <f t="shared" ca="1" si="0"/>
        <v>22592.877299106178</v>
      </c>
      <c r="P16" s="699">
        <f t="shared" si="0"/>
        <v>275.1466666666667</v>
      </c>
      <c r="Q16" s="699">
        <f t="shared" si="0"/>
        <v>629.19999999999993</v>
      </c>
      <c r="R16" s="699">
        <f t="shared" ca="1" si="0"/>
        <v>406709.66272726422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3.3490606436200587</v>
      </c>
      <c r="D19" s="983">
        <f>transport!C54</f>
        <v>0</v>
      </c>
      <c r="E19" s="983">
        <f>transport!D54</f>
        <v>0</v>
      </c>
      <c r="F19" s="983">
        <f>transport!E54</f>
        <v>0</v>
      </c>
      <c r="G19" s="983">
        <f>transport!F54</f>
        <v>0</v>
      </c>
      <c r="H19" s="983">
        <f>transport!G54</f>
        <v>634.60280128310524</v>
      </c>
      <c r="I19" s="983">
        <f>transport!H54</f>
        <v>0</v>
      </c>
      <c r="J19" s="983">
        <f>transport!I54</f>
        <v>0</v>
      </c>
      <c r="K19" s="983">
        <f>transport!J54</f>
        <v>0</v>
      </c>
      <c r="L19" s="983">
        <f>transport!K54</f>
        <v>0</v>
      </c>
      <c r="M19" s="983">
        <f>transport!L54</f>
        <v>0</v>
      </c>
      <c r="N19" s="983">
        <f>transport!M54</f>
        <v>36.532836921849999</v>
      </c>
      <c r="O19" s="983">
        <f>transport!N54</f>
        <v>0</v>
      </c>
      <c r="P19" s="983">
        <f>transport!O54</f>
        <v>0</v>
      </c>
      <c r="Q19" s="984">
        <f>transport!P54</f>
        <v>0</v>
      </c>
      <c r="R19" s="667">
        <f>SUM(C19:Q19)</f>
        <v>674.48469884857536</v>
      </c>
      <c r="S19" s="67"/>
    </row>
    <row r="20" spans="1:19" s="440" customFormat="1">
      <c r="A20" s="776" t="s">
        <v>296</v>
      </c>
      <c r="B20" s="781"/>
      <c r="C20" s="983">
        <f>transport!B14</f>
        <v>21.375732517637129</v>
      </c>
      <c r="D20" s="983">
        <f>transport!C14</f>
        <v>0</v>
      </c>
      <c r="E20" s="983">
        <f>transport!D14</f>
        <v>30.259174632695505</v>
      </c>
      <c r="F20" s="983">
        <f>transport!E14</f>
        <v>324.84855455978817</v>
      </c>
      <c r="G20" s="983">
        <f>transport!F14</f>
        <v>0</v>
      </c>
      <c r="H20" s="983">
        <f>transport!G14</f>
        <v>112278.24033898929</v>
      </c>
      <c r="I20" s="983">
        <f>transport!H14</f>
        <v>17889.864185520284</v>
      </c>
      <c r="J20" s="983">
        <f>transport!I14</f>
        <v>0</v>
      </c>
      <c r="K20" s="983">
        <f>transport!J14</f>
        <v>0</v>
      </c>
      <c r="L20" s="983">
        <f>transport!K14</f>
        <v>0</v>
      </c>
      <c r="M20" s="983">
        <f>transport!L14</f>
        <v>0</v>
      </c>
      <c r="N20" s="983">
        <f>transport!M14</f>
        <v>7055.264600129226</v>
      </c>
      <c r="O20" s="983">
        <f>transport!N14</f>
        <v>0</v>
      </c>
      <c r="P20" s="983">
        <f>transport!O14</f>
        <v>0</v>
      </c>
      <c r="Q20" s="984">
        <f>transport!P14</f>
        <v>0</v>
      </c>
      <c r="R20" s="667">
        <f>SUM(C20:Q20)</f>
        <v>137599.85258634892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24.724793161257189</v>
      </c>
      <c r="D22" s="779">
        <f t="shared" ref="D22:R22" si="1">SUM(D18:D21)</f>
        <v>0</v>
      </c>
      <c r="E22" s="779">
        <f t="shared" si="1"/>
        <v>30.259174632695505</v>
      </c>
      <c r="F22" s="779">
        <f t="shared" si="1"/>
        <v>324.84855455978817</v>
      </c>
      <c r="G22" s="779">
        <f t="shared" si="1"/>
        <v>0</v>
      </c>
      <c r="H22" s="779">
        <f t="shared" si="1"/>
        <v>112912.84314027239</v>
      </c>
      <c r="I22" s="779">
        <f t="shared" si="1"/>
        <v>17889.864185520284</v>
      </c>
      <c r="J22" s="779">
        <f t="shared" si="1"/>
        <v>0</v>
      </c>
      <c r="K22" s="779">
        <f t="shared" si="1"/>
        <v>0</v>
      </c>
      <c r="L22" s="779">
        <f t="shared" si="1"/>
        <v>0</v>
      </c>
      <c r="M22" s="779">
        <f t="shared" si="1"/>
        <v>0</v>
      </c>
      <c r="N22" s="779">
        <f t="shared" si="1"/>
        <v>7091.7974370510756</v>
      </c>
      <c r="O22" s="779">
        <f t="shared" si="1"/>
        <v>0</v>
      </c>
      <c r="P22" s="779">
        <f t="shared" si="1"/>
        <v>0</v>
      </c>
      <c r="Q22" s="779">
        <f t="shared" si="1"/>
        <v>0</v>
      </c>
      <c r="R22" s="779">
        <f t="shared" si="1"/>
        <v>138274.33728519749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441.80950000000001</v>
      </c>
      <c r="D24" s="983">
        <f>+landbouw!C8</f>
        <v>9000</v>
      </c>
      <c r="E24" s="983">
        <f>+landbouw!D8</f>
        <v>2959.3616383288027</v>
      </c>
      <c r="F24" s="983">
        <f>+landbouw!E8</f>
        <v>4.0922246358284609</v>
      </c>
      <c r="G24" s="983">
        <f>+landbouw!F8</f>
        <v>1120.9548661233787</v>
      </c>
      <c r="H24" s="983">
        <f>+landbouw!G8</f>
        <v>0</v>
      </c>
      <c r="I24" s="983">
        <f>+landbouw!H8</f>
        <v>0</v>
      </c>
      <c r="J24" s="983">
        <f>+landbouw!I8</f>
        <v>0</v>
      </c>
      <c r="K24" s="983">
        <f>+landbouw!J8</f>
        <v>67.734326958410463</v>
      </c>
      <c r="L24" s="983">
        <f>+landbouw!K8</f>
        <v>0</v>
      </c>
      <c r="M24" s="983">
        <f>+landbouw!L8</f>
        <v>0</v>
      </c>
      <c r="N24" s="983">
        <f>+landbouw!M8</f>
        <v>0</v>
      </c>
      <c r="O24" s="983">
        <f>+landbouw!N8</f>
        <v>0</v>
      </c>
      <c r="P24" s="983">
        <f>+landbouw!O8</f>
        <v>0</v>
      </c>
      <c r="Q24" s="984">
        <f>+landbouw!P8</f>
        <v>0</v>
      </c>
      <c r="R24" s="667">
        <f>SUM(C24:Q24)</f>
        <v>13593.952556046419</v>
      </c>
      <c r="S24" s="67"/>
    </row>
    <row r="25" spans="1:19" s="440" customFormat="1" ht="15" thickBot="1">
      <c r="A25" s="798" t="s">
        <v>829</v>
      </c>
      <c r="B25" s="986"/>
      <c r="C25" s="987">
        <f>IF(Onbekend_ele_kWh="---",0,Onbekend_ele_kWh)/1000+IF(REST_rest_ele_kWh="---",0,REST_rest_ele_kWh)/1000</f>
        <v>578.85519999999997</v>
      </c>
      <c r="D25" s="987"/>
      <c r="E25" s="987">
        <f>IF(onbekend_gas_kWh="---",0,onbekend_gas_kWh)/1000+IF(REST_rest_gas_kWh="---",0,REST_rest_gas_kWh)/1000</f>
        <v>1529.3337958911202</v>
      </c>
      <c r="F25" s="987"/>
      <c r="G25" s="987"/>
      <c r="H25" s="987"/>
      <c r="I25" s="987"/>
      <c r="J25" s="987"/>
      <c r="K25" s="987"/>
      <c r="L25" s="987"/>
      <c r="M25" s="987"/>
      <c r="N25" s="987"/>
      <c r="O25" s="987"/>
      <c r="P25" s="987"/>
      <c r="Q25" s="988"/>
      <c r="R25" s="667">
        <f>SUM(C25:Q25)</f>
        <v>2108.1889958911202</v>
      </c>
      <c r="S25" s="67"/>
    </row>
    <row r="26" spans="1:19" s="440" customFormat="1" ht="15.75" thickBot="1">
      <c r="A26" s="672" t="s">
        <v>830</v>
      </c>
      <c r="B26" s="784"/>
      <c r="C26" s="779">
        <f>SUM(C24:C25)</f>
        <v>1020.6647</v>
      </c>
      <c r="D26" s="779">
        <f t="shared" ref="D26:R26" si="2">SUM(D24:D25)</f>
        <v>9000</v>
      </c>
      <c r="E26" s="779">
        <f t="shared" si="2"/>
        <v>4488.6954342199224</v>
      </c>
      <c r="F26" s="779">
        <f t="shared" si="2"/>
        <v>4.0922246358284609</v>
      </c>
      <c r="G26" s="779">
        <f t="shared" si="2"/>
        <v>1120.9548661233787</v>
      </c>
      <c r="H26" s="779">
        <f t="shared" si="2"/>
        <v>0</v>
      </c>
      <c r="I26" s="779">
        <f t="shared" si="2"/>
        <v>0</v>
      </c>
      <c r="J26" s="779">
        <f t="shared" si="2"/>
        <v>0</v>
      </c>
      <c r="K26" s="779">
        <f t="shared" si="2"/>
        <v>67.734326958410463</v>
      </c>
      <c r="L26" s="779">
        <f t="shared" si="2"/>
        <v>0</v>
      </c>
      <c r="M26" s="779">
        <f t="shared" si="2"/>
        <v>0</v>
      </c>
      <c r="N26" s="779">
        <f t="shared" si="2"/>
        <v>0</v>
      </c>
      <c r="O26" s="779">
        <f t="shared" si="2"/>
        <v>0</v>
      </c>
      <c r="P26" s="779">
        <f t="shared" si="2"/>
        <v>0</v>
      </c>
      <c r="Q26" s="779">
        <f t="shared" si="2"/>
        <v>0</v>
      </c>
      <c r="R26" s="779">
        <f t="shared" si="2"/>
        <v>15702.141551937539</v>
      </c>
      <c r="S26" s="67"/>
    </row>
    <row r="27" spans="1:19" s="440" customFormat="1" ht="17.25" thickTop="1" thickBot="1">
      <c r="A27" s="673" t="s">
        <v>109</v>
      </c>
      <c r="B27" s="772"/>
      <c r="C27" s="674">
        <f ca="1">C22+C16+C26</f>
        <v>116642.17681384589</v>
      </c>
      <c r="D27" s="674">
        <f t="shared" ref="D27:R27" ca="1" si="3">D22+D16+D26</f>
        <v>9000</v>
      </c>
      <c r="E27" s="674">
        <f t="shared" ca="1" si="3"/>
        <v>172632.32390458067</v>
      </c>
      <c r="F27" s="674">
        <f t="shared" si="3"/>
        <v>4696.699677252991</v>
      </c>
      <c r="G27" s="674">
        <f t="shared" ca="1" si="3"/>
        <v>94763.912851844507</v>
      </c>
      <c r="H27" s="674">
        <f t="shared" si="3"/>
        <v>112912.84314027239</v>
      </c>
      <c r="I27" s="674">
        <f t="shared" si="3"/>
        <v>17889.864185520284</v>
      </c>
      <c r="J27" s="674">
        <f t="shared" si="3"/>
        <v>0</v>
      </c>
      <c r="K27" s="674">
        <f t="shared" si="3"/>
        <v>1559.2995882586358</v>
      </c>
      <c r="L27" s="674">
        <f t="shared" si="3"/>
        <v>0</v>
      </c>
      <c r="M27" s="674">
        <f t="shared" ca="1" si="3"/>
        <v>0</v>
      </c>
      <c r="N27" s="674">
        <f t="shared" si="3"/>
        <v>7091.7974370510756</v>
      </c>
      <c r="O27" s="674">
        <f t="shared" ca="1" si="3"/>
        <v>22592.877299106178</v>
      </c>
      <c r="P27" s="674">
        <f t="shared" si="3"/>
        <v>275.1466666666667</v>
      </c>
      <c r="Q27" s="674">
        <f t="shared" si="3"/>
        <v>629.19999999999993</v>
      </c>
      <c r="R27" s="674">
        <f t="shared" ca="1" si="3"/>
        <v>560686.14156439924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3564.2978267415333</v>
      </c>
      <c r="D40" s="983">
        <f ca="1">tertiair!C20</f>
        <v>0</v>
      </c>
      <c r="E40" s="983">
        <f ca="1">tertiair!D20</f>
        <v>3049.9690028450009</v>
      </c>
      <c r="F40" s="983">
        <f>tertiair!E20</f>
        <v>45.594478103341714</v>
      </c>
      <c r="G40" s="983">
        <f ca="1">tertiair!F20</f>
        <v>680.36542539659069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7340.2267330864661</v>
      </c>
    </row>
    <row r="41" spans="1:18">
      <c r="A41" s="789" t="s">
        <v>214</v>
      </c>
      <c r="B41" s="796"/>
      <c r="C41" s="983">
        <f ca="1">huishoudens!B12</f>
        <v>3770.7424654646452</v>
      </c>
      <c r="D41" s="983">
        <f ca="1">huishoudens!C12</f>
        <v>0</v>
      </c>
      <c r="E41" s="983">
        <f>huishoudens!D12</f>
        <v>9307.2324700639474</v>
      </c>
      <c r="F41" s="983">
        <f>huishoudens!E12</f>
        <v>200.34749763900862</v>
      </c>
      <c r="G41" s="983">
        <f>huishoudens!F12</f>
        <v>7434.0545415099305</v>
      </c>
      <c r="H41" s="983">
        <f>huishoudens!G12</f>
        <v>0</v>
      </c>
      <c r="I41" s="983">
        <f>huishoudens!H12</f>
        <v>0</v>
      </c>
      <c r="J41" s="983">
        <f>huishoudens!I12</f>
        <v>0</v>
      </c>
      <c r="K41" s="983">
        <f>huishoudens!J12</f>
        <v>229.8505706402226</v>
      </c>
      <c r="L41" s="983">
        <f>huishoudens!K12</f>
        <v>0</v>
      </c>
      <c r="M41" s="983">
        <f>huishoudens!L12</f>
        <v>0</v>
      </c>
      <c r="N41" s="983">
        <f>huishoudens!M12</f>
        <v>0</v>
      </c>
      <c r="O41" s="983">
        <f>huishoudens!N12</f>
        <v>0</v>
      </c>
      <c r="P41" s="983">
        <f>huishoudens!O12</f>
        <v>0</v>
      </c>
      <c r="Q41" s="741">
        <f>huishoudens!P12</f>
        <v>0</v>
      </c>
      <c r="R41" s="817">
        <f t="shared" ca="1" si="4"/>
        <v>20942.227545317754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14501.516469083608</v>
      </c>
      <c r="D43" s="983">
        <f ca="1">industrie!C22</f>
        <v>0</v>
      </c>
      <c r="E43" s="983">
        <f>industrie!D22</f>
        <v>21601.699124828123</v>
      </c>
      <c r="F43" s="983">
        <f>industrie!E22</f>
        <v>745.53929411667377</v>
      </c>
      <c r="G43" s="983">
        <f>industrie!F22</f>
        <v>16888.249815281019</v>
      </c>
      <c r="H43" s="983">
        <f>industrie!G22</f>
        <v>0</v>
      </c>
      <c r="I43" s="983">
        <f>industrie!H22</f>
        <v>0</v>
      </c>
      <c r="J43" s="983">
        <f>industrie!I22</f>
        <v>0</v>
      </c>
      <c r="K43" s="983">
        <f>industrie!J22</f>
        <v>298.16353186005716</v>
      </c>
      <c r="L43" s="983">
        <f>industrie!K22</f>
        <v>0</v>
      </c>
      <c r="M43" s="983">
        <f>industrie!L22</f>
        <v>0</v>
      </c>
      <c r="N43" s="983">
        <f>industrie!M22</f>
        <v>0</v>
      </c>
      <c r="O43" s="983">
        <f>industrie!N22</f>
        <v>0</v>
      </c>
      <c r="P43" s="983">
        <f>industrie!O22</f>
        <v>0</v>
      </c>
      <c r="Q43" s="741">
        <f>industrie!P22</f>
        <v>0</v>
      </c>
      <c r="R43" s="816">
        <f t="shared" ca="1" si="4"/>
        <v>54035.168235169476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21836.556761289787</v>
      </c>
      <c r="D46" s="699">
        <f t="shared" ref="D46:Q46" ca="1" si="5">SUM(D39:D45)</f>
        <v>0</v>
      </c>
      <c r="E46" s="699">
        <f t="shared" ca="1" si="5"/>
        <v>33958.900597737069</v>
      </c>
      <c r="F46" s="699">
        <f t="shared" si="5"/>
        <v>991.48126985902411</v>
      </c>
      <c r="G46" s="699">
        <f t="shared" ca="1" si="5"/>
        <v>25002.669782187539</v>
      </c>
      <c r="H46" s="699">
        <f t="shared" si="5"/>
        <v>0</v>
      </c>
      <c r="I46" s="699">
        <f t="shared" si="5"/>
        <v>0</v>
      </c>
      <c r="J46" s="699">
        <f t="shared" si="5"/>
        <v>0</v>
      </c>
      <c r="K46" s="699">
        <f t="shared" si="5"/>
        <v>528.01410250027971</v>
      </c>
      <c r="L46" s="699">
        <f t="shared" si="5"/>
        <v>0</v>
      </c>
      <c r="M46" s="699">
        <f t="shared" ca="1" si="5"/>
        <v>0</v>
      </c>
      <c r="N46" s="699">
        <f t="shared" si="5"/>
        <v>0</v>
      </c>
      <c r="O46" s="699">
        <f t="shared" ca="1" si="5"/>
        <v>0</v>
      </c>
      <c r="P46" s="699">
        <f t="shared" si="5"/>
        <v>0</v>
      </c>
      <c r="Q46" s="699">
        <f t="shared" si="5"/>
        <v>0</v>
      </c>
      <c r="R46" s="699">
        <f ca="1">SUM(R39:R45)</f>
        <v>82317.622513573704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0.63264693194743349</v>
      </c>
      <c r="D49" s="983">
        <f ca="1">transport!C58</f>
        <v>0</v>
      </c>
      <c r="E49" s="983">
        <f>transport!D58</f>
        <v>0</v>
      </c>
      <c r="F49" s="983">
        <f>transport!E58</f>
        <v>0</v>
      </c>
      <c r="G49" s="983">
        <f>transport!F58</f>
        <v>0</v>
      </c>
      <c r="H49" s="983">
        <f>transport!G58</f>
        <v>169.4389479425891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170.07159487453652</v>
      </c>
    </row>
    <row r="50" spans="1:18">
      <c r="A50" s="792" t="s">
        <v>296</v>
      </c>
      <c r="B50" s="802"/>
      <c r="C50" s="670">
        <f ca="1">transport!B18</f>
        <v>4.0379357182360698</v>
      </c>
      <c r="D50" s="670">
        <f>transport!C18</f>
        <v>0</v>
      </c>
      <c r="E50" s="670">
        <f>transport!D18</f>
        <v>6.1123532758044927</v>
      </c>
      <c r="F50" s="670">
        <f>transport!E18</f>
        <v>73.740621885071917</v>
      </c>
      <c r="G50" s="670">
        <f>transport!F18</f>
        <v>0</v>
      </c>
      <c r="H50" s="670">
        <f>transport!G18</f>
        <v>29978.290170510139</v>
      </c>
      <c r="I50" s="670">
        <f>transport!H18</f>
        <v>4454.5761821945507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34516.757263583801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4.670582650183503</v>
      </c>
      <c r="D52" s="699">
        <f t="shared" ref="D52:Q52" ca="1" si="6">SUM(D48:D51)</f>
        <v>0</v>
      </c>
      <c r="E52" s="699">
        <f t="shared" si="6"/>
        <v>6.1123532758044927</v>
      </c>
      <c r="F52" s="699">
        <f t="shared" si="6"/>
        <v>73.740621885071917</v>
      </c>
      <c r="G52" s="699">
        <f t="shared" si="6"/>
        <v>0</v>
      </c>
      <c r="H52" s="699">
        <f t="shared" si="6"/>
        <v>30147.729118452728</v>
      </c>
      <c r="I52" s="699">
        <f t="shared" si="6"/>
        <v>4454.5761821945507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34686.828858458335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83.459051484389647</v>
      </c>
      <c r="D54" s="670">
        <f ca="1">+landbouw!C12</f>
        <v>2138.8235294117649</v>
      </c>
      <c r="E54" s="670">
        <f>+landbouw!D12</f>
        <v>597.79105094241822</v>
      </c>
      <c r="F54" s="670">
        <f>+landbouw!E12</f>
        <v>0.92893499233306065</v>
      </c>
      <c r="G54" s="670">
        <f>+landbouw!F12</f>
        <v>299.29494925494214</v>
      </c>
      <c r="H54" s="670">
        <f>+landbouw!G12</f>
        <v>0</v>
      </c>
      <c r="I54" s="670">
        <f>+landbouw!H12</f>
        <v>0</v>
      </c>
      <c r="J54" s="670">
        <f>+landbouw!I12</f>
        <v>0</v>
      </c>
      <c r="K54" s="670">
        <f>+landbouw!J12</f>
        <v>23.977951743277302</v>
      </c>
      <c r="L54" s="670">
        <f>+landbouw!K12</f>
        <v>0</v>
      </c>
      <c r="M54" s="670">
        <f>+landbouw!L12</f>
        <v>0</v>
      </c>
      <c r="N54" s="670">
        <f>+landbouw!M12</f>
        <v>0</v>
      </c>
      <c r="O54" s="670">
        <f>+landbouw!N12</f>
        <v>0</v>
      </c>
      <c r="P54" s="670">
        <f>+landbouw!O12</f>
        <v>0</v>
      </c>
      <c r="Q54" s="671">
        <f>+landbouw!P12</f>
        <v>0</v>
      </c>
      <c r="R54" s="698">
        <f ca="1">SUM(C54:Q54)</f>
        <v>3144.2754678291249</v>
      </c>
    </row>
    <row r="55" spans="1:18" ht="15" thickBot="1">
      <c r="A55" s="792" t="s">
        <v>829</v>
      </c>
      <c r="B55" s="802"/>
      <c r="C55" s="670">
        <f ca="1">C25*'EF ele_warmte'!B12</f>
        <v>109.34736790133907</v>
      </c>
      <c r="D55" s="670"/>
      <c r="E55" s="670">
        <f>E25*EF_CO2_aardgas</f>
        <v>308.92542677000631</v>
      </c>
      <c r="F55" s="670"/>
      <c r="G55" s="670"/>
      <c r="H55" s="670"/>
      <c r="I55" s="670"/>
      <c r="J55" s="670"/>
      <c r="K55" s="670"/>
      <c r="L55" s="670"/>
      <c r="M55" s="670"/>
      <c r="N55" s="670"/>
      <c r="O55" s="670"/>
      <c r="P55" s="670"/>
      <c r="Q55" s="671"/>
      <c r="R55" s="698">
        <f ca="1">SUM(C55:Q55)</f>
        <v>418.27279467134537</v>
      </c>
    </row>
    <row r="56" spans="1:18" ht="15.75" thickBot="1">
      <c r="A56" s="790" t="s">
        <v>830</v>
      </c>
      <c r="B56" s="803"/>
      <c r="C56" s="699">
        <f ca="1">SUM(C54:C55)</f>
        <v>192.8064193857287</v>
      </c>
      <c r="D56" s="699">
        <f t="shared" ref="D56:Q56" ca="1" si="7">SUM(D54:D55)</f>
        <v>2138.8235294117649</v>
      </c>
      <c r="E56" s="699">
        <f t="shared" si="7"/>
        <v>906.71647771242453</v>
      </c>
      <c r="F56" s="699">
        <f t="shared" si="7"/>
        <v>0.92893499233306065</v>
      </c>
      <c r="G56" s="699">
        <f t="shared" si="7"/>
        <v>299.29494925494214</v>
      </c>
      <c r="H56" s="699">
        <f t="shared" si="7"/>
        <v>0</v>
      </c>
      <c r="I56" s="699">
        <f t="shared" si="7"/>
        <v>0</v>
      </c>
      <c r="J56" s="699">
        <f t="shared" si="7"/>
        <v>0</v>
      </c>
      <c r="K56" s="699">
        <f t="shared" si="7"/>
        <v>23.977951743277302</v>
      </c>
      <c r="L56" s="699">
        <f t="shared" si="7"/>
        <v>0</v>
      </c>
      <c r="M56" s="699">
        <f t="shared" si="7"/>
        <v>0</v>
      </c>
      <c r="N56" s="699">
        <f t="shared" si="7"/>
        <v>0</v>
      </c>
      <c r="O56" s="699">
        <f t="shared" si="7"/>
        <v>0</v>
      </c>
      <c r="P56" s="699">
        <f t="shared" si="7"/>
        <v>0</v>
      </c>
      <c r="Q56" s="700">
        <f t="shared" si="7"/>
        <v>0</v>
      </c>
      <c r="R56" s="701">
        <f ca="1">SUM(R54:R55)</f>
        <v>3562.5482625004702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22034.033763325697</v>
      </c>
      <c r="D61" s="707">
        <f t="shared" ref="D61:Q61" ca="1" si="8">D46+D52+D56</f>
        <v>2138.8235294117649</v>
      </c>
      <c r="E61" s="707">
        <f t="shared" ca="1" si="8"/>
        <v>34871.729428725303</v>
      </c>
      <c r="F61" s="707">
        <f t="shared" si="8"/>
        <v>1066.1508267364291</v>
      </c>
      <c r="G61" s="707">
        <f t="shared" ca="1" si="8"/>
        <v>25301.96473144248</v>
      </c>
      <c r="H61" s="707">
        <f t="shared" si="8"/>
        <v>30147.729118452728</v>
      </c>
      <c r="I61" s="707">
        <f t="shared" si="8"/>
        <v>4454.5761821945507</v>
      </c>
      <c r="J61" s="707">
        <f t="shared" si="8"/>
        <v>0</v>
      </c>
      <c r="K61" s="707">
        <f t="shared" si="8"/>
        <v>551.99205424355705</v>
      </c>
      <c r="L61" s="707">
        <f t="shared" si="8"/>
        <v>0</v>
      </c>
      <c r="M61" s="707">
        <f t="shared" ca="1" si="8"/>
        <v>0</v>
      </c>
      <c r="N61" s="707">
        <f t="shared" si="8"/>
        <v>0</v>
      </c>
      <c r="O61" s="707">
        <f t="shared" ca="1" si="8"/>
        <v>0</v>
      </c>
      <c r="P61" s="707">
        <f t="shared" si="8"/>
        <v>0</v>
      </c>
      <c r="Q61" s="707">
        <f t="shared" si="8"/>
        <v>0</v>
      </c>
      <c r="R61" s="707">
        <f ca="1">R46+R52+R56</f>
        <v>120566.99963453251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0.18890279970075258</v>
      </c>
      <c r="D63" s="748">
        <f t="shared" ca="1" si="9"/>
        <v>0.23764705882352943</v>
      </c>
      <c r="E63" s="994">
        <f t="shared" ca="1" si="9"/>
        <v>0.20200000000000004</v>
      </c>
      <c r="F63" s="748">
        <f t="shared" si="9"/>
        <v>0.22700000000000001</v>
      </c>
      <c r="G63" s="748">
        <f t="shared" ca="1" si="9"/>
        <v>0.26699999999999996</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8058.9268886539867</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8321.2938494567788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6300</v>
      </c>
      <c r="D76" s="1004">
        <f>'lokale energieproductie'!C8</f>
        <v>7411.7647058823522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1497.1764705882354</v>
      </c>
      <c r="R76" s="819">
        <v>0</v>
      </c>
    </row>
    <row r="77" spans="1:18" ht="30.75" thickBot="1">
      <c r="A77" s="720" t="s">
        <v>340</v>
      </c>
      <c r="B77" s="717">
        <f>'lokale energieproductie'!B9*IFERROR(SUM(I77:O77)/SUM(D77:O77),0)</f>
        <v>1035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2957.1428571428573</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17415.220738110766</v>
      </c>
      <c r="C78" s="722">
        <f>SUM(C72:C77)</f>
        <v>6300</v>
      </c>
      <c r="D78" s="723">
        <f t="shared" ref="D78:H78" si="10">SUM(D76:D77)</f>
        <v>7411.7647058823522</v>
      </c>
      <c r="E78" s="723">
        <f t="shared" si="10"/>
        <v>0</v>
      </c>
      <c r="F78" s="723">
        <f t="shared" si="10"/>
        <v>0</v>
      </c>
      <c r="G78" s="723">
        <f t="shared" si="10"/>
        <v>0</v>
      </c>
      <c r="H78" s="723">
        <f t="shared" si="10"/>
        <v>0</v>
      </c>
      <c r="I78" s="723">
        <f>SUM(I76:I77)</f>
        <v>0</v>
      </c>
      <c r="J78" s="723">
        <f>SUM(J76:J77)</f>
        <v>2957.1428571428573</v>
      </c>
      <c r="K78" s="723">
        <f t="shared" ref="K78:L78" si="11">SUM(K76:K77)</f>
        <v>0</v>
      </c>
      <c r="L78" s="723">
        <f t="shared" si="11"/>
        <v>0</v>
      </c>
      <c r="M78" s="723">
        <f>SUM(M76:M77)</f>
        <v>0</v>
      </c>
      <c r="N78" s="723">
        <f>SUM(N76:N77)</f>
        <v>0</v>
      </c>
      <c r="O78" s="827">
        <f>SUM(O76:O77)</f>
        <v>0</v>
      </c>
      <c r="P78" s="724">
        <v>0</v>
      </c>
      <c r="Q78" s="724">
        <f>SUM(Q76:Q77)</f>
        <v>1497.1764705882354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9000</v>
      </c>
      <c r="D87" s="744">
        <f>'lokale energieproductie'!C17</f>
        <v>10588.235294117647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2138.8235294117649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9000</v>
      </c>
      <c r="D90" s="722">
        <f t="shared" ref="D90:H90" si="12">SUM(D87:D89)</f>
        <v>10588.235294117647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2138.8235294117649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19961.284170684648</v>
      </c>
      <c r="C4" s="444">
        <f>huishoudens!C8</f>
        <v>0</v>
      </c>
      <c r="D4" s="444">
        <f>huishoudens!D8</f>
        <v>46075.408267643303</v>
      </c>
      <c r="E4" s="444">
        <f>huishoudens!E8</f>
        <v>882.58809532602913</v>
      </c>
      <c r="F4" s="444">
        <f>huishoudens!F8</f>
        <v>27842.900904531572</v>
      </c>
      <c r="G4" s="444">
        <f>huishoudens!G8</f>
        <v>0</v>
      </c>
      <c r="H4" s="444">
        <f>huishoudens!H8</f>
        <v>0</v>
      </c>
      <c r="I4" s="444">
        <f>huishoudens!I8</f>
        <v>0</v>
      </c>
      <c r="J4" s="444">
        <f>huishoudens!J8</f>
        <v>649.29539728876443</v>
      </c>
      <c r="K4" s="444">
        <f>huishoudens!K8</f>
        <v>0</v>
      </c>
      <c r="L4" s="444">
        <f>huishoudens!L8</f>
        <v>0</v>
      </c>
      <c r="M4" s="444">
        <f>huishoudens!M8</f>
        <v>0</v>
      </c>
      <c r="N4" s="444">
        <f>huishoudens!N8</f>
        <v>5679.2978911107748</v>
      </c>
      <c r="O4" s="444">
        <f>huishoudens!O8</f>
        <v>272.02000000000004</v>
      </c>
      <c r="P4" s="445">
        <f>huishoudens!P8</f>
        <v>591.06666666666661</v>
      </c>
      <c r="Q4" s="446">
        <f>SUM(B4:P4)</f>
        <v>101953.86139325178</v>
      </c>
    </row>
    <row r="5" spans="1:17">
      <c r="A5" s="443" t="s">
        <v>149</v>
      </c>
      <c r="B5" s="444">
        <f ca="1">tertiair!B16</f>
        <v>18230.41545</v>
      </c>
      <c r="C5" s="444">
        <f ca="1">tertiair!C16</f>
        <v>0</v>
      </c>
      <c r="D5" s="444">
        <f ca="1">tertiair!D16</f>
        <v>15098.856449727726</v>
      </c>
      <c r="E5" s="444">
        <f>tertiair!E16</f>
        <v>200.85673173278289</v>
      </c>
      <c r="F5" s="444">
        <f ca="1">tertiair!F16</f>
        <v>2548.1851138449088</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3.1266666666666669</v>
      </c>
      <c r="P5" s="445">
        <f>tertiair!P16</f>
        <v>38.133333333333333</v>
      </c>
      <c r="Q5" s="443">
        <f t="shared" ref="Q5:Q14" ca="1" si="0">SUM(B5:P5)</f>
        <v>36119.57374530541</v>
      </c>
    </row>
    <row r="6" spans="1:17">
      <c r="A6" s="443" t="s">
        <v>187</v>
      </c>
      <c r="B6" s="444">
        <f>'openbare verlichting'!B8</f>
        <v>638.00699999999995</v>
      </c>
      <c r="C6" s="444"/>
      <c r="D6" s="444"/>
      <c r="E6" s="444"/>
      <c r="F6" s="444"/>
      <c r="G6" s="444"/>
      <c r="H6" s="444"/>
      <c r="I6" s="444"/>
      <c r="J6" s="444"/>
      <c r="K6" s="444"/>
      <c r="L6" s="444"/>
      <c r="M6" s="444"/>
      <c r="N6" s="444"/>
      <c r="O6" s="444"/>
      <c r="P6" s="445"/>
      <c r="Q6" s="443">
        <f t="shared" si="0"/>
        <v>638.00699999999995</v>
      </c>
    </row>
    <row r="7" spans="1:17">
      <c r="A7" s="443" t="s">
        <v>105</v>
      </c>
      <c r="B7" s="444">
        <f>landbouw!B8</f>
        <v>441.80950000000001</v>
      </c>
      <c r="C7" s="444">
        <f>landbouw!C8</f>
        <v>9000</v>
      </c>
      <c r="D7" s="444">
        <f>landbouw!D8</f>
        <v>2959.3616383288027</v>
      </c>
      <c r="E7" s="444">
        <f>landbouw!E8</f>
        <v>4.0922246358284609</v>
      </c>
      <c r="F7" s="444">
        <f>landbouw!F8</f>
        <v>1120.9548661233787</v>
      </c>
      <c r="G7" s="444">
        <f>landbouw!G8</f>
        <v>0</v>
      </c>
      <c r="H7" s="444">
        <f>landbouw!H8</f>
        <v>0</v>
      </c>
      <c r="I7" s="444">
        <f>landbouw!I8</f>
        <v>0</v>
      </c>
      <c r="J7" s="444">
        <f>landbouw!J8</f>
        <v>67.734326958410463</v>
      </c>
      <c r="K7" s="444">
        <f>landbouw!K8</f>
        <v>0</v>
      </c>
      <c r="L7" s="444">
        <f>landbouw!L8</f>
        <v>0</v>
      </c>
      <c r="M7" s="444">
        <f>landbouw!M8</f>
        <v>0</v>
      </c>
      <c r="N7" s="444">
        <f>landbouw!N8</f>
        <v>0</v>
      </c>
      <c r="O7" s="444">
        <f>landbouw!O8</f>
        <v>0</v>
      </c>
      <c r="P7" s="445">
        <f>landbouw!P8</f>
        <v>0</v>
      </c>
      <c r="Q7" s="443">
        <f t="shared" si="0"/>
        <v>13593.952556046419</v>
      </c>
    </row>
    <row r="8" spans="1:17">
      <c r="A8" s="443" t="s">
        <v>637</v>
      </c>
      <c r="B8" s="444">
        <f>industrie!B18</f>
        <v>76767.080699999991</v>
      </c>
      <c r="C8" s="444">
        <f>industrie!C18</f>
        <v>0</v>
      </c>
      <c r="D8" s="444">
        <f>industrie!D18</f>
        <v>106939.10457835703</v>
      </c>
      <c r="E8" s="444">
        <f>industrie!E18</f>
        <v>3284.3140709985628</v>
      </c>
      <c r="F8" s="444">
        <f>industrie!F18</f>
        <v>63251.871967344632</v>
      </c>
      <c r="G8" s="444">
        <f>industrie!G18</f>
        <v>0</v>
      </c>
      <c r="H8" s="444">
        <f>industrie!H18</f>
        <v>0</v>
      </c>
      <c r="I8" s="444">
        <f>industrie!I18</f>
        <v>0</v>
      </c>
      <c r="J8" s="444">
        <f>industrie!J18</f>
        <v>842.26986401146098</v>
      </c>
      <c r="K8" s="444">
        <f>industrie!K18</f>
        <v>0</v>
      </c>
      <c r="L8" s="444">
        <f>industrie!L18</f>
        <v>0</v>
      </c>
      <c r="M8" s="444">
        <f>industrie!M18</f>
        <v>0</v>
      </c>
      <c r="N8" s="444">
        <f>industrie!N18</f>
        <v>16913.579407995403</v>
      </c>
      <c r="O8" s="444">
        <f>industrie!O18</f>
        <v>0</v>
      </c>
      <c r="P8" s="445">
        <f>industrie!P18</f>
        <v>0</v>
      </c>
      <c r="Q8" s="443">
        <f t="shared" si="0"/>
        <v>267998.22058870707</v>
      </c>
    </row>
    <row r="9" spans="1:17" s="449" customFormat="1">
      <c r="A9" s="447" t="s">
        <v>558</v>
      </c>
      <c r="B9" s="448">
        <f>transport!B14</f>
        <v>21.375732517637129</v>
      </c>
      <c r="C9" s="448">
        <f>transport!C14</f>
        <v>0</v>
      </c>
      <c r="D9" s="448">
        <f>transport!D14</f>
        <v>30.259174632695505</v>
      </c>
      <c r="E9" s="448">
        <f>transport!E14</f>
        <v>324.84855455978817</v>
      </c>
      <c r="F9" s="448">
        <f>transport!F14</f>
        <v>0</v>
      </c>
      <c r="G9" s="448">
        <f>transport!G14</f>
        <v>112278.24033898929</v>
      </c>
      <c r="H9" s="448">
        <f>transport!H14</f>
        <v>17889.864185520284</v>
      </c>
      <c r="I9" s="448">
        <f>transport!I14</f>
        <v>0</v>
      </c>
      <c r="J9" s="448">
        <f>transport!J14</f>
        <v>0</v>
      </c>
      <c r="K9" s="448">
        <f>transport!K14</f>
        <v>0</v>
      </c>
      <c r="L9" s="448">
        <f>transport!L14</f>
        <v>0</v>
      </c>
      <c r="M9" s="448">
        <f>transport!M14</f>
        <v>7055.264600129226</v>
      </c>
      <c r="N9" s="448">
        <f>transport!N14</f>
        <v>0</v>
      </c>
      <c r="O9" s="448">
        <f>transport!O14</f>
        <v>0</v>
      </c>
      <c r="P9" s="448">
        <f>transport!P14</f>
        <v>0</v>
      </c>
      <c r="Q9" s="447">
        <f>SUM(B9:P9)</f>
        <v>137599.85258634892</v>
      </c>
    </row>
    <row r="10" spans="1:17">
      <c r="A10" s="443" t="s">
        <v>548</v>
      </c>
      <c r="B10" s="444">
        <f>transport!B54</f>
        <v>3.3490606436200587</v>
      </c>
      <c r="C10" s="444">
        <f>transport!C54</f>
        <v>0</v>
      </c>
      <c r="D10" s="444">
        <f>transport!D54</f>
        <v>0</v>
      </c>
      <c r="E10" s="444">
        <f>transport!E54</f>
        <v>0</v>
      </c>
      <c r="F10" s="444">
        <f>transport!F54</f>
        <v>0</v>
      </c>
      <c r="G10" s="444">
        <f>transport!G54</f>
        <v>634.60280128310524</v>
      </c>
      <c r="H10" s="444">
        <f>transport!H54</f>
        <v>0</v>
      </c>
      <c r="I10" s="444">
        <f>transport!I54</f>
        <v>0</v>
      </c>
      <c r="J10" s="444">
        <f>transport!J54</f>
        <v>0</v>
      </c>
      <c r="K10" s="444">
        <f>transport!K54</f>
        <v>0</v>
      </c>
      <c r="L10" s="444">
        <f>transport!L54</f>
        <v>0</v>
      </c>
      <c r="M10" s="444">
        <f>transport!M54</f>
        <v>36.532836921849999</v>
      </c>
      <c r="N10" s="444">
        <f>transport!N54</f>
        <v>0</v>
      </c>
      <c r="O10" s="444">
        <f>transport!O54</f>
        <v>0</v>
      </c>
      <c r="P10" s="445">
        <f>transport!P54</f>
        <v>0</v>
      </c>
      <c r="Q10" s="443">
        <f t="shared" si="0"/>
        <v>674.48469884857536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578.85519999999997</v>
      </c>
      <c r="C14" s="451"/>
      <c r="D14" s="451">
        <f>'SEAP template'!E25</f>
        <v>1529.3337958911202</v>
      </c>
      <c r="E14" s="451"/>
      <c r="F14" s="451"/>
      <c r="G14" s="451"/>
      <c r="H14" s="451"/>
      <c r="I14" s="451"/>
      <c r="J14" s="451"/>
      <c r="K14" s="451"/>
      <c r="L14" s="451"/>
      <c r="M14" s="451"/>
      <c r="N14" s="451"/>
      <c r="O14" s="451"/>
      <c r="P14" s="452"/>
      <c r="Q14" s="443">
        <f t="shared" si="0"/>
        <v>2108.1889958911202</v>
      </c>
    </row>
    <row r="15" spans="1:17" s="453" customFormat="1">
      <c r="A15" s="1009" t="s">
        <v>552</v>
      </c>
      <c r="B15" s="949">
        <f ca="1">SUM(B4:B14)</f>
        <v>116642.17681384592</v>
      </c>
      <c r="C15" s="949">
        <f t="shared" ref="C15:Q15" ca="1" si="1">SUM(C4:C14)</f>
        <v>9000</v>
      </c>
      <c r="D15" s="949">
        <f t="shared" ca="1" si="1"/>
        <v>172632.32390458067</v>
      </c>
      <c r="E15" s="949">
        <f t="shared" si="1"/>
        <v>4696.699677252991</v>
      </c>
      <c r="F15" s="949">
        <f t="shared" ca="1" si="1"/>
        <v>94763.912851844492</v>
      </c>
      <c r="G15" s="949">
        <f t="shared" si="1"/>
        <v>112912.84314027239</v>
      </c>
      <c r="H15" s="949">
        <f t="shared" si="1"/>
        <v>17889.864185520284</v>
      </c>
      <c r="I15" s="949">
        <f t="shared" si="1"/>
        <v>0</v>
      </c>
      <c r="J15" s="949">
        <f t="shared" si="1"/>
        <v>1559.299588258636</v>
      </c>
      <c r="K15" s="949">
        <f t="shared" si="1"/>
        <v>0</v>
      </c>
      <c r="L15" s="949">
        <f t="shared" ca="1" si="1"/>
        <v>0</v>
      </c>
      <c r="M15" s="949">
        <f t="shared" si="1"/>
        <v>7091.7974370510756</v>
      </c>
      <c r="N15" s="949">
        <f t="shared" ca="1" si="1"/>
        <v>22592.877299106178</v>
      </c>
      <c r="O15" s="949">
        <f t="shared" si="1"/>
        <v>275.1466666666667</v>
      </c>
      <c r="P15" s="949">
        <f t="shared" si="1"/>
        <v>629.19999999999993</v>
      </c>
      <c r="Q15" s="949">
        <f t="shared" ca="1" si="1"/>
        <v>560686.14156439935</v>
      </c>
    </row>
    <row r="17" spans="1:17">
      <c r="A17" s="454" t="s">
        <v>553</v>
      </c>
      <c r="B17" s="753">
        <f ca="1">huishoudens!B10</f>
        <v>0.18890279970075258</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3770.7424654646452</v>
      </c>
      <c r="C22" s="444">
        <f t="shared" ref="C22:C32" ca="1" si="3">C4*$C$17</f>
        <v>0</v>
      </c>
      <c r="D22" s="444">
        <f t="shared" ref="D22:D32" si="4">D4*$D$17</f>
        <v>9307.2324700639474</v>
      </c>
      <c r="E22" s="444">
        <f t="shared" ref="E22:E32" si="5">E4*$E$17</f>
        <v>200.34749763900862</v>
      </c>
      <c r="F22" s="444">
        <f t="shared" ref="F22:F32" si="6">F4*$F$17</f>
        <v>7434.0545415099305</v>
      </c>
      <c r="G22" s="444">
        <f t="shared" ref="G22:G32" si="7">G4*$G$17</f>
        <v>0</v>
      </c>
      <c r="H22" s="444">
        <f t="shared" ref="H22:H32" si="8">H4*$H$17</f>
        <v>0</v>
      </c>
      <c r="I22" s="444">
        <f t="shared" ref="I22:I32" si="9">I4*$I$17</f>
        <v>0</v>
      </c>
      <c r="J22" s="444">
        <f t="shared" ref="J22:J32" si="10">J4*$J$17</f>
        <v>229.8505706402226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20942.227545317754</v>
      </c>
    </row>
    <row r="23" spans="1:17">
      <c r="A23" s="443" t="s">
        <v>149</v>
      </c>
      <c r="B23" s="444">
        <f t="shared" ca="1" si="2"/>
        <v>3443.7765182128551</v>
      </c>
      <c r="C23" s="444">
        <f t="shared" ca="1" si="3"/>
        <v>0</v>
      </c>
      <c r="D23" s="444">
        <f t="shared" ca="1" si="4"/>
        <v>3049.9690028450009</v>
      </c>
      <c r="E23" s="444">
        <f t="shared" si="5"/>
        <v>45.594478103341714</v>
      </c>
      <c r="F23" s="444">
        <f t="shared" ca="1" si="6"/>
        <v>680.36542539659069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7219.7054245577874</v>
      </c>
    </row>
    <row r="24" spans="1:17">
      <c r="A24" s="443" t="s">
        <v>187</v>
      </c>
      <c r="B24" s="444">
        <f t="shared" ca="1" si="2"/>
        <v>120.52130852867803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120.52130852867803</v>
      </c>
    </row>
    <row r="25" spans="1:17">
      <c r="A25" s="443" t="s">
        <v>105</v>
      </c>
      <c r="B25" s="444">
        <f t="shared" ca="1" si="2"/>
        <v>83.459051484389647</v>
      </c>
      <c r="C25" s="444">
        <f t="shared" ca="1" si="3"/>
        <v>2138.8235294117649</v>
      </c>
      <c r="D25" s="444">
        <f t="shared" si="4"/>
        <v>597.79105094241822</v>
      </c>
      <c r="E25" s="444">
        <f t="shared" si="5"/>
        <v>0.92893499233306065</v>
      </c>
      <c r="F25" s="444">
        <f t="shared" si="6"/>
        <v>299.29494925494214</v>
      </c>
      <c r="G25" s="444">
        <f t="shared" si="7"/>
        <v>0</v>
      </c>
      <c r="H25" s="444">
        <f t="shared" si="8"/>
        <v>0</v>
      </c>
      <c r="I25" s="444">
        <f t="shared" si="9"/>
        <v>0</v>
      </c>
      <c r="J25" s="444">
        <f t="shared" si="10"/>
        <v>23.977951743277302</v>
      </c>
      <c r="K25" s="444">
        <f t="shared" si="11"/>
        <v>0</v>
      </c>
      <c r="L25" s="444">
        <f t="shared" si="12"/>
        <v>0</v>
      </c>
      <c r="M25" s="444">
        <f t="shared" si="13"/>
        <v>0</v>
      </c>
      <c r="N25" s="444">
        <f t="shared" si="14"/>
        <v>0</v>
      </c>
      <c r="O25" s="444">
        <f t="shared" si="15"/>
        <v>0</v>
      </c>
      <c r="P25" s="445">
        <f t="shared" si="16"/>
        <v>0</v>
      </c>
      <c r="Q25" s="443">
        <f t="shared" ca="1" si="17"/>
        <v>3144.2754678291249</v>
      </c>
    </row>
    <row r="26" spans="1:17">
      <c r="A26" s="443" t="s">
        <v>637</v>
      </c>
      <c r="B26" s="444">
        <f t="shared" ca="1" si="2"/>
        <v>14501.516469083608</v>
      </c>
      <c r="C26" s="444">
        <f t="shared" ca="1" si="3"/>
        <v>0</v>
      </c>
      <c r="D26" s="444">
        <f t="shared" si="4"/>
        <v>21601.699124828123</v>
      </c>
      <c r="E26" s="444">
        <f t="shared" si="5"/>
        <v>745.53929411667377</v>
      </c>
      <c r="F26" s="444">
        <f t="shared" si="6"/>
        <v>16888.249815281019</v>
      </c>
      <c r="G26" s="444">
        <f t="shared" si="7"/>
        <v>0</v>
      </c>
      <c r="H26" s="444">
        <f t="shared" si="8"/>
        <v>0</v>
      </c>
      <c r="I26" s="444">
        <f t="shared" si="9"/>
        <v>0</v>
      </c>
      <c r="J26" s="444">
        <f t="shared" si="10"/>
        <v>298.16353186005716</v>
      </c>
      <c r="K26" s="444">
        <f t="shared" si="11"/>
        <v>0</v>
      </c>
      <c r="L26" s="444">
        <f t="shared" si="12"/>
        <v>0</v>
      </c>
      <c r="M26" s="444">
        <f t="shared" si="13"/>
        <v>0</v>
      </c>
      <c r="N26" s="444">
        <f t="shared" si="14"/>
        <v>0</v>
      </c>
      <c r="O26" s="444">
        <f t="shared" si="15"/>
        <v>0</v>
      </c>
      <c r="P26" s="445">
        <f t="shared" si="16"/>
        <v>0</v>
      </c>
      <c r="Q26" s="443">
        <f t="shared" ca="1" si="17"/>
        <v>54035.168235169476</v>
      </c>
    </row>
    <row r="27" spans="1:17" s="449" customFormat="1">
      <c r="A27" s="447" t="s">
        <v>558</v>
      </c>
      <c r="B27" s="747">
        <f t="shared" ca="1" si="2"/>
        <v>4.0379357182360698</v>
      </c>
      <c r="C27" s="448">
        <f t="shared" ca="1" si="3"/>
        <v>0</v>
      </c>
      <c r="D27" s="448">
        <f t="shared" si="4"/>
        <v>6.1123532758044927</v>
      </c>
      <c r="E27" s="448">
        <f t="shared" si="5"/>
        <v>73.740621885071917</v>
      </c>
      <c r="F27" s="448">
        <f t="shared" si="6"/>
        <v>0</v>
      </c>
      <c r="G27" s="448">
        <f t="shared" si="7"/>
        <v>29978.290170510139</v>
      </c>
      <c r="H27" s="448">
        <f t="shared" si="8"/>
        <v>4454.5761821945507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34516.757263583801</v>
      </c>
    </row>
    <row r="28" spans="1:17">
      <c r="A28" s="443" t="s">
        <v>548</v>
      </c>
      <c r="B28" s="444">
        <f t="shared" ca="1" si="2"/>
        <v>0.63264693194743349</v>
      </c>
      <c r="C28" s="444">
        <f t="shared" ca="1" si="3"/>
        <v>0</v>
      </c>
      <c r="D28" s="444">
        <f t="shared" si="4"/>
        <v>0</v>
      </c>
      <c r="E28" s="444">
        <f t="shared" si="5"/>
        <v>0</v>
      </c>
      <c r="F28" s="444">
        <f t="shared" si="6"/>
        <v>0</v>
      </c>
      <c r="G28" s="444">
        <f t="shared" si="7"/>
        <v>169.4389479425891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170.07159487453652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109.34736790133907</v>
      </c>
      <c r="C32" s="444">
        <f t="shared" ca="1" si="3"/>
        <v>0</v>
      </c>
      <c r="D32" s="444">
        <f t="shared" si="4"/>
        <v>308.92542677000631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418.27279467134537</v>
      </c>
    </row>
    <row r="33" spans="1:17" s="453" customFormat="1">
      <c r="A33" s="1009" t="s">
        <v>552</v>
      </c>
      <c r="B33" s="949">
        <f ca="1">SUM(B22:B32)</f>
        <v>22034.033763325697</v>
      </c>
      <c r="C33" s="949">
        <f t="shared" ref="C33:Q33" ca="1" si="18">SUM(C22:C32)</f>
        <v>2138.8235294117649</v>
      </c>
      <c r="D33" s="949">
        <f t="shared" ca="1" si="18"/>
        <v>34871.729428725303</v>
      </c>
      <c r="E33" s="949">
        <f t="shared" si="18"/>
        <v>1066.1508267364291</v>
      </c>
      <c r="F33" s="949">
        <f t="shared" ca="1" si="18"/>
        <v>25301.96473144248</v>
      </c>
      <c r="G33" s="949">
        <f t="shared" si="18"/>
        <v>30147.729118452728</v>
      </c>
      <c r="H33" s="949">
        <f t="shared" si="18"/>
        <v>4454.5761821945507</v>
      </c>
      <c r="I33" s="949">
        <f t="shared" si="18"/>
        <v>0</v>
      </c>
      <c r="J33" s="949">
        <f t="shared" si="18"/>
        <v>551.99205424355705</v>
      </c>
      <c r="K33" s="949">
        <f t="shared" si="18"/>
        <v>0</v>
      </c>
      <c r="L33" s="949">
        <f t="shared" ca="1" si="18"/>
        <v>0</v>
      </c>
      <c r="M33" s="949">
        <f t="shared" si="18"/>
        <v>0</v>
      </c>
      <c r="N33" s="949">
        <f t="shared" ca="1" si="18"/>
        <v>0</v>
      </c>
      <c r="O33" s="949">
        <f t="shared" si="18"/>
        <v>0</v>
      </c>
      <c r="P33" s="949">
        <f t="shared" si="18"/>
        <v>0</v>
      </c>
      <c r="Q33" s="949">
        <f t="shared" ca="1" si="18"/>
        <v>120566.99963453249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8058.9268886539867</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8321.2938494567788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6300</v>
      </c>
      <c r="D8" s="1026">
        <f>'SEAP template'!D76</f>
        <v>7411.7647058823522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1497.1764705882354</v>
      </c>
    </row>
    <row r="9" spans="1:16">
      <c r="A9" s="1029" t="s">
        <v>845</v>
      </c>
      <c r="B9" s="1026">
        <f>'SEAP template'!B77</f>
        <v>1035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2957.1428571428573</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17415.220738110766</v>
      </c>
      <c r="C10" s="1030">
        <f>SUM(C4:C9)</f>
        <v>6300</v>
      </c>
      <c r="D10" s="1030">
        <f t="shared" ref="D10:H10" si="0">SUM(D8:D9)</f>
        <v>7411.7647058823522</v>
      </c>
      <c r="E10" s="1030">
        <f t="shared" si="0"/>
        <v>0</v>
      </c>
      <c r="F10" s="1030">
        <f t="shared" si="0"/>
        <v>0</v>
      </c>
      <c r="G10" s="1030">
        <f t="shared" si="0"/>
        <v>0</v>
      </c>
      <c r="H10" s="1030">
        <f t="shared" si="0"/>
        <v>0</v>
      </c>
      <c r="I10" s="1030">
        <f>SUM(I8:I9)</f>
        <v>0</v>
      </c>
      <c r="J10" s="1030">
        <f>SUM(J8:J9)</f>
        <v>2957.1428571428573</v>
      </c>
      <c r="K10" s="1030">
        <f t="shared" ref="K10:L10" si="1">SUM(K8:K9)</f>
        <v>0</v>
      </c>
      <c r="L10" s="1030">
        <f t="shared" si="1"/>
        <v>0</v>
      </c>
      <c r="M10" s="1030">
        <f>SUM(M8:M9)</f>
        <v>0</v>
      </c>
      <c r="N10" s="1030">
        <f>SUM(N8:N9)</f>
        <v>0</v>
      </c>
      <c r="O10" s="1030">
        <f>SUM(O8:O9)</f>
        <v>0</v>
      </c>
      <c r="P10" s="1030">
        <f>SUM(P8:P9)</f>
        <v>1497.1764705882354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0.18890279970075258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9000</v>
      </c>
      <c r="D17" s="1027">
        <f>'SEAP template'!D87</f>
        <v>10588.235294117647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2138.8235294117649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9000</v>
      </c>
      <c r="D20" s="1030">
        <f t="shared" ref="D20:H20" si="2">SUM(D17:D19)</f>
        <v>10588.235294117647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2138.8235294117649</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0.18890279970075258</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0.18890279970075258</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0.18890279970075258</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5005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659</v>
      </c>
      <c r="C14" s="324"/>
      <c r="D14" s="324"/>
      <c r="E14" s="324"/>
      <c r="F14" s="324"/>
    </row>
    <row r="15" spans="1:6">
      <c r="A15" s="1302" t="s">
        <v>177</v>
      </c>
      <c r="B15" s="1303">
        <v>366</v>
      </c>
      <c r="C15" s="324"/>
      <c r="D15" s="324"/>
      <c r="E15" s="324"/>
      <c r="F15" s="324"/>
    </row>
    <row r="16" spans="1:6">
      <c r="A16" s="1302" t="s">
        <v>6</v>
      </c>
      <c r="B16" s="1303">
        <v>583</v>
      </c>
      <c r="C16" s="324"/>
      <c r="D16" s="324"/>
      <c r="E16" s="324"/>
      <c r="F16" s="324"/>
    </row>
    <row r="17" spans="1:6">
      <c r="A17" s="1302" t="s">
        <v>7</v>
      </c>
      <c r="B17" s="1303">
        <v>44</v>
      </c>
      <c r="C17" s="324"/>
      <c r="D17" s="324"/>
      <c r="E17" s="324"/>
      <c r="F17" s="324"/>
    </row>
    <row r="18" spans="1:6">
      <c r="A18" s="1302" t="s">
        <v>8</v>
      </c>
      <c r="B18" s="1303">
        <v>341</v>
      </c>
      <c r="C18" s="324"/>
      <c r="D18" s="324"/>
      <c r="E18" s="324"/>
      <c r="F18" s="324"/>
    </row>
    <row r="19" spans="1:6">
      <c r="A19" s="1302" t="s">
        <v>9</v>
      </c>
      <c r="B19" s="1303">
        <v>271</v>
      </c>
      <c r="C19" s="324"/>
      <c r="D19" s="324"/>
      <c r="E19" s="324"/>
      <c r="F19" s="324"/>
    </row>
    <row r="20" spans="1:6">
      <c r="A20" s="1302" t="s">
        <v>10</v>
      </c>
      <c r="B20" s="1303">
        <v>121</v>
      </c>
      <c r="C20" s="324"/>
      <c r="D20" s="324"/>
      <c r="E20" s="324"/>
      <c r="F20" s="324"/>
    </row>
    <row r="21" spans="1:6">
      <c r="A21" s="1302" t="s">
        <v>11</v>
      </c>
      <c r="B21" s="1303">
        <v>474</v>
      </c>
      <c r="C21" s="324"/>
      <c r="D21" s="324"/>
      <c r="E21" s="324"/>
      <c r="F21" s="324"/>
    </row>
    <row r="22" spans="1:6">
      <c r="A22" s="1302" t="s">
        <v>12</v>
      </c>
      <c r="B22" s="1303">
        <v>1127</v>
      </c>
      <c r="C22" s="324"/>
      <c r="D22" s="324"/>
      <c r="E22" s="324"/>
      <c r="F22" s="324"/>
    </row>
    <row r="23" spans="1:6">
      <c r="A23" s="1302" t="s">
        <v>13</v>
      </c>
      <c r="B23" s="1303">
        <v>55</v>
      </c>
      <c r="C23" s="324"/>
      <c r="D23" s="324"/>
      <c r="E23" s="324"/>
      <c r="F23" s="324"/>
    </row>
    <row r="24" spans="1:6">
      <c r="A24" s="1302" t="s">
        <v>14</v>
      </c>
      <c r="B24" s="1303">
        <v>2</v>
      </c>
      <c r="C24" s="324"/>
      <c r="D24" s="324"/>
      <c r="E24" s="324"/>
      <c r="F24" s="324"/>
    </row>
    <row r="25" spans="1:6">
      <c r="A25" s="1302" t="s">
        <v>15</v>
      </c>
      <c r="B25" s="1303">
        <v>153</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55</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11955</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4503.625</v>
      </c>
    </row>
    <row r="39" spans="1:6">
      <c r="A39" s="1302" t="s">
        <v>29</v>
      </c>
      <c r="B39" s="1302" t="s">
        <v>30</v>
      </c>
      <c r="C39" s="1303">
        <v>3390</v>
      </c>
      <c r="D39" s="1303">
        <v>51081383.888739802</v>
      </c>
      <c r="E39" s="1303">
        <v>4893</v>
      </c>
      <c r="F39" s="1303">
        <v>17286882</v>
      </c>
    </row>
    <row r="40" spans="1:6">
      <c r="A40" s="1302" t="s">
        <v>29</v>
      </c>
      <c r="B40" s="1302" t="s">
        <v>28</v>
      </c>
      <c r="C40" s="1303">
        <v>0</v>
      </c>
      <c r="D40" s="1303">
        <v>0</v>
      </c>
      <c r="E40" s="1303">
        <v>0</v>
      </c>
      <c r="F40" s="1303">
        <v>0</v>
      </c>
    </row>
    <row r="41" spans="1:6">
      <c r="A41" s="1302" t="s">
        <v>31</v>
      </c>
      <c r="B41" s="1302" t="s">
        <v>32</v>
      </c>
      <c r="C41" s="1303">
        <v>47</v>
      </c>
      <c r="D41" s="1303">
        <v>1650059.98293941</v>
      </c>
      <c r="E41" s="1303">
        <v>100</v>
      </c>
      <c r="F41" s="1303">
        <v>2110982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108483.7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43</v>
      </c>
      <c r="D48" s="1303">
        <v>92847237.080374599</v>
      </c>
      <c r="E48" s="1303">
        <v>44</v>
      </c>
      <c r="F48" s="1303">
        <v>47720198</v>
      </c>
    </row>
    <row r="49" spans="1:6">
      <c r="A49" s="1302" t="s">
        <v>31</v>
      </c>
      <c r="B49" s="1302" t="s">
        <v>39</v>
      </c>
      <c r="C49" s="1303">
        <v>0</v>
      </c>
      <c r="D49" s="1303">
        <v>0</v>
      </c>
      <c r="E49" s="1303">
        <v>0</v>
      </c>
      <c r="F49" s="1303">
        <v>0</v>
      </c>
    </row>
    <row r="50" spans="1:6">
      <c r="A50" s="1302" t="s">
        <v>31</v>
      </c>
      <c r="B50" s="1302" t="s">
        <v>40</v>
      </c>
      <c r="C50" s="1303">
        <v>10</v>
      </c>
      <c r="D50" s="1303">
        <v>24060468.5446206</v>
      </c>
      <c r="E50" s="1303">
        <v>23</v>
      </c>
      <c r="F50" s="1303">
        <v>26827417</v>
      </c>
    </row>
    <row r="51" spans="1:6">
      <c r="A51" s="1302" t="s">
        <v>41</v>
      </c>
      <c r="B51" s="1302" t="s">
        <v>42</v>
      </c>
      <c r="C51" s="1303">
        <v>0</v>
      </c>
      <c r="D51" s="1303">
        <v>0</v>
      </c>
      <c r="E51" s="1303">
        <v>10</v>
      </c>
      <c r="F51" s="1303">
        <v>206836.4</v>
      </c>
    </row>
    <row r="52" spans="1:6">
      <c r="A52" s="1302" t="s">
        <v>41</v>
      </c>
      <c r="B52" s="1302" t="s">
        <v>28</v>
      </c>
      <c r="C52" s="1303">
        <v>5</v>
      </c>
      <c r="D52" s="1303">
        <v>23236542.836284701</v>
      </c>
      <c r="E52" s="1303">
        <v>8</v>
      </c>
      <c r="F52" s="1303">
        <v>234973.1</v>
      </c>
    </row>
    <row r="53" spans="1:6">
      <c r="A53" s="1302" t="s">
        <v>43</v>
      </c>
      <c r="B53" s="1302" t="s">
        <v>44</v>
      </c>
      <c r="C53" s="1303">
        <v>75</v>
      </c>
      <c r="D53" s="1303">
        <v>1529333.7958911201</v>
      </c>
      <c r="E53" s="1303">
        <v>141</v>
      </c>
      <c r="F53" s="1303">
        <v>578855.19999999995</v>
      </c>
    </row>
    <row r="54" spans="1:6">
      <c r="A54" s="1302" t="s">
        <v>45</v>
      </c>
      <c r="B54" s="1302" t="s">
        <v>46</v>
      </c>
      <c r="C54" s="1303">
        <v>0</v>
      </c>
      <c r="D54" s="1303">
        <v>0</v>
      </c>
      <c r="E54" s="1303">
        <v>1</v>
      </c>
      <c r="F54" s="1303">
        <v>638007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26</v>
      </c>
      <c r="D57" s="1303">
        <v>1163082.7368874899</v>
      </c>
      <c r="E57" s="1303">
        <v>83</v>
      </c>
      <c r="F57" s="1303">
        <v>1329224</v>
      </c>
    </row>
    <row r="58" spans="1:6">
      <c r="A58" s="1302" t="s">
        <v>48</v>
      </c>
      <c r="B58" s="1302" t="s">
        <v>50</v>
      </c>
      <c r="C58" s="1303">
        <v>14</v>
      </c>
      <c r="D58" s="1303">
        <v>383232.89563923603</v>
      </c>
      <c r="E58" s="1303">
        <v>36</v>
      </c>
      <c r="F58" s="1303">
        <v>508690.6</v>
      </c>
    </row>
    <row r="59" spans="1:6">
      <c r="A59" s="1302" t="s">
        <v>48</v>
      </c>
      <c r="B59" s="1302" t="s">
        <v>51</v>
      </c>
      <c r="C59" s="1303">
        <v>49</v>
      </c>
      <c r="D59" s="1303">
        <v>3794197.4973780499</v>
      </c>
      <c r="E59" s="1303">
        <v>124</v>
      </c>
      <c r="F59" s="1303">
        <v>5286284</v>
      </c>
    </row>
    <row r="60" spans="1:6">
      <c r="A60" s="1302" t="s">
        <v>48</v>
      </c>
      <c r="B60" s="1302" t="s">
        <v>52</v>
      </c>
      <c r="C60" s="1303">
        <v>47</v>
      </c>
      <c r="D60" s="1303">
        <v>2167363.9121260098</v>
      </c>
      <c r="E60" s="1303">
        <v>59</v>
      </c>
      <c r="F60" s="1303">
        <v>2201722</v>
      </c>
    </row>
    <row r="61" spans="1:6">
      <c r="A61" s="1302" t="s">
        <v>48</v>
      </c>
      <c r="B61" s="1302" t="s">
        <v>53</v>
      </c>
      <c r="C61" s="1303">
        <v>54</v>
      </c>
      <c r="D61" s="1303">
        <v>3618069.6362978201</v>
      </c>
      <c r="E61" s="1303">
        <v>117</v>
      </c>
      <c r="F61" s="1303">
        <v>3910649</v>
      </c>
    </row>
    <row r="62" spans="1:6">
      <c r="A62" s="1302" t="s">
        <v>48</v>
      </c>
      <c r="B62" s="1302" t="s">
        <v>54</v>
      </c>
      <c r="C62" s="1303">
        <v>0</v>
      </c>
      <c r="D62" s="1303">
        <v>0</v>
      </c>
      <c r="E62" s="1303">
        <v>3</v>
      </c>
      <c r="F62" s="1303">
        <v>51139.85</v>
      </c>
    </row>
    <row r="63" spans="1:6">
      <c r="A63" s="1302" t="s">
        <v>48</v>
      </c>
      <c r="B63" s="1302" t="s">
        <v>28</v>
      </c>
      <c r="C63" s="1303">
        <v>90</v>
      </c>
      <c r="D63" s="1303">
        <v>5613362.0242520198</v>
      </c>
      <c r="E63" s="1303">
        <v>100</v>
      </c>
      <c r="F63" s="1303">
        <v>3907706</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208</v>
      </c>
    </row>
    <row r="66" spans="1:6">
      <c r="A66" s="1302" t="s">
        <v>55</v>
      </c>
      <c r="B66" s="1302" t="s">
        <v>57</v>
      </c>
      <c r="C66" s="1303">
        <v>0</v>
      </c>
      <c r="D66" s="1303">
        <v>0</v>
      </c>
      <c r="E66" s="1303">
        <v>13</v>
      </c>
      <c r="F66" s="1303">
        <v>183948.79999999999</v>
      </c>
    </row>
    <row r="67" spans="1:6">
      <c r="A67" s="1302" t="s">
        <v>55</v>
      </c>
      <c r="B67" s="1302" t="s">
        <v>58</v>
      </c>
      <c r="C67" s="1303">
        <v>0</v>
      </c>
      <c r="D67" s="1303">
        <v>0</v>
      </c>
      <c r="E67" s="1303">
        <v>4</v>
      </c>
      <c r="F67" s="1303">
        <v>19136.71</v>
      </c>
    </row>
    <row r="68" spans="1:6">
      <c r="A68" s="1297" t="s">
        <v>55</v>
      </c>
      <c r="B68" s="1297" t="s">
        <v>59</v>
      </c>
      <c r="C68" s="1305">
        <v>7</v>
      </c>
      <c r="D68" s="1305">
        <v>326849.67437195103</v>
      </c>
      <c r="E68" s="1305">
        <v>10</v>
      </c>
      <c r="F68" s="1305">
        <v>150063.20000000001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75430900</v>
      </c>
      <c r="E73" s="442"/>
      <c r="F73" s="324"/>
    </row>
    <row r="74" spans="1:6">
      <c r="A74" s="1302" t="s">
        <v>63</v>
      </c>
      <c r="B74" s="1302" t="s">
        <v>695</v>
      </c>
      <c r="C74" s="1315" t="s">
        <v>697</v>
      </c>
      <c r="D74" s="1303">
        <v>5887737.4505305318</v>
      </c>
      <c r="E74" s="442"/>
      <c r="F74" s="324"/>
    </row>
    <row r="75" spans="1:6">
      <c r="A75" s="1302" t="s">
        <v>64</v>
      </c>
      <c r="B75" s="1302" t="s">
        <v>694</v>
      </c>
      <c r="C75" s="1315" t="s">
        <v>698</v>
      </c>
      <c r="D75" s="1303">
        <v>7584365</v>
      </c>
      <c r="E75" s="442"/>
      <c r="F75" s="324"/>
    </row>
    <row r="76" spans="1:6">
      <c r="A76" s="1302" t="s">
        <v>64</v>
      </c>
      <c r="B76" s="1302" t="s">
        <v>695</v>
      </c>
      <c r="C76" s="1315" t="s">
        <v>699</v>
      </c>
      <c r="D76" s="1303">
        <v>470067.4505305317</v>
      </c>
      <c r="E76" s="442"/>
      <c r="F76" s="324"/>
    </row>
    <row r="77" spans="1:6">
      <c r="A77" s="1302" t="s">
        <v>65</v>
      </c>
      <c r="B77" s="1302" t="s">
        <v>694</v>
      </c>
      <c r="C77" s="1315" t="s">
        <v>700</v>
      </c>
      <c r="D77" s="1303">
        <v>64564238</v>
      </c>
      <c r="E77" s="442"/>
      <c r="F77" s="324"/>
    </row>
    <row r="78" spans="1:6">
      <c r="A78" s="1297" t="s">
        <v>65</v>
      </c>
      <c r="B78" s="1297" t="s">
        <v>695</v>
      </c>
      <c r="C78" s="1297" t="s">
        <v>701</v>
      </c>
      <c r="D78" s="1305">
        <v>9824270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181155.09893893657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8058.9268886539867</v>
      </c>
      <c r="C90" s="324"/>
      <c r="D90" s="324"/>
      <c r="E90" s="324"/>
      <c r="F90" s="324"/>
    </row>
    <row r="91" spans="1:6">
      <c r="A91" s="1302" t="s">
        <v>67</v>
      </c>
      <c r="B91" s="1303">
        <v>2674.4021706846461</v>
      </c>
      <c r="C91" s="324"/>
      <c r="D91" s="324"/>
      <c r="E91" s="324"/>
      <c r="F91" s="324"/>
    </row>
    <row r="92" spans="1:6">
      <c r="A92" s="1297" t="s">
        <v>68</v>
      </c>
      <c r="B92" s="1298">
        <v>5646.8916787721319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1860</v>
      </c>
      <c r="C97" s="324"/>
      <c r="D97" s="324"/>
      <c r="E97" s="324"/>
      <c r="F97" s="324"/>
    </row>
    <row r="98" spans="1:6">
      <c r="A98" s="1302" t="s">
        <v>71</v>
      </c>
      <c r="B98" s="1303">
        <v>2</v>
      </c>
      <c r="C98" s="324"/>
      <c r="D98" s="324"/>
      <c r="E98" s="324"/>
      <c r="F98" s="324"/>
    </row>
    <row r="99" spans="1:6">
      <c r="A99" s="1302" t="s">
        <v>72</v>
      </c>
      <c r="B99" s="1303">
        <v>106</v>
      </c>
      <c r="C99" s="324"/>
      <c r="D99" s="324"/>
      <c r="E99" s="324"/>
      <c r="F99" s="324"/>
    </row>
    <row r="100" spans="1:6">
      <c r="A100" s="1302" t="s">
        <v>73</v>
      </c>
      <c r="B100" s="1303">
        <v>136</v>
      </c>
      <c r="C100" s="324"/>
      <c r="D100" s="324"/>
      <c r="E100" s="324"/>
      <c r="F100" s="324"/>
    </row>
    <row r="101" spans="1:6">
      <c r="A101" s="1302" t="s">
        <v>74</v>
      </c>
      <c r="B101" s="1303">
        <v>70</v>
      </c>
      <c r="C101" s="324"/>
      <c r="D101" s="324"/>
      <c r="E101" s="324"/>
      <c r="F101" s="324"/>
    </row>
    <row r="102" spans="1:6">
      <c r="A102" s="1302" t="s">
        <v>75</v>
      </c>
      <c r="B102" s="1303">
        <v>52</v>
      </c>
      <c r="C102" s="324"/>
      <c r="D102" s="324"/>
      <c r="E102" s="324"/>
      <c r="F102" s="324"/>
    </row>
    <row r="103" spans="1:6">
      <c r="A103" s="1302" t="s">
        <v>76</v>
      </c>
      <c r="B103" s="1303">
        <v>136</v>
      </c>
      <c r="C103" s="324"/>
      <c r="D103" s="324"/>
      <c r="E103" s="324"/>
      <c r="F103" s="324"/>
    </row>
    <row r="104" spans="1:6">
      <c r="A104" s="1302" t="s">
        <v>77</v>
      </c>
      <c r="B104" s="1303">
        <v>1749</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20</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154</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116642.17681384589</v>
      </c>
      <c r="C3" s="43" t="s">
        <v>163</v>
      </c>
      <c r="D3" s="43"/>
      <c r="E3" s="154"/>
      <c r="F3" s="43"/>
      <c r="G3" s="43"/>
      <c r="H3" s="43"/>
      <c r="I3" s="43"/>
      <c r="J3" s="43"/>
      <c r="K3" s="96"/>
    </row>
    <row r="4" spans="1:11">
      <c r="A4" s="351" t="s">
        <v>164</v>
      </c>
      <c r="B4" s="49">
        <f>IF(ISERROR('SEAP template'!B78+'SEAP template'!C78),0,'SEAP template'!B78+'SEAP template'!C78)</f>
        <v>23715.220738110766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1497.1764705882354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0.18890279970075258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2138.8235294117649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9000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638.00699999999995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638.00699999999995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0.18890279970075258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120.52130852867803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17286.882000000001</v>
      </c>
      <c r="C5" s="17">
        <f>IF(ISERROR('Eigen informatie GS &amp; warmtenet'!B57),0,'Eigen informatie GS &amp; warmtenet'!B57)</f>
        <v>0</v>
      </c>
      <c r="D5" s="30">
        <f>(SUM(HH_hh_gas_kWh,HH_rest_gas_kWh)/1000)*0.902</f>
        <v>46075.408267643303</v>
      </c>
      <c r="E5" s="17">
        <f>B32*B41</f>
        <v>882.58809532602913</v>
      </c>
      <c r="F5" s="17">
        <f>B36*B45</f>
        <v>27842.900904531572</v>
      </c>
      <c r="G5" s="18"/>
      <c r="H5" s="17"/>
      <c r="I5" s="17"/>
      <c r="J5" s="17">
        <f>B35*B44+C35*C44</f>
        <v>649.29539728876443</v>
      </c>
      <c r="K5" s="17"/>
      <c r="L5" s="17"/>
      <c r="M5" s="17"/>
      <c r="N5" s="17">
        <f>B34*B43+C34*C43</f>
        <v>5679.2978911107748</v>
      </c>
      <c r="O5" s="17">
        <f>B52*B53*B54</f>
        <v>272.02000000000004</v>
      </c>
      <c r="P5" s="17">
        <f>B60*B61*B62/1000-B60*B61*B62/1000/B63</f>
        <v>591.06666666666661</v>
      </c>
    </row>
    <row r="6" spans="1:16">
      <c r="A6" s="16" t="s">
        <v>618</v>
      </c>
      <c r="B6" s="755">
        <f>kWh_PV_kleiner_dan_10kW</f>
        <v>2674.4021706846461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19961.284170684648</v>
      </c>
      <c r="C8" s="21">
        <f>C5</f>
        <v>0</v>
      </c>
      <c r="D8" s="21">
        <f>D5</f>
        <v>46075.408267643303</v>
      </c>
      <c r="E8" s="21">
        <f>E5</f>
        <v>882.58809532602913</v>
      </c>
      <c r="F8" s="21">
        <f>F5</f>
        <v>27842.900904531572</v>
      </c>
      <c r="G8" s="21"/>
      <c r="H8" s="21"/>
      <c r="I8" s="21"/>
      <c r="J8" s="21">
        <f>J5</f>
        <v>649.29539728876443</v>
      </c>
      <c r="K8" s="21"/>
      <c r="L8" s="21">
        <f>L5</f>
        <v>0</v>
      </c>
      <c r="M8" s="21">
        <f>M5</f>
        <v>0</v>
      </c>
      <c r="N8" s="21">
        <f>N5</f>
        <v>5679.2978911107748</v>
      </c>
      <c r="O8" s="21">
        <f>O5</f>
        <v>272.02000000000004</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0.18890279970075258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3770.7424654646452</v>
      </c>
      <c r="C12" s="23">
        <f ca="1">C10*C8</f>
        <v>0</v>
      </c>
      <c r="D12" s="23">
        <f>D8*D10</f>
        <v>9307.2324700639474</v>
      </c>
      <c r="E12" s="23">
        <f>E10*E8</f>
        <v>200.34749763900862</v>
      </c>
      <c r="F12" s="23">
        <f>F10*F8</f>
        <v>7434.0545415099305</v>
      </c>
      <c r="G12" s="23"/>
      <c r="H12" s="23"/>
      <c r="I12" s="23"/>
      <c r="J12" s="23">
        <f>J10*J8</f>
        <v>229.8505706402226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5005</v>
      </c>
      <c r="C26" s="36"/>
      <c r="D26" s="225"/>
    </row>
    <row r="27" spans="1:5" s="15" customFormat="1">
      <c r="A27" s="227" t="s">
        <v>721</v>
      </c>
      <c r="B27" s="37">
        <f>SUM(HH_hh_gas_aantal,HH_rest_gas_aantal)</f>
        <v>3390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3220.5</v>
      </c>
      <c r="C31" s="34" t="s">
        <v>104</v>
      </c>
      <c r="D31" s="171"/>
    </row>
    <row r="32" spans="1:5">
      <c r="A32" s="168" t="s">
        <v>72</v>
      </c>
      <c r="B32" s="33">
        <f>IF((B21*($B$26-($B$27-0.05*$B$27)-$B$60))&lt;0,0,B21*($B$26-($B$27-0.05*$B$27)-$B$60))</f>
        <v>11.056204058381846</v>
      </c>
      <c r="C32" s="34" t="s">
        <v>104</v>
      </c>
      <c r="D32" s="171"/>
    </row>
    <row r="33" spans="1:6">
      <c r="A33" s="168" t="s">
        <v>73</v>
      </c>
      <c r="B33" s="33">
        <f>IF((B22*($B$26-($B$27-0.05*$B$27)-$B$60))&lt;0,0,B22*($B$26-($B$27-0.05*$B$27)-$B$60))</f>
        <v>385.01718934566208</v>
      </c>
      <c r="C33" s="34" t="s">
        <v>104</v>
      </c>
      <c r="D33" s="171"/>
    </row>
    <row r="34" spans="1:6">
      <c r="A34" s="168" t="s">
        <v>74</v>
      </c>
      <c r="B34" s="33">
        <f>IF((B24*($B$26-($B$27-0.05*$B$27)-$B$60))&lt;0,0,B24*($B$26-($B$27-0.05*$B$27)-$B$60))</f>
        <v>76.424208797681914</v>
      </c>
      <c r="C34" s="33">
        <f>B26*C24</f>
        <v>1024.0214105346174</v>
      </c>
      <c r="D34" s="230"/>
    </row>
    <row r="35" spans="1:6">
      <c r="A35" s="168" t="s">
        <v>76</v>
      </c>
      <c r="B35" s="33">
        <f>IF((B19*($B$26-($B$27-0.05*$B$27)-$B$60))&lt;0,0,B19*($B$26-($B$27-0.05*$B$27)-$B$60))</f>
        <v>37.337572210205224</v>
      </c>
      <c r="C35" s="33">
        <f>B35/2</f>
        <v>18.668786105102612</v>
      </c>
      <c r="D35" s="230"/>
    </row>
    <row r="36" spans="1:6">
      <c r="A36" s="168" t="s">
        <v>77</v>
      </c>
      <c r="B36" s="33">
        <f>IF((B18*($B$26-($B$27-0.05*$B$27)-$B$60))&lt;0,0,B18*($B$26-($B$27-0.05*$B$27)-$B$60))</f>
        <v>1243.6648255880696</v>
      </c>
      <c r="C36" s="34" t="s">
        <v>104</v>
      </c>
      <c r="D36" s="171"/>
    </row>
    <row r="37" spans="1:6">
      <c r="A37" s="168" t="s">
        <v>78</v>
      </c>
      <c r="B37" s="33">
        <f>B60</f>
        <v>31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174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17195.41545</v>
      </c>
      <c r="C5" s="17">
        <f>IF(ISERROR('Eigen informatie GS &amp; warmtenet'!B58),0,'Eigen informatie GS &amp; warmtenet'!B58)</f>
        <v>0</v>
      </c>
      <c r="D5" s="30">
        <f>SUM(D6:D12)</f>
        <v>15098.856449727726</v>
      </c>
      <c r="E5" s="17">
        <f>SUM(E6:E12)</f>
        <v>200.85673173278289</v>
      </c>
      <c r="F5" s="17">
        <f>SUM(F6:F12)</f>
        <v>2548.1851138449088</v>
      </c>
      <c r="G5" s="18"/>
      <c r="H5" s="17"/>
      <c r="I5" s="17"/>
      <c r="J5" s="17">
        <f>SUM(J6:J12)</f>
        <v>0</v>
      </c>
      <c r="K5" s="17"/>
      <c r="L5" s="17"/>
      <c r="M5" s="17"/>
      <c r="N5" s="17">
        <f>SUM(N6:N12)</f>
        <v>1356.3403741756601</v>
      </c>
      <c r="O5" s="17">
        <f>B38*B39*B40</f>
        <v>3.1266666666666669</v>
      </c>
      <c r="P5" s="17">
        <f>B46*B47*B48/1000-B46*B47*B48/1000/B49</f>
        <v>38.133333333333333</v>
      </c>
      <c r="R5" s="32"/>
    </row>
    <row r="6" spans="1:18">
      <c r="A6" s="32" t="s">
        <v>53</v>
      </c>
      <c r="B6" s="37">
        <f>B26</f>
        <v>3910.6489999999999</v>
      </c>
      <c r="C6" s="33"/>
      <c r="D6" s="37">
        <f>IF(ISERROR(TER_kantoor_gas_kWh/1000),0,TER_kantoor_gas_kWh/1000)*0.902</f>
        <v>3263.4988119406339</v>
      </c>
      <c r="E6" s="33">
        <f>$C$26*'E Balans VL '!I12/100/3.6*1000000</f>
        <v>11.329723926565146</v>
      </c>
      <c r="F6" s="33">
        <f>$C$26*('E Balans VL '!L12+'E Balans VL '!N12)/100/3.6*1000000</f>
        <v>442.59930852247669</v>
      </c>
      <c r="G6" s="34"/>
      <c r="H6" s="33"/>
      <c r="I6" s="33"/>
      <c r="J6" s="33">
        <f>$C$26*('E Balans VL '!D12+'E Balans VL '!E12)/100/3.6*1000000</f>
        <v>0</v>
      </c>
      <c r="K6" s="33"/>
      <c r="L6" s="33"/>
      <c r="M6" s="33"/>
      <c r="N6" s="33">
        <f>$C$26*'E Balans VL '!Y12/100/3.6*1000000</f>
        <v>39.142714995161604</v>
      </c>
      <c r="O6" s="33"/>
      <c r="P6" s="33"/>
      <c r="R6" s="32"/>
    </row>
    <row r="7" spans="1:18">
      <c r="A7" s="32" t="s">
        <v>52</v>
      </c>
      <c r="B7" s="37">
        <f t="shared" ref="B7:B12" si="0">B27</f>
        <v>2201.7220000000002</v>
      </c>
      <c r="C7" s="33"/>
      <c r="D7" s="37">
        <f>IF(ISERROR(TER_horeca_gas_kWh/1000),0,TER_horeca_gas_kWh/1000)*0.902</f>
        <v>1954.962248737661</v>
      </c>
      <c r="E7" s="33">
        <f>$C$27*'E Balans VL '!I9/100/3.6*1000000</f>
        <v>92.422138070309032</v>
      </c>
      <c r="F7" s="33">
        <f>$C$27*('E Balans VL '!L9+'E Balans VL '!N9)/100/3.6*1000000</f>
        <v>473.08512226202311</v>
      </c>
      <c r="G7" s="34"/>
      <c r="H7" s="33"/>
      <c r="I7" s="33"/>
      <c r="J7" s="33">
        <f>$C$27*('E Balans VL '!D9+'E Balans VL '!E9)/100/3.6*1000000</f>
        <v>0</v>
      </c>
      <c r="K7" s="33"/>
      <c r="L7" s="33"/>
      <c r="M7" s="33"/>
      <c r="N7" s="33">
        <f>$C$27*'E Balans VL '!Y9/100/3.6*1000000</f>
        <v>0.56736450464259924</v>
      </c>
      <c r="O7" s="33"/>
      <c r="P7" s="33"/>
      <c r="R7" s="32"/>
    </row>
    <row r="8" spans="1:18">
      <c r="A8" s="6" t="s">
        <v>51</v>
      </c>
      <c r="B8" s="37">
        <f t="shared" si="0"/>
        <v>5286.2839999999997</v>
      </c>
      <c r="C8" s="33"/>
      <c r="D8" s="37">
        <f>IF(ISERROR(TER_handel_gas_kWh/1000),0,TER_handel_gas_kWh/1000)*0.902</f>
        <v>3422.3661426350009</v>
      </c>
      <c r="E8" s="33">
        <f>$C$28*'E Balans VL '!I13/100/3.6*1000000</f>
        <v>56.779089809106168</v>
      </c>
      <c r="F8" s="33">
        <f>$C$28*('E Balans VL '!L13+'E Balans VL '!N13)/100/3.6*1000000</f>
        <v>684.35311703336947</v>
      </c>
      <c r="G8" s="34"/>
      <c r="H8" s="33"/>
      <c r="I8" s="33"/>
      <c r="J8" s="33">
        <f>$C$28*('E Balans VL '!D13+'E Balans VL '!E13)/100/3.6*1000000</f>
        <v>0</v>
      </c>
      <c r="K8" s="33"/>
      <c r="L8" s="33"/>
      <c r="M8" s="33"/>
      <c r="N8" s="33">
        <f>$C$28*'E Balans VL '!Y13/100/3.6*1000000</f>
        <v>42.882624451656483</v>
      </c>
      <c r="O8" s="33"/>
      <c r="P8" s="33"/>
      <c r="R8" s="32"/>
    </row>
    <row r="9" spans="1:18">
      <c r="A9" s="32" t="s">
        <v>50</v>
      </c>
      <c r="B9" s="37">
        <f t="shared" si="0"/>
        <v>508.69059999999996</v>
      </c>
      <c r="C9" s="33"/>
      <c r="D9" s="37">
        <f>IF(ISERROR(TER_gezond_gas_kWh/1000),0,TER_gezond_gas_kWh/1000)*0.902</f>
        <v>345.67607186659086</v>
      </c>
      <c r="E9" s="33">
        <f>$C$29*'E Balans VL '!I10/100/3.6*1000000</f>
        <v>0.40495061882655797</v>
      </c>
      <c r="F9" s="33">
        <f>$C$29*('E Balans VL '!L10+'E Balans VL '!N10)/100/3.6*1000000</f>
        <v>61.838693671299261</v>
      </c>
      <c r="G9" s="34"/>
      <c r="H9" s="33"/>
      <c r="I9" s="33"/>
      <c r="J9" s="33">
        <f>$C$29*('E Balans VL '!D10+'E Balans VL '!E10)/100/3.6*1000000</f>
        <v>0</v>
      </c>
      <c r="K9" s="33"/>
      <c r="L9" s="33"/>
      <c r="M9" s="33"/>
      <c r="N9" s="33">
        <f>$C$29*'E Balans VL '!Y10/100/3.6*1000000</f>
        <v>4.1090678980803341</v>
      </c>
      <c r="O9" s="33"/>
      <c r="P9" s="33"/>
      <c r="R9" s="32"/>
    </row>
    <row r="10" spans="1:18">
      <c r="A10" s="32" t="s">
        <v>49</v>
      </c>
      <c r="B10" s="37">
        <f t="shared" si="0"/>
        <v>1329.2239999999999</v>
      </c>
      <c r="C10" s="33"/>
      <c r="D10" s="37">
        <f>IF(ISERROR(TER_ander_gas_kWh/1000),0,TER_ander_gas_kWh/1000)*0.902</f>
        <v>1049.100628672516</v>
      </c>
      <c r="E10" s="33">
        <f>$C$30*'E Balans VL '!I14/100/3.6*1000000</f>
        <v>4.55532047647793</v>
      </c>
      <c r="F10" s="33">
        <f>$C$30*('E Balans VL '!L14+'E Balans VL '!N14)/100/3.6*1000000</f>
        <v>296.89462829921791</v>
      </c>
      <c r="G10" s="34"/>
      <c r="H10" s="33"/>
      <c r="I10" s="33"/>
      <c r="J10" s="33">
        <f>$C$30*('E Balans VL '!D14+'E Balans VL '!E14)/100/3.6*1000000</f>
        <v>0</v>
      </c>
      <c r="K10" s="33"/>
      <c r="L10" s="33"/>
      <c r="M10" s="33"/>
      <c r="N10" s="33">
        <f>$C$30*'E Balans VL '!Y14/100/3.6*1000000</f>
        <v>936.31264700877114</v>
      </c>
      <c r="O10" s="33"/>
      <c r="P10" s="33"/>
      <c r="R10" s="32"/>
    </row>
    <row r="11" spans="1:18">
      <c r="A11" s="32" t="s">
        <v>54</v>
      </c>
      <c r="B11" s="37">
        <f t="shared" si="0"/>
        <v>51.139849999999996</v>
      </c>
      <c r="C11" s="33"/>
      <c r="D11" s="37">
        <f>IF(ISERROR(TER_onderwijs_gas_kWh/1000),0,TER_onderwijs_gas_kWh/1000)*0.902</f>
        <v>0</v>
      </c>
      <c r="E11" s="33">
        <f>$C$31*'E Balans VL '!I11/100/3.6*1000000</f>
        <v>3.5351403321573147E-2</v>
      </c>
      <c r="F11" s="33">
        <f>$C$31*('E Balans VL '!L11+'E Balans VL '!N11)/100/3.6*1000000</f>
        <v>13.386927218151895</v>
      </c>
      <c r="G11" s="34"/>
      <c r="H11" s="33"/>
      <c r="I11" s="33"/>
      <c r="J11" s="33">
        <f>$C$31*('E Balans VL '!D11+'E Balans VL '!E11)/100/3.6*1000000</f>
        <v>0</v>
      </c>
      <c r="K11" s="33"/>
      <c r="L11" s="33"/>
      <c r="M11" s="33"/>
      <c r="N11" s="33">
        <f>$C$31*'E Balans VL '!Y11/100/3.6*1000000</f>
        <v>5.0905364922361675E-2</v>
      </c>
      <c r="O11" s="33"/>
      <c r="P11" s="33"/>
      <c r="R11" s="32"/>
    </row>
    <row r="12" spans="1:18">
      <c r="A12" s="32" t="s">
        <v>249</v>
      </c>
      <c r="B12" s="37">
        <f t="shared" si="0"/>
        <v>3907.7060000000001</v>
      </c>
      <c r="C12" s="33"/>
      <c r="D12" s="37">
        <f>IF(ISERROR(TER_rest_gas_kWh/1000),0,TER_rest_gas_kWh/1000)*0.902</f>
        <v>5063.2525458753225</v>
      </c>
      <c r="E12" s="33">
        <f>$C$32*'E Balans VL '!I8/100/3.6*1000000</f>
        <v>35.330157428176477</v>
      </c>
      <c r="F12" s="33">
        <f>$C$32*('E Balans VL '!L8+'E Balans VL '!N8)/100/3.6*1000000</f>
        <v>576.02731683837033</v>
      </c>
      <c r="G12" s="34"/>
      <c r="H12" s="33"/>
      <c r="I12" s="33"/>
      <c r="J12" s="33">
        <f>$C$32*('E Balans VL '!D8+'E Balans VL '!E8)/100/3.6*1000000</f>
        <v>0</v>
      </c>
      <c r="K12" s="33"/>
      <c r="L12" s="33"/>
      <c r="M12" s="33"/>
      <c r="N12" s="33">
        <f>$C$32*'E Balans VL '!Y8/100/3.6*1000000</f>
        <v>333.27504995242549</v>
      </c>
      <c r="O12" s="33"/>
      <c r="P12" s="33"/>
      <c r="R12" s="32"/>
    </row>
    <row r="13" spans="1:18">
      <c r="A13" s="16" t="s">
        <v>481</v>
      </c>
      <c r="B13" s="243">
        <f ca="1">'lokale energieproductie'!N38+'lokale energieproductie'!N31</f>
        <v>1035</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-2957.1428571428573</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18230.41545</v>
      </c>
      <c r="C16" s="21">
        <f t="shared" ca="1" si="1"/>
        <v>0</v>
      </c>
      <c r="D16" s="21">
        <f t="shared" ca="1" si="1"/>
        <v>15098.856449727726</v>
      </c>
      <c r="E16" s="21">
        <f t="shared" si="1"/>
        <v>200.85673173278289</v>
      </c>
      <c r="F16" s="21">
        <f t="shared" ca="1" si="1"/>
        <v>2548.1851138449088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0.18890279970075258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3443.7765182128551</v>
      </c>
      <c r="C20" s="23">
        <f t="shared" ref="C20:P20" ca="1" si="2">C16*C18</f>
        <v>0</v>
      </c>
      <c r="D20" s="23">
        <f t="shared" ca="1" si="2"/>
        <v>3049.9690028450009</v>
      </c>
      <c r="E20" s="23">
        <f t="shared" si="2"/>
        <v>45.594478103341714</v>
      </c>
      <c r="F20" s="23">
        <f t="shared" ca="1" si="2"/>
        <v>680.36542539659069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3910.6489999999999</v>
      </c>
      <c r="C26" s="39">
        <f>IF(ISERROR(B26*3.6/1000000/'E Balans VL '!Z12*100),0,B26*3.6/1000000/'E Balans VL '!Z12*100)</f>
        <v>8.5901926447980795E-2</v>
      </c>
      <c r="D26" s="233" t="s">
        <v>676</v>
      </c>
      <c r="F26" s="6"/>
    </row>
    <row r="27" spans="1:18">
      <c r="A27" s="228" t="s">
        <v>52</v>
      </c>
      <c r="B27" s="33">
        <f>IF(ISERROR(TER_horeca_ele_kWh/1000),0,TER_horeca_ele_kWh/1000)</f>
        <v>2201.7220000000002</v>
      </c>
      <c r="C27" s="39">
        <f>IF(ISERROR(B27*3.6/1000000/'E Balans VL '!Z9*100),0,B27*3.6/1000000/'E Balans VL '!Z9*100)</f>
        <v>0.17693030972411408</v>
      </c>
      <c r="D27" s="233" t="s">
        <v>676</v>
      </c>
      <c r="F27" s="6"/>
    </row>
    <row r="28" spans="1:18">
      <c r="A28" s="168" t="s">
        <v>51</v>
      </c>
      <c r="B28" s="33">
        <f>IF(ISERROR(TER_handel_ele_kWh/1000),0,TER_handel_ele_kWh/1000)</f>
        <v>5286.2839999999997</v>
      </c>
      <c r="C28" s="39">
        <f>IF(ISERROR(B28*3.6/1000000/'E Balans VL '!Z13*100),0,B28*3.6/1000000/'E Balans VL '!Z13*100)</f>
        <v>0.15631172480445565</v>
      </c>
      <c r="D28" s="233" t="s">
        <v>676</v>
      </c>
      <c r="F28" s="6"/>
    </row>
    <row r="29" spans="1:18">
      <c r="A29" s="228" t="s">
        <v>50</v>
      </c>
      <c r="B29" s="33">
        <f>IF(ISERROR(TER_gezond_ele_kWh/1000),0,TER_gezond_ele_kWh/1000)</f>
        <v>508.69059999999996</v>
      </c>
      <c r="C29" s="39">
        <f>IF(ISERROR(B29*3.6/1000000/'E Balans VL '!Z10*100),0,B29*3.6/1000000/'E Balans VL '!Z10*100)</f>
        <v>5.7316297386405458E-2</v>
      </c>
      <c r="D29" s="233" t="s">
        <v>676</v>
      </c>
      <c r="F29" s="6"/>
    </row>
    <row r="30" spans="1:18">
      <c r="A30" s="228" t="s">
        <v>49</v>
      </c>
      <c r="B30" s="33">
        <f>IF(ISERROR(TER_ander_ele_kWh/1000),0,TER_ander_ele_kWh/1000)</f>
        <v>1329.2239999999999</v>
      </c>
      <c r="C30" s="39">
        <f>IF(ISERROR(B30*3.6/1000000/'E Balans VL '!Z14*100),0,B30*3.6/1000000/'E Balans VL '!Z14*100)</f>
        <v>0.10052693891420769</v>
      </c>
      <c r="D30" s="233" t="s">
        <v>676</v>
      </c>
      <c r="F30" s="6"/>
    </row>
    <row r="31" spans="1:18">
      <c r="A31" s="228" t="s">
        <v>54</v>
      </c>
      <c r="B31" s="33">
        <f>IF(ISERROR(TER_onderwijs_ele_kWh/1000),0,TER_onderwijs_ele_kWh/1000)</f>
        <v>51.139849999999996</v>
      </c>
      <c r="C31" s="39">
        <f>IF(ISERROR(B31*3.6/1000000/'E Balans VL '!Z11*100),0,B31*3.6/1000000/'E Balans VL '!Z11*100)</f>
        <v>1.0615445699347558E-2</v>
      </c>
      <c r="D31" s="233" t="s">
        <v>676</v>
      </c>
    </row>
    <row r="32" spans="1:18">
      <c r="A32" s="228" t="s">
        <v>249</v>
      </c>
      <c r="B32" s="33">
        <f>IF(ISERROR(TER_rest_ele_kWh/1000),0,TER_rest_ele_kWh/1000)</f>
        <v>3907.7060000000001</v>
      </c>
      <c r="C32" s="39">
        <f>IF(ISERROR(B32*3.6/1000000/'E Balans VL '!Z8*100),0,B32*3.6/1000000/'E Balans VL '!Z8*100)</f>
        <v>3.2920124224409111E-2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76767.080699999991</v>
      </c>
      <c r="C5" s="17">
        <f>IF(ISERROR('Eigen informatie GS &amp; warmtenet'!B59),0,'Eigen informatie GS &amp; warmtenet'!B59)</f>
        <v>0</v>
      </c>
      <c r="D5" s="30">
        <f>SUM(D6:D15)</f>
        <v>106939.10457835703</v>
      </c>
      <c r="E5" s="17">
        <f>SUM(E6:E15)</f>
        <v>3284.3140709985628</v>
      </c>
      <c r="F5" s="17">
        <f>SUM(F6:F15)</f>
        <v>63251.871967344632</v>
      </c>
      <c r="G5" s="18"/>
      <c r="H5" s="17"/>
      <c r="I5" s="17"/>
      <c r="J5" s="17">
        <f>SUM(J6:J15)</f>
        <v>842.26986401146098</v>
      </c>
      <c r="K5" s="17"/>
      <c r="L5" s="17"/>
      <c r="M5" s="17"/>
      <c r="N5" s="17">
        <f>SUM(N6:N15)</f>
        <v>16913.579407995403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108.4837</v>
      </c>
      <c r="C8" s="33"/>
      <c r="D8" s="37">
        <f>IF( ISERROR(IND_metaal_Gas_kWH/1000),0,IND_metaal_Gas_kWH/1000)*0.902</f>
        <v>0</v>
      </c>
      <c r="E8" s="33">
        <f>C30*'E Balans VL '!I18/100/3.6*1000000</f>
        <v>2.7149673261842167</v>
      </c>
      <c r="F8" s="33">
        <f>C30*'E Balans VL '!L18/100/3.6*1000000+C30*'E Balans VL '!N18/100/3.6*1000000</f>
        <v>33.999331205675652</v>
      </c>
      <c r="G8" s="34"/>
      <c r="H8" s="33"/>
      <c r="I8" s="33"/>
      <c r="J8" s="40">
        <f>C30*'E Balans VL '!D18/100/3.6*1000000+C30*'E Balans VL '!E18/100/3.6*1000000</f>
        <v>0</v>
      </c>
      <c r="K8" s="33"/>
      <c r="L8" s="33"/>
      <c r="M8" s="33"/>
      <c r="N8" s="33">
        <f>C30*'E Balans VL '!Y18/100/3.6*1000000</f>
        <v>2.7253920837519554</v>
      </c>
      <c r="O8" s="33"/>
      <c r="P8" s="33"/>
      <c r="R8" s="32"/>
    </row>
    <row r="9" spans="1:18">
      <c r="A9" s="6" t="s">
        <v>32</v>
      </c>
      <c r="B9" s="37">
        <f t="shared" si="0"/>
        <v>2110.982</v>
      </c>
      <c r="C9" s="33"/>
      <c r="D9" s="37">
        <f>IF( ISERROR(IND_andere_gas_kWh/1000),0,IND_andere_gas_kWh/1000)*0.902</f>
        <v>1488.3541046113478</v>
      </c>
      <c r="E9" s="33">
        <f>C31*'E Balans VL '!I19/100/3.6*1000000</f>
        <v>580.43346795591162</v>
      </c>
      <c r="F9" s="33">
        <f>C31*'E Balans VL '!L19/100/3.6*1000000+C31*'E Balans VL '!N19/100/3.6*1000000</f>
        <v>1663.8211532420644</v>
      </c>
      <c r="G9" s="34"/>
      <c r="H9" s="33"/>
      <c r="I9" s="33"/>
      <c r="J9" s="40">
        <f>C31*'E Balans VL '!D19/100/3.6*1000000+C31*'E Balans VL '!E19/100/3.6*1000000</f>
        <v>0</v>
      </c>
      <c r="K9" s="33"/>
      <c r="L9" s="33"/>
      <c r="M9" s="33"/>
      <c r="N9" s="33">
        <f>C31*'E Balans VL '!Y19/100/3.6*1000000</f>
        <v>170.0620401668609</v>
      </c>
      <c r="O9" s="33"/>
      <c r="P9" s="33"/>
      <c r="R9" s="32"/>
    </row>
    <row r="10" spans="1:18">
      <c r="A10" s="6" t="s">
        <v>40</v>
      </c>
      <c r="B10" s="37">
        <f t="shared" si="0"/>
        <v>26827.417000000001</v>
      </c>
      <c r="C10" s="33"/>
      <c r="D10" s="37">
        <f>IF( ISERROR(IND_voed_gas_kWh/1000),0,IND_voed_gas_kWh/1000)*0.902</f>
        <v>21702.542627247782</v>
      </c>
      <c r="E10" s="33">
        <f>C32*'E Balans VL '!I20/100/3.6*1000000</f>
        <v>273.4907370066436</v>
      </c>
      <c r="F10" s="33">
        <f>C32*'E Balans VL '!L20/100/3.6*1000000+C32*'E Balans VL '!N20/100/3.6*1000000</f>
        <v>50676.822923703519</v>
      </c>
      <c r="G10" s="34"/>
      <c r="H10" s="33"/>
      <c r="I10" s="33"/>
      <c r="J10" s="40">
        <f>C32*'E Balans VL '!D20/100/3.6*1000000+C32*'E Balans VL '!E20/100/3.6*1000000</f>
        <v>642.06786851583752</v>
      </c>
      <c r="K10" s="33"/>
      <c r="L10" s="33"/>
      <c r="M10" s="33"/>
      <c r="N10" s="33">
        <f>C32*'E Balans VL '!Y20/100/3.6*1000000</f>
        <v>14141.138898514473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47720.197999999997</v>
      </c>
      <c r="C15" s="33"/>
      <c r="D15" s="37">
        <f>IF( ISERROR(IND_rest_gas_kWh/1000),0,IND_rest_gas_kWh/1000)*0.902</f>
        <v>83748.207846497899</v>
      </c>
      <c r="E15" s="33">
        <f>C37*'E Balans VL '!I15/100/3.6*1000000</f>
        <v>2427.6748987098235</v>
      </c>
      <c r="F15" s="33">
        <f>C37*'E Balans VL '!L15/100/3.6*1000000+C37*'E Balans VL '!N15/100/3.6*1000000</f>
        <v>10877.228559193372</v>
      </c>
      <c r="G15" s="34"/>
      <c r="H15" s="33"/>
      <c r="I15" s="33"/>
      <c r="J15" s="40">
        <f>C37*'E Balans VL '!D15/100/3.6*1000000+C37*'E Balans VL '!E15/100/3.6*1000000</f>
        <v>200.20199549562346</v>
      </c>
      <c r="K15" s="33"/>
      <c r="L15" s="33"/>
      <c r="M15" s="33"/>
      <c r="N15" s="33">
        <f>C37*'E Balans VL '!Y15/100/3.6*1000000</f>
        <v>2599.6530772303163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76767.080699999991</v>
      </c>
      <c r="C18" s="21">
        <f>C5+C16</f>
        <v>0</v>
      </c>
      <c r="D18" s="21">
        <f>MAX((D5+D16),0)</f>
        <v>106939.10457835703</v>
      </c>
      <c r="E18" s="21">
        <f>MAX((E5+E16),0)</f>
        <v>3284.3140709985628</v>
      </c>
      <c r="F18" s="21">
        <f>MAX((F5+F16),0)</f>
        <v>63251.871967344632</v>
      </c>
      <c r="G18" s="21"/>
      <c r="H18" s="21"/>
      <c r="I18" s="21"/>
      <c r="J18" s="21">
        <f>MAX((J5+J16),0)</f>
        <v>842.26986401146098</v>
      </c>
      <c r="K18" s="21"/>
      <c r="L18" s="21">
        <f>MAX((L5+L16),0)</f>
        <v>0</v>
      </c>
      <c r="M18" s="21"/>
      <c r="N18" s="21">
        <f>MAX((N5+N16),0)</f>
        <v>16913.579407995403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0.18890279970075258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14501.516469083608</v>
      </c>
      <c r="C22" s="23">
        <f ca="1">C18*C20</f>
        <v>0</v>
      </c>
      <c r="D22" s="23">
        <f>D18*D20</f>
        <v>21601.699124828123</v>
      </c>
      <c r="E22" s="23">
        <f>E18*E20</f>
        <v>745.53929411667377</v>
      </c>
      <c r="F22" s="23">
        <f>F18*F20</f>
        <v>16888.249815281019</v>
      </c>
      <c r="G22" s="23"/>
      <c r="H22" s="23"/>
      <c r="I22" s="23"/>
      <c r="J22" s="23">
        <f>J18*J20</f>
        <v>298.16353186005716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108.4837</v>
      </c>
      <c r="C30" s="39">
        <f>IF(ISERROR(B30*3.6/1000000/'E Balans VL '!Z18*100),0,B30*3.6/1000000/'E Balans VL '!Z18*100)</f>
        <v>1.5184102740758626E-2</v>
      </c>
      <c r="D30" s="233" t="s">
        <v>676</v>
      </c>
    </row>
    <row r="31" spans="1:18">
      <c r="A31" s="6" t="s">
        <v>32</v>
      </c>
      <c r="B31" s="37">
        <f>IF( ISERROR(IND_ander_ele_kWh/1000),0,IND_ander_ele_kWh/1000)</f>
        <v>2110.982</v>
      </c>
      <c r="C31" s="39">
        <f>IF(ISERROR(B31*3.6/1000000/'E Balans VL '!Z19*100),0,B31*3.6/1000000/'E Balans VL '!Z19*100)</f>
        <v>9.2397339690066249E-2</v>
      </c>
      <c r="D31" s="233" t="s">
        <v>676</v>
      </c>
    </row>
    <row r="32" spans="1:18">
      <c r="A32" s="168" t="s">
        <v>40</v>
      </c>
      <c r="B32" s="37">
        <f>IF( ISERROR(IND_voed_ele_kWh/1000),0,IND_voed_ele_kWh/1000)</f>
        <v>26827.417000000001</v>
      </c>
      <c r="C32" s="39">
        <f>IF(ISERROR(B32*3.6/1000000/'E Balans VL '!Z20*100),0,B32*3.6/1000000/'E Balans VL '!Z20*100)</f>
        <v>6.6415775546252327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47720.197999999997</v>
      </c>
      <c r="C37" s="39">
        <f>IF(ISERROR(B37*3.6/1000000/'E Balans VL '!Z15*100),0,B37*3.6/1000000/'E Balans VL '!Z15*100)</f>
        <v>0.35383709812637509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441.80950000000001</v>
      </c>
      <c r="C5" s="17">
        <f>'Eigen informatie GS &amp; warmtenet'!B60</f>
        <v>0</v>
      </c>
      <c r="D5" s="30">
        <f>IF(ISERROR(SUM(LB_lb_gas_kWh,LB_rest_gas_kWh)/1000),0,SUM(LB_lb_gas_kWh,LB_rest_gas_kWh)/1000)*0.902</f>
        <v>20959.361638328803</v>
      </c>
      <c r="E5" s="17">
        <f>B17*'E Balans VL '!I25/3.6*1000000/100</f>
        <v>4.0922246358284609</v>
      </c>
      <c r="F5" s="17">
        <f>B17*('E Balans VL '!L25/3.6*1000000+'E Balans VL '!N25/3.6*1000000)/100</f>
        <v>1120.9548661233787</v>
      </c>
      <c r="G5" s="18"/>
      <c r="H5" s="17"/>
      <c r="I5" s="17"/>
      <c r="J5" s="17">
        <f>('E Balans VL '!D25+'E Balans VL '!E25)/3.6*1000000*landbouw!B17/100</f>
        <v>67.734326958410463</v>
      </c>
      <c r="K5" s="17"/>
      <c r="L5" s="17">
        <f>L6*(-1)</f>
        <v>0</v>
      </c>
      <c r="M5" s="17"/>
      <c r="N5" s="17">
        <f>N6*(-1)</f>
        <v>0</v>
      </c>
      <c r="O5" s="17"/>
      <c r="P5" s="17"/>
      <c r="R5" s="32"/>
    </row>
    <row r="6" spans="1:18">
      <c r="A6" s="16" t="s">
        <v>481</v>
      </c>
      <c r="B6" s="17" t="s">
        <v>204</v>
      </c>
      <c r="C6" s="17">
        <f>'lokale energieproductie'!O39+'lokale energieproductie'!O32</f>
        <v>9000</v>
      </c>
      <c r="D6" s="302">
        <f>('lokale energieproductie'!P32+'lokale energieproductie'!P39)*(-1)</f>
        <v>-18000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441.80950000000001</v>
      </c>
      <c r="C8" s="21">
        <f>C5+C6</f>
        <v>9000</v>
      </c>
      <c r="D8" s="21">
        <f>MAX((D5+D6),0)</f>
        <v>2959.3616383288027</v>
      </c>
      <c r="E8" s="21">
        <f>MAX((E5+E6),0)</f>
        <v>4.0922246358284609</v>
      </c>
      <c r="F8" s="21">
        <f>MAX((F5+F6),0)</f>
        <v>1120.9548661233787</v>
      </c>
      <c r="G8" s="21"/>
      <c r="H8" s="21"/>
      <c r="I8" s="21"/>
      <c r="J8" s="21">
        <f>MAX((J5+J6),0)</f>
        <v>67.734326958410463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0.18890279970075258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83.459051484389647</v>
      </c>
      <c r="C12" s="23">
        <f ca="1">C8*C10</f>
        <v>2138.8235294117649</v>
      </c>
      <c r="D12" s="23">
        <f>D8*D10</f>
        <v>597.79105094241822</v>
      </c>
      <c r="E12" s="23">
        <f>E8*E10</f>
        <v>0.92893499233306065</v>
      </c>
      <c r="F12" s="23">
        <f>F8*F10</f>
        <v>299.29494925494214</v>
      </c>
      <c r="G12" s="23"/>
      <c r="H12" s="23"/>
      <c r="I12" s="23"/>
      <c r="J12" s="23">
        <f>J8*J10</f>
        <v>23.977951743277302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6.281594291935326E-2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108.24044103672948</v>
      </c>
      <c r="C26" s="243">
        <f>B26*'GWP N2O_CH4'!B5</f>
        <v>2273.0492617713189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29.981684274976363</v>
      </c>
      <c r="C27" s="243">
        <f>B27*'GWP N2O_CH4'!B5</f>
        <v>629.61536977450362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1.6337560032194509</v>
      </c>
      <c r="C28" s="243">
        <f>B28*'GWP N2O_CH4'!B4</f>
        <v>506.4643609980298</v>
      </c>
      <c r="D28" s="50"/>
    </row>
    <row r="29" spans="1:4">
      <c r="A29" s="41" t="s">
        <v>266</v>
      </c>
      <c r="B29" s="243">
        <f>B34*'ha_N2O bodem landbouw'!B4</f>
        <v>4.3624397302614</v>
      </c>
      <c r="C29" s="243">
        <f>B29*'GWP N2O_CH4'!B4</f>
        <v>1352.356316381034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9.7841837704294938E-4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7.6952637063493665E-5</v>
      </c>
      <c r="C5" s="430" t="s">
        <v>204</v>
      </c>
      <c r="D5" s="415">
        <f>SUM(D6:D11)</f>
        <v>1.0893302867770382E-4</v>
      </c>
      <c r="E5" s="415">
        <f>SUM(E6:E11)</f>
        <v>1.1694547964152375E-3</v>
      </c>
      <c r="F5" s="428" t="s">
        <v>204</v>
      </c>
      <c r="G5" s="415">
        <f>SUM(G6:G11)</f>
        <v>0.40420166522036138</v>
      </c>
      <c r="H5" s="415">
        <f>SUM(H6:H11)</f>
        <v>6.4403511067873023E-2</v>
      </c>
      <c r="I5" s="430" t="s">
        <v>204</v>
      </c>
      <c r="J5" s="430" t="s">
        <v>204</v>
      </c>
      <c r="K5" s="430" t="s">
        <v>204</v>
      </c>
      <c r="L5" s="430" t="s">
        <v>204</v>
      </c>
      <c r="M5" s="415">
        <f>SUM(M6:M11)</f>
        <v>2.5398952560465211E-2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3.538081342188534E-5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5.3436989797189605E-5</v>
      </c>
      <c r="E6" s="858">
        <f>vkm_GW_PW*SUMIFS(TableVerdeelsleutelVkm[LPG],TableVerdeelsleutelVkm[Voertuigtype],"Lichte voertuigen")*SUMIFS(TableECFTransport[EnergieConsumptieFactor (PJ per km)],TableECFTransport[Index],CONCATENATE($A6,"_LPG_LPG"))</f>
        <v>5.2632814110394402E-4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0.12041282209393812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3.1074064056320828E-2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7.9290405858178786E-3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1.4352090528516538E-6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5.508392131008371E-2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1.0415503921419377E-6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3.1936404116301624E-3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4.052880716326198E-6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9.2337728282074347E-6</v>
      </c>
      <c r="E8" s="418">
        <f>vkm_NGW_PW*SUMIFS(TableVerdeelsleutelVkm[LPG],TableVerdeelsleutelVkm[Voertuigtype],"Lichte voertuigen")*SUMIFS(TableECFTransport[EnergieConsumptieFactor (PJ per km)],TableECFTransport[Index],CONCATENATE($A8,"_LPG_LPG"))</f>
        <v>8.673867809942593E-5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1.8417684750473045E-2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5.1870205031714686E-3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1.2260239209701171E-3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1.1458477320375845E-7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5.6503706922821266E-3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1.0037105230661056E-7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3.2759543775679199E-4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3.3574361396798108E-5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4.6262266052306778E-5</v>
      </c>
      <c r="E10" s="418">
        <f>vkm_SW_PW*SUMIFS(TableVerdeelsleutelVkm[LPG],TableVerdeelsleutelVkm[Voertuigtype],"Lichte voertuigen")*SUMIFS(TableECFTransport[EnergieConsumptieFactor (PJ per km)],TableECFTransport[Index],CONCATENATE($A10,"_LPG_LPG"))</f>
        <v>5.563879772118674E-4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0.11702312150151885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2.8139495783665355E-2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7.6430026141910759E-3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2.3947877024286139E-6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8.7613744872065524E-2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1.7888032709068118E-6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5.0796495900991825E-3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21.375732517637129</v>
      </c>
      <c r="C14" s="21"/>
      <c r="D14" s="21">
        <f t="shared" ref="D14:M14" si="0">((D5)*10^9/3600)+D12</f>
        <v>30.259174632695505</v>
      </c>
      <c r="E14" s="21">
        <f t="shared" si="0"/>
        <v>324.84855455978817</v>
      </c>
      <c r="F14" s="21"/>
      <c r="G14" s="21">
        <f t="shared" si="0"/>
        <v>112278.24033898929</v>
      </c>
      <c r="H14" s="21">
        <f t="shared" si="0"/>
        <v>17889.864185520284</v>
      </c>
      <c r="I14" s="21"/>
      <c r="J14" s="21"/>
      <c r="K14" s="21"/>
      <c r="L14" s="21"/>
      <c r="M14" s="21">
        <f t="shared" si="0"/>
        <v>7055.264600129226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0.18890279970075258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4.0379357182360698</v>
      </c>
      <c r="C18" s="23"/>
      <c r="D18" s="23">
        <f t="shared" ref="D18:M18" si="1">D14*D16</f>
        <v>6.1123532758044927</v>
      </c>
      <c r="E18" s="23">
        <f t="shared" si="1"/>
        <v>73.740621885071917</v>
      </c>
      <c r="F18" s="23"/>
      <c r="G18" s="23">
        <f t="shared" si="1"/>
        <v>29978.290170510139</v>
      </c>
      <c r="H18" s="23">
        <f t="shared" si="1"/>
        <v>4454.5761821945507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1.2056618317032211E-5</v>
      </c>
      <c r="C50" s="313">
        <f t="shared" ref="C50:P50" si="2">SUM(C51:C52)</f>
        <v>0</v>
      </c>
      <c r="D50" s="313">
        <f t="shared" si="2"/>
        <v>0</v>
      </c>
      <c r="E50" s="313">
        <f t="shared" si="2"/>
        <v>0</v>
      </c>
      <c r="F50" s="313">
        <f t="shared" si="2"/>
        <v>0</v>
      </c>
      <c r="G50" s="313">
        <f t="shared" si="2"/>
        <v>2.2845700846191789E-3</v>
      </c>
      <c r="H50" s="313">
        <f t="shared" si="2"/>
        <v>0</v>
      </c>
      <c r="I50" s="313">
        <f t="shared" si="2"/>
        <v>0</v>
      </c>
      <c r="J50" s="313">
        <f t="shared" si="2"/>
        <v>0</v>
      </c>
      <c r="K50" s="313">
        <f t="shared" si="2"/>
        <v>0</v>
      </c>
      <c r="L50" s="313">
        <f t="shared" si="2"/>
        <v>0</v>
      </c>
      <c r="M50" s="313">
        <f t="shared" si="2"/>
        <v>1.3151821291865998E-4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1.2056618317032211E-5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2.2845700846191789E-3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1.3151821291865998E-4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3.3490606436200587</v>
      </c>
      <c r="C54" s="21">
        <f t="shared" ref="C54:P54" si="3">(C50)*10^9/3600</f>
        <v>0</v>
      </c>
      <c r="D54" s="21">
        <f t="shared" si="3"/>
        <v>0</v>
      </c>
      <c r="E54" s="21">
        <f t="shared" si="3"/>
        <v>0</v>
      </c>
      <c r="F54" s="21">
        <f t="shared" si="3"/>
        <v>0</v>
      </c>
      <c r="G54" s="21">
        <f t="shared" si="3"/>
        <v>634.60280128310524</v>
      </c>
      <c r="H54" s="21">
        <f t="shared" si="3"/>
        <v>0</v>
      </c>
      <c r="I54" s="21">
        <f t="shared" si="3"/>
        <v>0</v>
      </c>
      <c r="J54" s="21">
        <f t="shared" si="3"/>
        <v>0</v>
      </c>
      <c r="K54" s="21">
        <f t="shared" si="3"/>
        <v>0</v>
      </c>
      <c r="L54" s="21">
        <f t="shared" si="3"/>
        <v>0</v>
      </c>
      <c r="M54" s="21">
        <f t="shared" si="3"/>
        <v>36.532836921849999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0.18890279970075258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0.63264693194743349</v>
      </c>
      <c r="C58" s="23">
        <f t="shared" ref="C58:P58" ca="1" si="4">C54*C56</f>
        <v>0</v>
      </c>
      <c r="D58" s="23">
        <f t="shared" si="4"/>
        <v>0</v>
      </c>
      <c r="E58" s="23">
        <f t="shared" si="4"/>
        <v>0</v>
      </c>
      <c r="F58" s="23">
        <f t="shared" si="4"/>
        <v>0</v>
      </c>
      <c r="G58" s="23">
        <f t="shared" si="4"/>
        <v>169.4389479425891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8058.9268886539867</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8321.2938494567788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6300</v>
      </c>
      <c r="C8" s="537">
        <f>B48</f>
        <v>7411.7647058823522</v>
      </c>
      <c r="D8" s="1014"/>
      <c r="E8" s="1014">
        <f>E48</f>
        <v>0</v>
      </c>
      <c r="F8" s="1015"/>
      <c r="G8" s="538"/>
      <c r="H8" s="1014">
        <f>I48</f>
        <v>0</v>
      </c>
      <c r="I8" s="1014">
        <f>G48+F48</f>
        <v>0</v>
      </c>
      <c r="J8" s="1014">
        <f>H48+D48+C48</f>
        <v>0</v>
      </c>
      <c r="K8" s="1014"/>
      <c r="L8" s="1014"/>
      <c r="M8" s="1014"/>
      <c r="N8" s="539"/>
      <c r="O8" s="540">
        <f>C8*$C$12+D8*$D$12+E8*$E$12+F8*$F$12+G8*$G$12+H8*$H$12+I8*$I$12+J8*$J$12</f>
        <v>1497.1764705882354</v>
      </c>
      <c r="P8" s="1250"/>
      <c r="Q8" s="1251"/>
      <c r="S8" s="978"/>
      <c r="T8" s="1271"/>
      <c r="U8" s="1271"/>
    </row>
    <row r="9" spans="1:21" s="526" customFormat="1" ht="17.45" customHeight="1" thickBot="1">
      <c r="A9" s="541" t="s">
        <v>237</v>
      </c>
      <c r="B9" s="542">
        <f>N36+'Eigen informatie GS &amp; warmtenet'!B12</f>
        <v>1035</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23715.220738110766</v>
      </c>
      <c r="C10" s="550">
        <f t="shared" ref="C10:L10" si="0">SUM(C8:C9)</f>
        <v>7411.7647058823522</v>
      </c>
      <c r="D10" s="550">
        <f t="shared" si="0"/>
        <v>0</v>
      </c>
      <c r="E10" s="550">
        <f t="shared" si="0"/>
        <v>0</v>
      </c>
      <c r="F10" s="550">
        <f t="shared" si="0"/>
        <v>0</v>
      </c>
      <c r="G10" s="550">
        <f t="shared" si="0"/>
        <v>0</v>
      </c>
      <c r="H10" s="550">
        <f t="shared" si="0"/>
        <v>0</v>
      </c>
      <c r="I10" s="550">
        <f t="shared" si="0"/>
        <v>0</v>
      </c>
      <c r="J10" s="550">
        <f t="shared" si="0"/>
        <v>2957.1428571428573</v>
      </c>
      <c r="K10" s="550">
        <f t="shared" si="0"/>
        <v>0</v>
      </c>
      <c r="L10" s="550">
        <f t="shared" si="0"/>
        <v>0</v>
      </c>
      <c r="M10" s="1017"/>
      <c r="N10" s="1017"/>
      <c r="O10" s="551">
        <f>SUM(O4:O9)</f>
        <v>1497.1764705882354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9000</v>
      </c>
      <c r="C17" s="562">
        <f>B49</f>
        <v>10588.235294117647</v>
      </c>
      <c r="D17" s="563"/>
      <c r="E17" s="563">
        <f>E49</f>
        <v>0</v>
      </c>
      <c r="F17" s="1020"/>
      <c r="G17" s="564"/>
      <c r="H17" s="562">
        <f>I49</f>
        <v>0</v>
      </c>
      <c r="I17" s="563">
        <f>G49+F49</f>
        <v>0</v>
      </c>
      <c r="J17" s="563">
        <f>H49+D49+C49</f>
        <v>0</v>
      </c>
      <c r="K17" s="563"/>
      <c r="L17" s="563"/>
      <c r="M17" s="563"/>
      <c r="N17" s="1021"/>
      <c r="O17" s="565">
        <f>C17*$C$22+E17*$E$22+H17*$H$22+I17*$I$22+J17*$J$22+D17*$D$22+F17*$F$22+G17*$G$22+K17*$K$22+L17*$L$22</f>
        <v>2138.8235294117649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9000</v>
      </c>
      <c r="C20" s="549">
        <f>SUM(C17:C19)</f>
        <v>10588.235294117647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2138.8235294117649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13029</v>
      </c>
      <c r="C28" s="763">
        <v>2250</v>
      </c>
      <c r="D28" s="620"/>
      <c r="E28" s="619"/>
      <c r="F28" s="619"/>
      <c r="G28" s="619" t="s">
        <v>922</v>
      </c>
      <c r="H28" s="619" t="s">
        <v>923</v>
      </c>
      <c r="I28" s="619"/>
      <c r="J28" s="762"/>
      <c r="K28" s="762"/>
      <c r="L28" s="619" t="s">
        <v>924</v>
      </c>
      <c r="M28" s="619">
        <v>1400</v>
      </c>
      <c r="N28" s="619">
        <v>6300</v>
      </c>
      <c r="O28" s="619">
        <v>9000</v>
      </c>
      <c r="P28" s="619">
        <v>18000</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1400</v>
      </c>
      <c r="N29" s="577">
        <f>SUM(N28:N28)</f>
        <v>6300</v>
      </c>
      <c r="O29" s="577">
        <f>SUM(O28:O28)</f>
        <v>9000</v>
      </c>
      <c r="P29" s="577">
        <f>SUM(P28:P28)</f>
        <v>18000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1400</v>
      </c>
      <c r="N32" s="582">
        <f>SUMIF($Z$28:$Z$28,"landbouw",N28:N28)</f>
        <v>6300</v>
      </c>
      <c r="O32" s="582">
        <f>SUMIF($Z$28:$Z$28,"landbouw",O28:O28)</f>
        <v>9000</v>
      </c>
      <c r="P32" s="582">
        <f>SUMIF($Z$28:$Z$28,"landbouw",P28:P28)</f>
        <v>18000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13029</v>
      </c>
      <c r="C35" s="763">
        <v>2250</v>
      </c>
      <c r="D35" s="622"/>
      <c r="E35" s="622"/>
      <c r="F35" s="622"/>
      <c r="G35" s="622" t="s">
        <v>926</v>
      </c>
      <c r="H35" s="622" t="s">
        <v>927</v>
      </c>
      <c r="I35" s="622"/>
      <c r="J35" s="762"/>
      <c r="K35" s="762"/>
      <c r="L35" s="622" t="s">
        <v>925</v>
      </c>
      <c r="M35" s="622">
        <v>230</v>
      </c>
      <c r="N35" s="622">
        <v>1035</v>
      </c>
      <c r="O35" s="622">
        <v>0</v>
      </c>
      <c r="P35" s="622">
        <v>0</v>
      </c>
      <c r="Q35" s="622">
        <v>0</v>
      </c>
      <c r="R35" s="622">
        <v>2957.1428571428573</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230</v>
      </c>
      <c r="N36" s="577">
        <f>SUM(N35:N35)</f>
        <v>1035</v>
      </c>
      <c r="O36" s="577">
        <f>SUM(O35:O35)</f>
        <v>0</v>
      </c>
      <c r="P36" s="577">
        <f>SUM(P35:P35)</f>
        <v>0</v>
      </c>
      <c r="Q36" s="577">
        <f>SUM(Q35:Q35)</f>
        <v>0</v>
      </c>
      <c r="R36" s="577">
        <f>SUM(R35:R35)</f>
        <v>2957.1428571428573</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230</v>
      </c>
      <c r="N38" s="577">
        <f>SUMIF($Z$35:$Z$36,"tertiair",N35:N36)</f>
        <v>1035</v>
      </c>
      <c r="O38" s="577">
        <f>SUMIF($Z$35:$Z$36,"tertiair",O35:O36)</f>
        <v>0</v>
      </c>
      <c r="P38" s="577">
        <f>SUMIF($Z$35:$Z$36,"tertiair",P35:P36)</f>
        <v>0</v>
      </c>
      <c r="Q38" s="577">
        <f>SUMIF($Z$35:$Z$36,"tertiair",Q35:Q36)</f>
        <v>0</v>
      </c>
      <c r="R38" s="577">
        <f>SUMIF($Z$35:$Z$36,"tertiair",R35:R36)</f>
        <v>2957.1428571428573</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7411.7647058823522</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10588.235294117647</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2021-11-11T13:08:28Z</dcterms:modified>
</cp:coreProperties>
</file>