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BD985910-7D02-4A0A-9CC8-168B2F6967D3}"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E9" i="18" s="1"/>
  <c r="R39" i="18"/>
  <c r="Q39" i="18"/>
  <c r="P39" i="18"/>
  <c r="C9" i="18" s="1"/>
  <c r="O39" i="18"/>
  <c r="N39" i="18"/>
  <c r="B9" i="18" s="1"/>
  <c r="M39" i="18"/>
  <c r="W35" i="18"/>
  <c r="V35" i="18"/>
  <c r="U35" i="18"/>
  <c r="T35" i="18"/>
  <c r="S35" i="18"/>
  <c r="F6" i="17" s="1"/>
  <c r="R35" i="18"/>
  <c r="Q35" i="18"/>
  <c r="P35" i="18"/>
  <c r="O35" i="18"/>
  <c r="N35" i="18"/>
  <c r="M35" i="18"/>
  <c r="W34" i="18"/>
  <c r="V34" i="18"/>
  <c r="U34" i="18"/>
  <c r="T34" i="18"/>
  <c r="S34" i="18"/>
  <c r="F13" i="15" s="1"/>
  <c r="R34" i="18"/>
  <c r="Q34" i="18"/>
  <c r="P34" i="18"/>
  <c r="O34" i="18"/>
  <c r="C13" i="15" s="1"/>
  <c r="N34" i="18"/>
  <c r="M34" i="18"/>
  <c r="W33" i="18"/>
  <c r="V33" i="18"/>
  <c r="U33" i="18"/>
  <c r="T33" i="18"/>
  <c r="S33" i="18"/>
  <c r="R33" i="18"/>
  <c r="Q33" i="18"/>
  <c r="P33" i="18"/>
  <c r="O33" i="18"/>
  <c r="N33" i="18"/>
  <c r="M33" i="18"/>
  <c r="W32" i="18"/>
  <c r="V32" i="18"/>
  <c r="U32" i="18"/>
  <c r="T32" i="18"/>
  <c r="S32" i="18"/>
  <c r="R32" i="18"/>
  <c r="Q32" i="18"/>
  <c r="P32" i="18"/>
  <c r="O32" i="18"/>
  <c r="B17" i="18" s="1"/>
  <c r="N32" i="18"/>
  <c r="B8" i="18" s="1"/>
  <c r="M32"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Q56" i="14" s="1"/>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I56" i="14"/>
  <c r="R44" i="14"/>
  <c r="E25" i="14"/>
  <c r="E55" i="14" s="1"/>
  <c r="C25" i="14"/>
  <c r="B14" i="48" s="1"/>
  <c r="Q26" i="14"/>
  <c r="P26" i="14"/>
  <c r="N26" i="14"/>
  <c r="L26" i="14"/>
  <c r="J26" i="14"/>
  <c r="I26" i="14"/>
  <c r="H26" i="14"/>
  <c r="F20" i="18" l="1"/>
  <c r="I9" i="18"/>
  <c r="P25" i="48"/>
  <c r="O31" i="48"/>
  <c r="D14" i="48"/>
  <c r="D13" i="15"/>
  <c r="L6" i="17"/>
  <c r="N6" i="17"/>
  <c r="E10" i="59"/>
  <c r="B48" i="18"/>
  <c r="C52" i="18" s="1"/>
  <c r="C6" i="17"/>
  <c r="J9" i="18"/>
  <c r="J77" i="14" s="1"/>
  <c r="J9" i="59" s="1"/>
  <c r="K20" i="18"/>
  <c r="L10" i="59"/>
  <c r="B16" i="16"/>
  <c r="C48" i="18"/>
  <c r="E51"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52" i="18" l="1"/>
  <c r="H17" i="18" s="1"/>
  <c r="M87" i="14" s="1"/>
  <c r="Q14" i="48"/>
  <c r="D52" i="18"/>
  <c r="H52" i="18"/>
  <c r="E52" i="18"/>
  <c r="E17" i="18" s="1"/>
  <c r="E20" i="18" s="1"/>
  <c r="G78" i="14"/>
  <c r="B51" i="18"/>
  <c r="C8" i="18" s="1"/>
  <c r="D76" i="14" s="1"/>
  <c r="D8" i="59" s="1"/>
  <c r="D10" i="59" s="1"/>
  <c r="H51" i="18"/>
  <c r="F51" i="18"/>
  <c r="C51" i="18"/>
  <c r="I51" i="18"/>
  <c r="H8" i="18" s="1"/>
  <c r="M76" i="14" s="1"/>
  <c r="D51" i="18"/>
  <c r="B52" i="18"/>
  <c r="C17" i="18" s="1"/>
  <c r="D87" i="14" s="1"/>
  <c r="D17" i="59" s="1"/>
  <c r="D20" i="59" s="1"/>
  <c r="F52" i="18"/>
  <c r="O9" i="18"/>
  <c r="G52" i="18"/>
  <c r="G51" i="18"/>
  <c r="G20" i="59"/>
  <c r="Q77" i="14"/>
  <c r="P9" i="59" s="1"/>
  <c r="O90" i="14"/>
  <c r="O18" i="59"/>
  <c r="O20" i="59" s="1"/>
  <c r="B89" i="14"/>
  <c r="B19" i="59" s="1"/>
  <c r="G90" i="14"/>
  <c r="C89" i="14"/>
  <c r="C19" i="59" s="1"/>
  <c r="Q89" i="14"/>
  <c r="P19" i="59" s="1"/>
  <c r="H78" i="14"/>
  <c r="H9" i="59"/>
  <c r="H10" i="59" s="1"/>
  <c r="N90" i="14"/>
  <c r="N18" i="59"/>
  <c r="N20" i="59" s="1"/>
  <c r="C77" i="14"/>
  <c r="C9" i="59" s="1"/>
  <c r="H20" i="18"/>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D6" i="22" l="1"/>
  <c r="A3" i="23"/>
  <c r="A4" i="23"/>
  <c r="D8"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D10"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4" i="13"/>
  <c r="B33" i="13"/>
  <c r="B32" i="13"/>
  <c r="B35" i="13"/>
  <c r="C35" i="13" s="1"/>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L16" i="14" s="1"/>
  <c r="L27" i="14" s="1"/>
  <c r="K5" i="48"/>
  <c r="I5" i="48"/>
  <c r="J10" i="14"/>
  <c r="J16" i="14" s="1"/>
  <c r="J27" i="14" s="1"/>
  <c r="J63" i="14" s="1"/>
  <c r="P22" i="16"/>
  <c r="Q43" i="14" s="1"/>
  <c r="P8" i="48"/>
  <c r="P26" i="48" s="1"/>
  <c r="Q13" i="14"/>
  <c r="Q16" i="14" s="1"/>
  <c r="Q27" i="14" s="1"/>
  <c r="L46" i="14"/>
  <c r="L61" i="14" s="1"/>
  <c r="R9" i="14"/>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13" i="14"/>
  <c r="J8" i="48"/>
  <c r="G33" i="48"/>
  <c r="I22" i="14"/>
  <c r="I27" i="14" s="1"/>
  <c r="I63" i="14" s="1"/>
  <c r="R20" i="14"/>
  <c r="R22" i="14" s="1"/>
  <c r="H27" i="48"/>
  <c r="H33" i="48" s="1"/>
  <c r="H15" i="48"/>
  <c r="O13" i="14"/>
  <c r="N8" i="48"/>
  <c r="N26" i="48" s="1"/>
  <c r="F8" i="48"/>
  <c r="G13" i="14"/>
  <c r="K63" i="14" l="1"/>
  <c r="E33" i="48"/>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<sst xmlns="http://schemas.openxmlformats.org/spreadsheetml/2006/main" count="2521" uniqueCount="925">
  <si>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</si>
  <si>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</si>
  <si>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</si>
  <si>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</si>
  <si>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</si>
  <si>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</si>
  <si>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</si>
  <si>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</si>
  <si>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</si>
  <si>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</si>
  <si>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</si>
  <si>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</si>
  <si>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</si>
  <si>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</si>
  <si>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</si>
  <si>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</si>
  <si>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</si>
  <si>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</si>
  <si>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</si>
  <si>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</si>
  <si>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</si>
  <si>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</si>
  <si>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</si>
  <si>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</si>
  <si>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</si>
  <si>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</si>
  <si>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</si>
  <si>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</si>
  <si>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</si>
  <si>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</si>
  <si>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</si>
  <si>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</si>
  <si>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</si>
  <si>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</si>
  <si>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</si>
  <si>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</si>
  <si>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</si>
  <si>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</si>
  <si>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</si>
  <si>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</si>
  <si>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</si>
  <si>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</si>
  <si>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</si>
  <si>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</si>
  <si>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</si>
  <si>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</si>
  <si>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</si>
  <si>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</si>
  <si>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</si>
  <si>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</si>
  <si>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</si>
  <si>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</si>
  <si>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</si>
  <si>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</si>
  <si>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</si>
  <si>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</si>
  <si>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</si>
  <si>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</si>
  <si>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</si>
  <si>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</si>
  <si>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</si>
  <si>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</si>
  <si>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</si>
  <si>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</si>
  <si>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</si>
  <si>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</si>
  <si>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</si>
  <si>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</si>
  <si>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</si>
  <si>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</si>
  <si>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</si>
  <si>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</si>
  <si>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</si>
  <si>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</si>
  <si>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</si>
  <si>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</si>
  <si>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</si>
  <si>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</si>
  <si>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</si>
  <si>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</si>
  <si>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</si>
  <si>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</si>
  <si>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</si>
  <si>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</si>
  <si>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</si>
  <si>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</si>
  <si>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</si>
  <si>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</si>
  <si>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</si>
  <si>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</si>
  <si>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</si>
  <si>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</si>
  <si>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</si>
  <si>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</si>
  <si>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</si>
  <si>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</si>
  <si>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</si>
  <si>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</si>
  <si>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</si>
  <si>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</si>
  <si>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</si>
  <si>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</si>
  <si>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</si>
  <si>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</si>
  <si>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</si>
  <si>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</si>
  <si>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</si>
  <si>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</si>
  <si>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</si>
  <si>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</si>
  <si>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</si>
  <si>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</si>
  <si>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</si>
  <si>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</si>
  <si>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</si>
  <si>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</si>
  <si>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</si>
  <si>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</si>
  <si>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</si>
  <si>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</si>
  <si>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</si>
  <si>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</si>
  <si>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</si>
  <si>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</si>
  <si>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</si>
  <si>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</si>
  <si>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</si>
  <si>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</si>
  <si>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</si>
  <si>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</si>
  <si>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</si>
  <si>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</si>
  <si>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</si>
  <si>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</si>
  <si>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</si>
  <si>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</si>
  <si>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</si>
  <si>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</si>
  <si>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</si>
  <si>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</si>
  <si>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</si>
  <si>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</si>
  <si>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</si>
  <si>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</si>
  <si>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</si>
  <si>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</si>
  <si>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</si>
  <si>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</si>
  <si>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</si>
  <si>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</si>
  <si>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</si>
  <si>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</si>
  <si>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</si>
  <si>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</si>
  <si>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</si>
  <si>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</si>
  <si>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</si>
  <si>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</si>
  <si>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</si>
  <si>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</si>
  <si>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</si>
  <si>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</si>
  <si>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</si>
  <si>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</si>
  <si>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</si>
  <si>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</si>
  <si>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</si>
  <si>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</si>
  <si>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</si>
  <si>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</si>
  <si>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</si>
  <si>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</si>
  <si>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</si>
  <si>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</si>
  <si>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</si>
  <si>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</si>
  <si>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</si>
  <si>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</si>
  <si>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</si>
  <si>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</si>
  <si>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</si>
  <si>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</si>
  <si>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</si>
  <si>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</si>
  <si>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</si>
  <si>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</si>
  <si>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</si>
  <si>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</si>
  <si>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</si>
  <si>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</si>
  <si>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</si>
  <si>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</si>
  <si>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</si>
  <si>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</si>
  <si>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</si>
  <si>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</si>
  <si>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</si>
  <si>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</si>
  <si>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</si>
  <si>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</si>
  <si>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</si>
  <si>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</si>
  <si>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</si>
  <si>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</si>
  <si>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</si>
  <si>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</si>
  <si>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</si>
  <si>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</si>
  <si>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</si>
  <si>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</si>
  <si>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</si>
  <si>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</si>
  <si>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</si>
  <si>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</si>
  <si>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</si>
  <si>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</si>
  <si>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</si>
  <si>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</si>
  <si>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</si>
  <si>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</si>
  <si>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</si>
  <si>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</si>
  <si>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</si>
  <si>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</si>
  <si>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</si>
  <si>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</si>
  <si>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</si>
  <si>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</si>
  <si>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</si>
  <si>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</si>
  <si>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</si>
  <si>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</si>
  <si>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</si>
  <si>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</si>
  <si>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</si>
  <si>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</si>
  <si>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</si>
  <si>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</si>
  <si>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</si>
  <si>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</si>
  <si>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</si>
  <si>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</si>
  <si>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</si>
  <si>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</si>
  <si>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</si>
  <si>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</si>
  <si>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</si>
  <si>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</si>
  <si>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</si>
  <si>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</si>
  <si>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</si>
  <si>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</si>
  <si>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</si>
  <si>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</si>
  <si>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</si>
  <si>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</si>
  <si>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</si>
  <si>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</si>
  <si>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</si>
  <si>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</si>
  <si>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</si>
  <si>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</si>
  <si>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</si>
  <si>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</si>
  <si>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</si>
  <si>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</si>
  <si>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</si>
  <si>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</si>
  <si>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</si>
  <si>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</si>
  <si>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</si>
  <si>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</si>
  <si>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</si>
  <si>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</si>
  <si>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</si>
  <si>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</si>
  <si>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</si>
  <si>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</si>
  <si>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</si>
  <si>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</si>
  <si>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</si>
  <si>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</si>
  <si>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</si>
  <si>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</si>
  <si>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</si>
  <si>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</si>
  <si>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</si>
  <si>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</si>
  <si>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</si>
  <si>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</si>
  <si>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</si>
  <si>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</si>
  <si>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</si>
  <si>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</si>
  <si>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</si>
  <si>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</si>
  <si>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</si>
  <si>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</si>
  <si>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</si>
  <si>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</si>
  <si>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</si>
  <si>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</si>
  <si>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</si>
  <si>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</si>
  <si>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</si>
  <si>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</si>
  <si>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</si>
  <si>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</si>
  <si>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</si>
  <si>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</si>
  <si>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</si>
  <si>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</si>
  <si>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</si>
  <si>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</si>
  <si>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</si>
  <si>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</si>
  <si>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</si>
  <si>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</si>
  <si>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</si>
  <si>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</si>
  <si>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</si>
  <si>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</si>
  <si>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</si>
  <si>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</si>
  <si>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</si>
  <si>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</si>
  <si>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</si>
  <si>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</si>
  <si>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</si>
  <si>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</si>
  <si>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</si>
  <si>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</si>
  <si>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</si>
  <si>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</si>
  <si>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</si>
  <si>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</si>
  <si>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</si>
  <si>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</si>
  <si>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</si>
  <si>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</si>
  <si>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</si>
  <si>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</si>
  <si>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</si>
  <si>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</si>
  <si>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</si>
  <si>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</si>
  <si>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</si>
  <si>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</si>
  <si>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</si>
  <si>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</si>
  <si>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</si>
  <si>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</si>
  <si>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</si>
  <si>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</si>
  <si>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</si>
  <si>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</si>
  <si>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</si>
  <si>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</si>
  <si>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</si>
  <si>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</si>
  <si>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</si>
  <si>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</si>
  <si>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</si>
  <si>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</si>
  <si>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</si>
  <si>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</si>
  <si>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</si>
  <si>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</si>
  <si>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</si>
  <si>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</si>
  <si>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</si>
  <si>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</si>
  <si>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</si>
  <si>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</si>
  <si>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</si>
  <si>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</si>
  <si>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</si>
  <si>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</si>
  <si>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</si>
  <si>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</si>
  <si>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</si>
  <si>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</si>
  <si>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</si>
  <si>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</si>
  <si>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</si>
  <si>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</si>
  <si>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</si>
  <si>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</si>
  <si>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</si>
  <si>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</si>
  <si>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</si>
  <si>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</si>
  <si>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</si>
  <si>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</si>
  <si>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</si>
  <si>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</si>
  <si>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</si>
  <si>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</si>
  <si>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</si>
  <si>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</si>
  <si>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</si>
  <si>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</si>
  <si>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</si>
  <si>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</si>
  <si>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</si>
  <si>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</si>
  <si>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</si>
  <si>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</si>
  <si>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</si>
  <si>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</si>
  <si>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</si>
  <si>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</si>
  <si>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</si>
  <si>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</si>
  <si>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</si>
  <si>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</si>
  <si>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</si>
  <si>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</si>
  <si>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</si>
  <si>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</si>
  <si>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</si>
  <si>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</si>
  <si>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</si>
  <si>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</si>
  <si>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</si>
  <si>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</si>
  <si>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</si>
  <si>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</si>
  <si>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</si>
  <si>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</si>
  <si>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</si>
  <si>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</si>
  <si>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</si>
  <si>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</si>
  <si>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</si>
  <si>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</si>
  <si>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</si>
  <si>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</si>
  <si>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</si>
  <si>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</si>
  <si>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</si>
  <si>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</si>
  <si>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</si>
  <si>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</si>
  <si>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</si>
  <si>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</si>
  <si>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</si>
  <si>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</si>
  <si>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</si>
  <si>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</si>
  <si>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</si>
  <si>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</si>
  <si>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</si>
  <si>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</si>
  <si>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</si>
  <si>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</si>
  <si>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</si>
  <si>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</si>
  <si>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</si>
  <si>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</si>
  <si>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</si>
  <si>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</si>
  <si>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</si>
  <si>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</si>
  <si>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</si>
  <si>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</si>
  <si>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</si>
  <si>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</si>
  <si>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</si>
  <si>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</si>
  <si>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</si>
  <si>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</si>
  <si>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</si>
  <si>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</si>
  <si>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</si>
  <si>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</si>
  <si>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</si>
  <si>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</si>
  <si>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</si>
  <si>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</si>
  <si>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</si>
  <si>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</si>
  <si>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</si>
  <si>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</si>
  <si>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</si>
  <si>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</si>
  <si>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</si>
  <si>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</si>
  <si>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</si>
  <si>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</si>
  <si>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</si>
  <si>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</si>
  <si>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</si>
  <si>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</si>
  <si>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</si>
  <si>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</si>
  <si>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</si>
  <si>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</si>
  <si>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</si>
  <si>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</si>
  <si>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</si>
  <si>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</si>
  <si>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</si>
  <si>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</si>
  <si>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</si>
  <si>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</si>
  <si>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</si>
  <si>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</si>
  <si>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</si>
  <si>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</si>
  <si>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</si>
  <si>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</si>
  <si>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</si>
  <si>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</si>
  <si>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</si>
  <si>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</si>
  <si>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</si>
  <si>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</si>
  <si>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</si>
  <si>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</si>
  <si>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</si>
  <si>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</si>
  <si>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</si>
  <si>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</si>
  <si>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</si>
  <si>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</si>
  <si>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</si>
  <si>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</si>
  <si>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</si>
  <si>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</si>
  <si>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</si>
  <si>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</si>
  <si>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</si>
  <si>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</si>
  <si>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</si>
  <si>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</si>
  <si>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</si>
  <si>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</si>
  <si>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</si>
  <si>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</si>
  <si>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</si>
  <si>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</si>
  <si>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</si>
  <si>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</si>
  <si>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</si>
  <si>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</si>
  <si>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</si>
  <si>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</si>
  <si>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</si>
  <si>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</si>
  <si>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</si>
  <si>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</si>
  <si>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</si>
  <si>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</si>
  <si>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</si>
  <si>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</si>
  <si>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</si>
  <si>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</si>
  <si>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</si>
  <si>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</si>
  <si>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</si>
  <si>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</si>
  <si>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</si>
  <si>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</si>
  <si>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</si>
  <si>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</si>
  <si>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</si>
  <si>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</si>
  <si>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</si>
  <si>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</si>
  <si>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</si>
  <si>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</si>
  <si>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</si>
  <si>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</si>
  <si>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</si>
  <si>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</si>
  <si>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</si>
  <si>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</si>
  <si>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</si>
  <si>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</si>
  <si>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</si>
  <si>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</si>
  <si>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</si>
  <si>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</si>
  <si>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</si>
  <si>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</si>
  <si>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</si>
  <si>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</si>
  <si>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</si>
  <si>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</si>
  <si>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</si>
  <si>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</si>
  <si>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</si>
  <si>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</si>
  <si>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</si>
  <si>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</si>
  <si>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</si>
  <si>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</si>
  <si>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</si>
  <si>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</si>
  <si>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</si>
  <si>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</si>
  <si>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</si>
  <si>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</si>
  <si>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</si>
  <si>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</si>
  <si>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</si>
  <si>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</si>
  <si>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</si>
  <si>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</si>
  <si>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</si>
  <si>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</si>
  <si>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</si>
  <si>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</si>
  <si>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</si>
  <si>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</si>
  <si>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</si>
  <si>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</si>
  <si>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</si>
  <si>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</si>
  <si>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</si>
  <si>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</si>
  <si>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</si>
  <si>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</si>
  <si>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</si>
  <si>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</si>
  <si>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</si>
  <si>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</si>
  <si>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</si>
  <si>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</si>
  <si>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</si>
  <si>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</si>
  <si>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</si>
  <si>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</si>
  <si>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</si>
  <si>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</si>
  <si>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</si>
  <si>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</si>
  <si>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</si>
  <si>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</si>
  <si>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</si>
  <si>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</si>
  <si>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</si>
  <si>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</si>
  <si>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</si>
  <si>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</si>
  <si>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</si>
  <si>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</si>
  <si>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</si>
  <si>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</si>
  <si>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</si>
  <si>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</si>
  <si>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</si>
  <si>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</si>
  <si>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</si>
  <si>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</si>
  <si>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</si>
  <si>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</si>
  <si>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</si>
  <si>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</si>
  <si>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</si>
  <si>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</si>
  <si>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</si>
  <si>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</si>
  <si>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</si>
  <si>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</si>
  <si>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</si>
  <si>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</si>
  <si>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</si>
  <si>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</si>
  <si>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</si>
  <si>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</si>
  <si>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</si>
  <si>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</si>
  <si>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</si>
  <si>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</si>
  <si>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</si>
  <si>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</si>
  <si>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</si>
  <si>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</si>
  <si>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</si>
  <si>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</si>
  <si>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</si>
  <si>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</si>
  <si>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</si>
  <si>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</si>
  <si>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</si>
  <si>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</si>
  <si>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</si>
  <si>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</si>
  <si>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</si>
  <si>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</si>
  <si>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</si>
  <si>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</si>
  <si>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</si>
  <si>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</si>
  <si>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</si>
  <si>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</si>
  <si>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</si>
  <si>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</si>
  <si>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</si>
  <si>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</si>
  <si>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</si>
  <si>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</si>
  <si>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</si>
  <si>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</si>
  <si>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</si>
  <si>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</si>
  <si>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</si>
  <si>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</si>
  <si>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</si>
  <si>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</si>
  <si>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</si>
  <si>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</si>
  <si>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</si>
  <si>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</si>
  <si>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</si>
  <si>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</si>
  <si>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</si>
  <si>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</si>
  <si>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</si>
  <si>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</si>
  <si>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</si>
  <si>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</si>
  <si>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</si>
  <si>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</si>
  <si>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</si>
  <si>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</si>
  <si>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</si>
  <si>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</si>
  <si>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</si>
  <si>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</si>
  <si>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</si>
  <si>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</si>
  <si>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</si>
  <si>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</si>
  <si>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</si>
  <si>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</si>
  <si>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</si>
  <si>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</si>
  <si>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</si>
  <si>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</si>
  <si>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</si>
  <si>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</si>
  <si>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</si>
  <si>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</si>
  <si>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</si>
  <si>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</si>
  <si>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</si>
  <si>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</si>
  <si>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</si>
  <si>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</si>
  <si>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</si>
  <si>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</si>
  <si>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</si>
  <si>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</si>
  <si>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</si>
  <si>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</si>
  <si>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</si>
  <si>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</si>
  <si>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</si>
  <si>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</si>
  <si>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</si>
  <si>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</si>
  <si>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</si>
  <si>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</si>
  <si>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</si>
  <si>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</si>
  <si>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</si>
  <si>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</si>
  <si>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</si>
  <si>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</si>
  <si>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</si>
  <si>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</si>
  <si>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</si>
  <si>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</si>
  <si>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</si>
  <si>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</si>
  <si>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</si>
  <si>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</si>
  <si>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</si>
  <si>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</si>
  <si>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</si>
  <si>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</si>
  <si>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</si>
  <si>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</si>
  <si>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</si>
  <si>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</si>
  <si>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</si>
  <si>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</si>
  <si>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</si>
  <si>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</si>
  <si>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</si>
  <si>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</si>
  <si>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</si>
  <si>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</si>
  <si>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</si>
  <si>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</si>
  <si>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</si>
  <si>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</si>
  <si>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</si>
  <si>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</si>
  <si>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</si>
  <si>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</si>
  <si>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</si>
  <si>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</si>
  <si>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</si>
  <si>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</si>
  <si>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</si>
  <si>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</si>
  <si>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</si>
  <si>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</si>
  <si>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</si>
  <si>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</si>
  <si>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</si>
  <si>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</si>
  <si>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</si>
  <si>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</si>
  <si>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</si>
  <si>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</si>
  <si>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</si>
  <si>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</si>
  <si>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</si>
  <si>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</si>
  <si>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</si>
  <si>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</si>
  <si>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</si>
  <si>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</si>
  <si>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</si>
  <si>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</si>
  <si>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</si>
  <si>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</si>
  <si>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</si>
  <si>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</si>
  <si>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</si>
  <si>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</si>
  <si>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</si>
  <si>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</si>
  <si>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</si>
  <si>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</si>
  <si>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</si>
  <si>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</si>
  <si>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</si>
  <si>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</si>
  <si>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</si>
  <si>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</si>
  <si>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</si>
  <si>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</si>
  <si>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</si>
  <si>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</si>
  <si>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</si>
  <si>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</si>
  <si>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</si>
  <si>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</si>
  <si>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</si>
  <si>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</si>
  <si>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</si>
  <si>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</si>
  <si>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</si>
  <si>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</si>
  <si>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</si>
  <si>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</si>
  <si>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</si>
  <si>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</si>
  <si>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</si>
  <si>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</si>
  <si>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</si>
  <si>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</si>
  <si>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</si>
  <si>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</si>
  <si>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</si>
  <si>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</si>
  <si>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</si>
  <si>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</si>
  <si>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</si>
  <si>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</si>
  <si>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</si>
  <si>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</si>
  <si>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</si>
  <si>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</si>
  <si>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</si>
  <si>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</si>
  <si>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</si>
  <si>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</si>
  <si>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</si>
  <si>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</si>
  <si>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</si>
  <si>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</si>
  <si>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</si>
  <si>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</si>
  <si>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</si>
  <si>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</si>
  <si>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</si>
  <si>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</si>
  <si>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</si>
  <si>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</si>
  <si>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</si>
  <si>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</si>
  <si>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</si>
  <si>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</si>
  <si>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</si>
  <si>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</si>
  <si>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</si>
  <si>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</si>
  <si>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</si>
  <si>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</si>
  <si>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</si>
  <si>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</si>
  <si>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</si>
  <si>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</si>
  <si>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</si>
  <si>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</si>
  <si>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</si>
  <si>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</si>
  <si>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</si>
  <si>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</si>
  <si>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13004</t>
  </si>
  <si>
    <t>BEERSE</t>
  </si>
  <si>
    <t>Paarden&amp;pony's 200 - 600 kg</t>
  </si>
  <si>
    <t>Paarden&amp;pony's &lt; 200 kg</t>
  </si>
  <si>
    <t>Fluvius</t>
  </si>
  <si>
    <t>referentietaak LNE (2017); Jaarverslag De Lijn</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</si>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</sst>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F86960AE-7CEF-4AC5-9157-87A5A71D0D4F}"/>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148757.01489407479</c:v>
                </c:pt>
                <c:pt idx="1">
                  <c:v>36448.600625704188</c:v>
                </c:pt>
                <c:pt idx="2">
                  <c:v>891.44899999999996</c:v>
                </c:pt>
                <c:pt idx="3">
                  <c:v>32859.618587477067</c:v>
                </c:pt>
                <c:pt idx="4">
                  <c:v>790465.33830148051</c:v>
                </c:pt>
                <c:pt idx="5">
                  <c:v>56057.484002068362</c:v>
                </c:pt>
                <c:pt idx="6">
                  <c:v>2734.6470891455142</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148757.01489407479</c:v>
                </c:pt>
                <c:pt idx="1">
                  <c:v>36448.600625704188</c:v>
                </c:pt>
                <c:pt idx="2">
                  <c:v>891.44899999999996</c:v>
                </c:pt>
                <c:pt idx="3">
                  <c:v>32859.618587477067</c:v>
                </c:pt>
                <c:pt idx="4">
                  <c:v>790465.33830148051</c:v>
                </c:pt>
                <c:pt idx="5">
                  <c:v>56057.484002068362</c:v>
                </c:pt>
                <c:pt idx="6">
                  <c:v>2734.6470891455142</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30922.311342210927</c:v>
                </c:pt>
                <c:pt idx="2">
                  <c:v>7383.103661621758</c:v>
                </c:pt>
                <c:pt idx="3">
                  <c:v>192.00690345572374</c:v>
                </c:pt>
                <c:pt idx="4">
                  <c:v>7859.2465319208904</c:v>
                </c:pt>
                <c:pt idx="5">
                  <c:v>170658.76348539474</c:v>
                </c:pt>
                <c:pt idx="6">
                  <c:v>14050.05423957363</c:v>
                </c:pt>
                <c:pt idx="7">
                  <c:v>689.90201269954082</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30922.311342210927</c:v>
                </c:pt>
                <c:pt idx="2">
                  <c:v>7383.103661621758</c:v>
                </c:pt>
                <c:pt idx="3">
                  <c:v>192.00690345572374</c:v>
                </c:pt>
                <c:pt idx="4">
                  <c:v>7859.2465319208904</c:v>
                </c:pt>
                <c:pt idx="5">
                  <c:v>170658.76348539474</c:v>
                </c:pt>
                <c:pt idx="6">
                  <c:v>14050.05423957363</c:v>
                </c:pt>
                <c:pt idx="7">
                  <c:v>689.90201269954082</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13004</v>
      </c>
      <c r="B6" s="383"/>
      <c r="C6" s="384"/>
    </row>
    <row r="7" spans="1:7" s="381" customFormat="1" ht="15.75" customHeight="1">
      <c r="A7" s="385" t="str">
        <f>txtMunicipality</f>
        <v>BEERSE</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16347.544600000001</v>
      </c>
      <c r="D10" s="983">
        <f ca="1">tertiair!C16</f>
        <v>450.00000000000011</v>
      </c>
      <c r="E10" s="983">
        <f ca="1">tertiair!D16</f>
        <v>16329.204173639748</v>
      </c>
      <c r="F10" s="983">
        <f>tertiair!E16</f>
        <v>152.48847815314943</v>
      </c>
      <c r="G10" s="983">
        <f ca="1">tertiair!F16</f>
        <v>2302.2686009845561</v>
      </c>
      <c r="H10" s="983">
        <f>tertiair!G16</f>
        <v>0</v>
      </c>
      <c r="I10" s="983">
        <f>tertiair!H16</f>
        <v>0</v>
      </c>
      <c r="J10" s="983">
        <f>tertiair!I16</f>
        <v>0</v>
      </c>
      <c r="K10" s="983">
        <f>tertiair!J16</f>
        <v>0</v>
      </c>
      <c r="L10" s="983">
        <f>tertiair!K16</f>
        <v>0</v>
      </c>
      <c r="M10" s="983">
        <f ca="1">tertiair!L16</f>
        <v>0</v>
      </c>
      <c r="N10" s="983">
        <f>tertiair!M16</f>
        <v>0</v>
      </c>
      <c r="O10" s="983">
        <f ca="1">tertiair!N16</f>
        <v>1699.7804395934058</v>
      </c>
      <c r="P10" s="983">
        <f>tertiair!O16</f>
        <v>1.5633333333333335</v>
      </c>
      <c r="Q10" s="984">
        <f>tertiair!P16</f>
        <v>57.2</v>
      </c>
      <c r="R10" s="667">
        <f ca="1">SUM(C10:Q10)</f>
        <v>37340.049625704189</v>
      </c>
      <c r="S10" s="67"/>
    </row>
    <row r="11" spans="1:19" s="440" customFormat="1">
      <c r="A11" s="776" t="s">
        <v>214</v>
      </c>
      <c r="B11" s="781"/>
      <c r="C11" s="983">
        <f>huishoudens!B8</f>
        <v>31764.300494026382</v>
      </c>
      <c r="D11" s="983">
        <f>huishoudens!C8</f>
        <v>0</v>
      </c>
      <c r="E11" s="983">
        <f>huishoudens!D8</f>
        <v>75210.533455244149</v>
      </c>
      <c r="F11" s="983">
        <f>huishoudens!E8</f>
        <v>997.49819635992287</v>
      </c>
      <c r="G11" s="983">
        <f>huishoudens!F8</f>
        <v>31467.956095010362</v>
      </c>
      <c r="H11" s="983">
        <f>huishoudens!G8</f>
        <v>0</v>
      </c>
      <c r="I11" s="983">
        <f>huishoudens!H8</f>
        <v>0</v>
      </c>
      <c r="J11" s="983">
        <f>huishoudens!I8</f>
        <v>0</v>
      </c>
      <c r="K11" s="983">
        <f>huishoudens!J8</f>
        <v>733.83154738914948</v>
      </c>
      <c r="L11" s="983">
        <f>huishoudens!K8</f>
        <v>0</v>
      </c>
      <c r="M11" s="983">
        <f>huishoudens!L8</f>
        <v>0</v>
      </c>
      <c r="N11" s="983">
        <f>huishoudens!M8</f>
        <v>0</v>
      </c>
      <c r="O11" s="983">
        <f>huishoudens!N8</f>
        <v>7666.0417727114718</v>
      </c>
      <c r="P11" s="983">
        <f>huishoudens!O8</f>
        <v>287.65333333333336</v>
      </c>
      <c r="Q11" s="984">
        <f>huishoudens!P8</f>
        <v>629.20000000000005</v>
      </c>
      <c r="R11" s="667">
        <f>SUM(C11:Q11)</f>
        <v>148757.01489407479</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236524.31690000001</v>
      </c>
      <c r="D13" s="983">
        <f>industrie!C18</f>
        <v>0</v>
      </c>
      <c r="E13" s="983">
        <f>industrie!D18</f>
        <v>450666.29723151593</v>
      </c>
      <c r="F13" s="983">
        <f>industrie!E18</f>
        <v>2740.337393874082</v>
      </c>
      <c r="G13" s="983">
        <f>industrie!F18</f>
        <v>49262.656501629506</v>
      </c>
      <c r="H13" s="983">
        <f>industrie!G18</f>
        <v>0</v>
      </c>
      <c r="I13" s="983">
        <f>industrie!H18</f>
        <v>0</v>
      </c>
      <c r="J13" s="983">
        <f>industrie!I18</f>
        <v>0</v>
      </c>
      <c r="K13" s="983">
        <f>industrie!J18</f>
        <v>42103.452865996995</v>
      </c>
      <c r="L13" s="983">
        <f>industrie!K18</f>
        <v>0</v>
      </c>
      <c r="M13" s="983">
        <f>industrie!L18</f>
        <v>0</v>
      </c>
      <c r="N13" s="983">
        <f>industrie!M18</f>
        <v>0</v>
      </c>
      <c r="O13" s="983">
        <f>industrie!N18</f>
        <v>9168.277408464055</v>
      </c>
      <c r="P13" s="983">
        <f>industrie!O18</f>
        <v>0</v>
      </c>
      <c r="Q13" s="984">
        <f>industrie!P18</f>
        <v>0</v>
      </c>
      <c r="R13" s="667">
        <f>SUM(C13:Q13)</f>
        <v>790465.33830148051</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284636.16199402639</v>
      </c>
      <c r="D16" s="699">
        <f t="shared" ref="D16:R16" ca="1" si="0">SUM(D9:D15)</f>
        <v>450.00000000000011</v>
      </c>
      <c r="E16" s="699">
        <f t="shared" ca="1" si="0"/>
        <v>542206.03486039978</v>
      </c>
      <c r="F16" s="699">
        <f t="shared" si="0"/>
        <v>3890.3240683871545</v>
      </c>
      <c r="G16" s="699">
        <f t="shared" ca="1" si="0"/>
        <v>83032.881197624432</v>
      </c>
      <c r="H16" s="699">
        <f t="shared" si="0"/>
        <v>0</v>
      </c>
      <c r="I16" s="699">
        <f t="shared" si="0"/>
        <v>0</v>
      </c>
      <c r="J16" s="699">
        <f t="shared" si="0"/>
        <v>0</v>
      </c>
      <c r="K16" s="699">
        <f t="shared" si="0"/>
        <v>42837.284413386144</v>
      </c>
      <c r="L16" s="699">
        <f t="shared" si="0"/>
        <v>0</v>
      </c>
      <c r="M16" s="699">
        <f t="shared" ca="1" si="0"/>
        <v>0</v>
      </c>
      <c r="N16" s="699">
        <f t="shared" si="0"/>
        <v>0</v>
      </c>
      <c r="O16" s="699">
        <f t="shared" ca="1" si="0"/>
        <v>18534.099620768931</v>
      </c>
      <c r="P16" s="699">
        <f t="shared" si="0"/>
        <v>289.2166666666667</v>
      </c>
      <c r="Q16" s="699">
        <f t="shared" si="0"/>
        <v>686.40000000000009</v>
      </c>
      <c r="R16" s="699">
        <f t="shared" ca="1" si="0"/>
        <v>976562.40282125946</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13.578512538656595</v>
      </c>
      <c r="D19" s="983">
        <f>transport!C54</f>
        <v>0</v>
      </c>
      <c r="E19" s="983">
        <f>transport!D54</f>
        <v>0</v>
      </c>
      <c r="F19" s="983">
        <f>transport!E54</f>
        <v>0</v>
      </c>
      <c r="G19" s="983">
        <f>transport!F54</f>
        <v>0</v>
      </c>
      <c r="H19" s="983">
        <f>transport!G54</f>
        <v>2572.9489583010409</v>
      </c>
      <c r="I19" s="983">
        <f>transport!H54</f>
        <v>0</v>
      </c>
      <c r="J19" s="983">
        <f>transport!I54</f>
        <v>0</v>
      </c>
      <c r="K19" s="983">
        <f>transport!J54</f>
        <v>0</v>
      </c>
      <c r="L19" s="983">
        <f>transport!K54</f>
        <v>0</v>
      </c>
      <c r="M19" s="983">
        <f>transport!L54</f>
        <v>0</v>
      </c>
      <c r="N19" s="983">
        <f>transport!M54</f>
        <v>148.11961830581694</v>
      </c>
      <c r="O19" s="983">
        <f>transport!N54</f>
        <v>0</v>
      </c>
      <c r="P19" s="983">
        <f>transport!O54</f>
        <v>0</v>
      </c>
      <c r="Q19" s="984">
        <f>transport!P54</f>
        <v>0</v>
      </c>
      <c r="R19" s="667">
        <f>SUM(C19:Q19)</f>
        <v>2734.6470891455142</v>
      </c>
      <c r="S19" s="67"/>
    </row>
    <row r="20" spans="1:19" s="440" customFormat="1">
      <c r="A20" s="776" t="s">
        <v>296</v>
      </c>
      <c r="B20" s="781"/>
      <c r="C20" s="983">
        <f>transport!B14</f>
        <v>9.2113645776221631</v>
      </c>
      <c r="D20" s="983">
        <f>transport!C14</f>
        <v>0</v>
      </c>
      <c r="E20" s="983">
        <f>transport!D14</f>
        <v>14.470613982751669</v>
      </c>
      <c r="F20" s="983">
        <f>transport!E14</f>
        <v>141.09183516913563</v>
      </c>
      <c r="G20" s="983">
        <f>transport!F14</f>
        <v>0</v>
      </c>
      <c r="H20" s="983">
        <f>transport!G14</f>
        <v>44693.953911527773</v>
      </c>
      <c r="I20" s="983">
        <f>transport!H14</f>
        <v>8352.7454718988611</v>
      </c>
      <c r="J20" s="983">
        <f>transport!I14</f>
        <v>0</v>
      </c>
      <c r="K20" s="983">
        <f>transport!J14</f>
        <v>0</v>
      </c>
      <c r="L20" s="983">
        <f>transport!K14</f>
        <v>0</v>
      </c>
      <c r="M20" s="983">
        <f>transport!L14</f>
        <v>0</v>
      </c>
      <c r="N20" s="983">
        <f>transport!M14</f>
        <v>2846.0108049122191</v>
      </c>
      <c r="O20" s="983">
        <f>transport!N14</f>
        <v>0</v>
      </c>
      <c r="P20" s="983">
        <f>transport!O14</f>
        <v>0</v>
      </c>
      <c r="Q20" s="984">
        <f>transport!P14</f>
        <v>0</v>
      </c>
      <c r="R20" s="667">
        <f>SUM(C20:Q20)</f>
        <v>56057.484002068362</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22.78987711627876</v>
      </c>
      <c r="D22" s="779">
        <f t="shared" ref="D22:R22" si="1">SUM(D18:D21)</f>
        <v>0</v>
      </c>
      <c r="E22" s="779">
        <f t="shared" si="1"/>
        <v>14.470613982751669</v>
      </c>
      <c r="F22" s="779">
        <f t="shared" si="1"/>
        <v>141.09183516913563</v>
      </c>
      <c r="G22" s="779">
        <f t="shared" si="1"/>
        <v>0</v>
      </c>
      <c r="H22" s="779">
        <f t="shared" si="1"/>
        <v>47266.902869828817</v>
      </c>
      <c r="I22" s="779">
        <f t="shared" si="1"/>
        <v>8352.7454718988611</v>
      </c>
      <c r="J22" s="779">
        <f t="shared" si="1"/>
        <v>0</v>
      </c>
      <c r="K22" s="779">
        <f t="shared" si="1"/>
        <v>0</v>
      </c>
      <c r="L22" s="779">
        <f t="shared" si="1"/>
        <v>0</v>
      </c>
      <c r="M22" s="779">
        <f t="shared" si="1"/>
        <v>0</v>
      </c>
      <c r="N22" s="779">
        <f t="shared" si="1"/>
        <v>2994.130423218036</v>
      </c>
      <c r="O22" s="779">
        <f t="shared" si="1"/>
        <v>0</v>
      </c>
      <c r="P22" s="779">
        <f t="shared" si="1"/>
        <v>0</v>
      </c>
      <c r="Q22" s="779">
        <f t="shared" si="1"/>
        <v>0</v>
      </c>
      <c r="R22" s="779">
        <f t="shared" si="1"/>
        <v>58792.13109121388</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1343.8243</v>
      </c>
      <c r="D24" s="983">
        <f>+landbouw!C8</f>
        <v>27887.785714285714</v>
      </c>
      <c r="E24" s="983">
        <f>+landbouw!D8</f>
        <v>0</v>
      </c>
      <c r="F24" s="983">
        <f>+landbouw!E8</f>
        <v>12.447063511954669</v>
      </c>
      <c r="G24" s="983">
        <f>+landbouw!F8</f>
        <v>3409.5382473664399</v>
      </c>
      <c r="H24" s="983">
        <f>+landbouw!G8</f>
        <v>0</v>
      </c>
      <c r="I24" s="983">
        <f>+landbouw!H8</f>
        <v>0</v>
      </c>
      <c r="J24" s="983">
        <f>+landbouw!I8</f>
        <v>0</v>
      </c>
      <c r="K24" s="983">
        <f>+landbouw!J8</f>
        <v>206.02326231295854</v>
      </c>
      <c r="L24" s="983">
        <f>+landbouw!K8</f>
        <v>0</v>
      </c>
      <c r="M24" s="983">
        <f>+landbouw!L8</f>
        <v>0</v>
      </c>
      <c r="N24" s="983">
        <f>+landbouw!M8</f>
        <v>0</v>
      </c>
      <c r="O24" s="983">
        <f>+landbouw!N8</f>
        <v>0</v>
      </c>
      <c r="P24" s="983">
        <f>+landbouw!O8</f>
        <v>0</v>
      </c>
      <c r="Q24" s="984">
        <f>+landbouw!P8</f>
        <v>0</v>
      </c>
      <c r="R24" s="667">
        <f>SUM(C24:Q24)</f>
        <v>32859.618587477067</v>
      </c>
      <c r="S24" s="67"/>
    </row>
    <row r="25" spans="1:19" s="440" customFormat="1" ht="15" thickBot="1">
      <c r="A25" s="798" t="s">
        <v>829</v>
      </c>
      <c r="B25" s="986"/>
      <c r="C25" s="987">
        <f>IF(Onbekend_ele_kWh="---",0,Onbekend_ele_kWh)/1000+IF(REST_rest_ele_kWh="---",0,REST_rest_ele_kWh)/1000</f>
        <v>1650.087</v>
      </c>
      <c r="D25" s="987"/>
      <c r="E25" s="987">
        <f>IF(onbekend_gas_kWh="---",0,onbekend_gas_kWh)/1000+IF(REST_rest_gas_kWh="---",0,REST_rest_gas_kWh)/1000</f>
        <v>2313.4144807007201</v>
      </c>
      <c r="F25" s="987"/>
      <c r="G25" s="987"/>
      <c r="H25" s="987"/>
      <c r="I25" s="987"/>
      <c r="J25" s="987"/>
      <c r="K25" s="987"/>
      <c r="L25" s="987"/>
      <c r="M25" s="987"/>
      <c r="N25" s="987"/>
      <c r="O25" s="987"/>
      <c r="P25" s="987"/>
      <c r="Q25" s="988"/>
      <c r="R25" s="667">
        <f>SUM(C25:Q25)</f>
        <v>3963.5014807007201</v>
      </c>
      <c r="S25" s="67"/>
    </row>
    <row r="26" spans="1:19" s="440" customFormat="1" ht="15.75" thickBot="1">
      <c r="A26" s="672" t="s">
        <v>830</v>
      </c>
      <c r="B26" s="784"/>
      <c r="C26" s="779">
        <f>SUM(C24:C25)</f>
        <v>2993.9112999999998</v>
      </c>
      <c r="D26" s="779">
        <f t="shared" ref="D26:R26" si="2">SUM(D24:D25)</f>
        <v>27887.785714285714</v>
      </c>
      <c r="E26" s="779">
        <f t="shared" si="2"/>
        <v>2313.4144807007201</v>
      </c>
      <c r="F26" s="779">
        <f t="shared" si="2"/>
        <v>12.447063511954669</v>
      </c>
      <c r="G26" s="779">
        <f t="shared" si="2"/>
        <v>3409.5382473664399</v>
      </c>
      <c r="H26" s="779">
        <f t="shared" si="2"/>
        <v>0</v>
      </c>
      <c r="I26" s="779">
        <f t="shared" si="2"/>
        <v>0</v>
      </c>
      <c r="J26" s="779">
        <f t="shared" si="2"/>
        <v>0</v>
      </c>
      <c r="K26" s="779">
        <f t="shared" si="2"/>
        <v>206.02326231295854</v>
      </c>
      <c r="L26" s="779">
        <f t="shared" si="2"/>
        <v>0</v>
      </c>
      <c r="M26" s="779">
        <f t="shared" si="2"/>
        <v>0</v>
      </c>
      <c r="N26" s="779">
        <f t="shared" si="2"/>
        <v>0</v>
      </c>
      <c r="O26" s="779">
        <f t="shared" si="2"/>
        <v>0</v>
      </c>
      <c r="P26" s="779">
        <f t="shared" si="2"/>
        <v>0</v>
      </c>
      <c r="Q26" s="779">
        <f t="shared" si="2"/>
        <v>0</v>
      </c>
      <c r="R26" s="779">
        <f t="shared" si="2"/>
        <v>36823.120068177785</v>
      </c>
      <c r="S26" s="67"/>
    </row>
    <row r="27" spans="1:19" s="440" customFormat="1" ht="17.25" thickTop="1" thickBot="1">
      <c r="A27" s="673" t="s">
        <v>109</v>
      </c>
      <c r="B27" s="772"/>
      <c r="C27" s="674">
        <f ca="1">C22+C16+C26</f>
        <v>287652.86317114264</v>
      </c>
      <c r="D27" s="674">
        <f t="shared" ref="D27:R27" ca="1" si="3">D22+D16+D26</f>
        <v>28337.785714285714</v>
      </c>
      <c r="E27" s="674">
        <f t="shared" ca="1" si="3"/>
        <v>544533.91995508329</v>
      </c>
      <c r="F27" s="674">
        <f t="shared" si="3"/>
        <v>4043.8629670682449</v>
      </c>
      <c r="G27" s="674">
        <f t="shared" ca="1" si="3"/>
        <v>86442.419444990868</v>
      </c>
      <c r="H27" s="674">
        <f t="shared" si="3"/>
        <v>47266.902869828817</v>
      </c>
      <c r="I27" s="674">
        <f t="shared" si="3"/>
        <v>8352.7454718988611</v>
      </c>
      <c r="J27" s="674">
        <f t="shared" si="3"/>
        <v>0</v>
      </c>
      <c r="K27" s="674">
        <f t="shared" si="3"/>
        <v>43043.307675699099</v>
      </c>
      <c r="L27" s="674">
        <f t="shared" si="3"/>
        <v>0</v>
      </c>
      <c r="M27" s="674">
        <f t="shared" ca="1" si="3"/>
        <v>0</v>
      </c>
      <c r="N27" s="674">
        <f t="shared" si="3"/>
        <v>2994.130423218036</v>
      </c>
      <c r="O27" s="674">
        <f t="shared" ca="1" si="3"/>
        <v>18534.099620768931</v>
      </c>
      <c r="P27" s="674">
        <f t="shared" si="3"/>
        <v>289.2166666666667</v>
      </c>
      <c r="Q27" s="674">
        <f t="shared" si="3"/>
        <v>686.40000000000009</v>
      </c>
      <c r="R27" s="674">
        <f t="shared" ca="1" si="3"/>
        <v>1072177.6539806512</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3521.0555149541233</v>
      </c>
      <c r="D40" s="983">
        <f ca="1">tertiair!C20</f>
        <v>106.23520604448765</v>
      </c>
      <c r="E40" s="983">
        <f ca="1">tertiair!D20</f>
        <v>3298.4992430752291</v>
      </c>
      <c r="F40" s="983">
        <f>tertiair!E20</f>
        <v>34.614884540764919</v>
      </c>
      <c r="G40" s="983">
        <f ca="1">tertiair!F20</f>
        <v>614.70571646287647</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7575.1105650774816</v>
      </c>
    </row>
    <row r="41" spans="1:18">
      <c r="A41" s="789" t="s">
        <v>214</v>
      </c>
      <c r="B41" s="796"/>
      <c r="C41" s="983">
        <f ca="1">huishoudens!B12</f>
        <v>6841.630848534377</v>
      </c>
      <c r="D41" s="983">
        <f ca="1">huishoudens!C12</f>
        <v>0</v>
      </c>
      <c r="E41" s="983">
        <f>huishoudens!D12</f>
        <v>15192.527757959318</v>
      </c>
      <c r="F41" s="983">
        <f>huishoudens!E12</f>
        <v>226.43209057370251</v>
      </c>
      <c r="G41" s="983">
        <f>huishoudens!F12</f>
        <v>8401.9442773677674</v>
      </c>
      <c r="H41" s="983">
        <f>huishoudens!G12</f>
        <v>0</v>
      </c>
      <c r="I41" s="983">
        <f>huishoudens!H12</f>
        <v>0</v>
      </c>
      <c r="J41" s="983">
        <f>huishoudens!I12</f>
        <v>0</v>
      </c>
      <c r="K41" s="983">
        <f>huishoudens!J12</f>
        <v>259.7763677757589</v>
      </c>
      <c r="L41" s="983">
        <f>huishoudens!K12</f>
        <v>0</v>
      </c>
      <c r="M41" s="983">
        <f>huishoudens!L12</f>
        <v>0</v>
      </c>
      <c r="N41" s="983">
        <f>huishoudens!M12</f>
        <v>0</v>
      </c>
      <c r="O41" s="983">
        <f>huishoudens!N12</f>
        <v>0</v>
      </c>
      <c r="P41" s="983">
        <f>huishoudens!O12</f>
        <v>0</v>
      </c>
      <c r="Q41" s="741">
        <f>huishoudens!P12</f>
        <v>0</v>
      </c>
      <c r="R41" s="817">
        <f t="shared" ca="1" si="4"/>
        <v>30922.311342210927</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50944.363255721095</v>
      </c>
      <c r="D43" s="983">
        <f ca="1">industrie!C22</f>
        <v>0</v>
      </c>
      <c r="E43" s="983">
        <f>industrie!D22</f>
        <v>91034.59204076622</v>
      </c>
      <c r="F43" s="983">
        <f>industrie!E22</f>
        <v>622.05658840941658</v>
      </c>
      <c r="G43" s="983">
        <f>industrie!F22</f>
        <v>13153.12928593508</v>
      </c>
      <c r="H43" s="983">
        <f>industrie!G22</f>
        <v>0</v>
      </c>
      <c r="I43" s="983">
        <f>industrie!H22</f>
        <v>0</v>
      </c>
      <c r="J43" s="983">
        <f>industrie!I22</f>
        <v>0</v>
      </c>
      <c r="K43" s="983">
        <f>industrie!J22</f>
        <v>14904.622314562936</v>
      </c>
      <c r="L43" s="983">
        <f>industrie!K22</f>
        <v>0</v>
      </c>
      <c r="M43" s="983">
        <f>industrie!L22</f>
        <v>0</v>
      </c>
      <c r="N43" s="983">
        <f>industrie!M22</f>
        <v>0</v>
      </c>
      <c r="O43" s="983">
        <f>industrie!N22</f>
        <v>0</v>
      </c>
      <c r="P43" s="983">
        <f>industrie!O22</f>
        <v>0</v>
      </c>
      <c r="Q43" s="741">
        <f>industrie!P22</f>
        <v>0</v>
      </c>
      <c r="R43" s="816">
        <f t="shared" ca="1" si="4"/>
        <v>170658.76348539474</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61307.049619209596</v>
      </c>
      <c r="D46" s="699">
        <f t="shared" ref="D46:Q46" ca="1" si="5">SUM(D39:D45)</f>
        <v>106.23520604448765</v>
      </c>
      <c r="E46" s="699">
        <f t="shared" ca="1" si="5"/>
        <v>109525.61904180076</v>
      </c>
      <c r="F46" s="699">
        <f t="shared" si="5"/>
        <v>883.10356352388408</v>
      </c>
      <c r="G46" s="699">
        <f t="shared" ca="1" si="5"/>
        <v>22169.779279765724</v>
      </c>
      <c r="H46" s="699">
        <f t="shared" si="5"/>
        <v>0</v>
      </c>
      <c r="I46" s="699">
        <f t="shared" si="5"/>
        <v>0</v>
      </c>
      <c r="J46" s="699">
        <f t="shared" si="5"/>
        <v>0</v>
      </c>
      <c r="K46" s="699">
        <f t="shared" si="5"/>
        <v>15164.398682338695</v>
      </c>
      <c r="L46" s="699">
        <f t="shared" si="5"/>
        <v>0</v>
      </c>
      <c r="M46" s="699">
        <f t="shared" ca="1" si="5"/>
        <v>0</v>
      </c>
      <c r="N46" s="699">
        <f t="shared" si="5"/>
        <v>0</v>
      </c>
      <c r="O46" s="699">
        <f t="shared" ca="1" si="5"/>
        <v>0</v>
      </c>
      <c r="P46" s="699">
        <f t="shared" si="5"/>
        <v>0</v>
      </c>
      <c r="Q46" s="699">
        <f t="shared" si="5"/>
        <v>0</v>
      </c>
      <c r="R46" s="699">
        <f ca="1">SUM(R39:R45)</f>
        <v>209156.18539268314</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2.9246408331628295</v>
      </c>
      <c r="D49" s="983">
        <f ca="1">transport!C58</f>
        <v>0</v>
      </c>
      <c r="E49" s="983">
        <f>transport!D58</f>
        <v>0</v>
      </c>
      <c r="F49" s="983">
        <f>transport!E58</f>
        <v>0</v>
      </c>
      <c r="G49" s="983">
        <f>transport!F58</f>
        <v>0</v>
      </c>
      <c r="H49" s="983">
        <f>transport!G58</f>
        <v>686.97737186637801</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689.90201269954082</v>
      </c>
    </row>
    <row r="50" spans="1:18">
      <c r="A50" s="792" t="s">
        <v>296</v>
      </c>
      <c r="B50" s="802"/>
      <c r="C50" s="670">
        <f ca="1">transport!B18</f>
        <v>1.9840120849885661</v>
      </c>
      <c r="D50" s="670">
        <f>transport!C18</f>
        <v>0</v>
      </c>
      <c r="E50" s="670">
        <f>transport!D18</f>
        <v>2.9230640245158375</v>
      </c>
      <c r="F50" s="670">
        <f>transport!E18</f>
        <v>32.027846583393789</v>
      </c>
      <c r="G50" s="670">
        <f>transport!F18</f>
        <v>0</v>
      </c>
      <c r="H50" s="670">
        <f>transport!G18</f>
        <v>11933.285694377915</v>
      </c>
      <c r="I50" s="670">
        <f>transport!H18</f>
        <v>2079.8336225028165</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14050.05423957363</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4.9086529181513958</v>
      </c>
      <c r="D52" s="699">
        <f t="shared" ref="D52:Q52" ca="1" si="6">SUM(D48:D51)</f>
        <v>0</v>
      </c>
      <c r="E52" s="699">
        <f t="shared" si="6"/>
        <v>2.9230640245158375</v>
      </c>
      <c r="F52" s="699">
        <f t="shared" si="6"/>
        <v>32.027846583393789</v>
      </c>
      <c r="G52" s="699">
        <f t="shared" si="6"/>
        <v>0</v>
      </c>
      <c r="H52" s="699">
        <f t="shared" si="6"/>
        <v>12620.263066244293</v>
      </c>
      <c r="I52" s="699">
        <f t="shared" si="6"/>
        <v>2079.8336225028165</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14739.95625227317</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289.44285386102354</v>
      </c>
      <c r="D54" s="670">
        <f ca="1">+landbouw!C12</f>
        <v>6583.6992477370259</v>
      </c>
      <c r="E54" s="670">
        <f>+landbouw!D12</f>
        <v>0</v>
      </c>
      <c r="F54" s="670">
        <f>+landbouw!E12</f>
        <v>2.82548341721371</v>
      </c>
      <c r="G54" s="670">
        <f>+landbouw!F12</f>
        <v>910.34671204683946</v>
      </c>
      <c r="H54" s="670">
        <f>+landbouw!G12</f>
        <v>0</v>
      </c>
      <c r="I54" s="670">
        <f>+landbouw!H12</f>
        <v>0</v>
      </c>
      <c r="J54" s="670">
        <f>+landbouw!I12</f>
        <v>0</v>
      </c>
      <c r="K54" s="670">
        <f>+landbouw!J12</f>
        <v>72.932234858787325</v>
      </c>
      <c r="L54" s="670">
        <f>+landbouw!K12</f>
        <v>0</v>
      </c>
      <c r="M54" s="670">
        <f>+landbouw!L12</f>
        <v>0</v>
      </c>
      <c r="N54" s="670">
        <f>+landbouw!M12</f>
        <v>0</v>
      </c>
      <c r="O54" s="670">
        <f>+landbouw!N12</f>
        <v>0</v>
      </c>
      <c r="P54" s="670">
        <f>+landbouw!O12</f>
        <v>0</v>
      </c>
      <c r="Q54" s="671">
        <f>+landbouw!P12</f>
        <v>0</v>
      </c>
      <c r="R54" s="698">
        <f ca="1">SUM(C54:Q54)</f>
        <v>7859.2465319208904</v>
      </c>
    </row>
    <row r="55" spans="1:18" ht="15" thickBot="1">
      <c r="A55" s="792" t="s">
        <v>829</v>
      </c>
      <c r="B55" s="802"/>
      <c r="C55" s="670">
        <f ca="1">C25*'EF ele_warmte'!B12</f>
        <v>355.40798778454501</v>
      </c>
      <c r="D55" s="670"/>
      <c r="E55" s="670">
        <f>E25*EF_CO2_aardgas</f>
        <v>467.3097251015455</v>
      </c>
      <c r="F55" s="670"/>
      <c r="G55" s="670"/>
      <c r="H55" s="670"/>
      <c r="I55" s="670"/>
      <c r="J55" s="670"/>
      <c r="K55" s="670"/>
      <c r="L55" s="670"/>
      <c r="M55" s="670"/>
      <c r="N55" s="670"/>
      <c r="O55" s="670"/>
      <c r="P55" s="670"/>
      <c r="Q55" s="671"/>
      <c r="R55" s="698">
        <f ca="1">SUM(C55:Q55)</f>
        <v>822.71771288609057</v>
      </c>
    </row>
    <row r="56" spans="1:18" ht="15.75" thickBot="1">
      <c r="A56" s="790" t="s">
        <v>830</v>
      </c>
      <c r="B56" s="803"/>
      <c r="C56" s="699">
        <f ca="1">SUM(C54:C55)</f>
        <v>644.85084164556861</v>
      </c>
      <c r="D56" s="699">
        <f t="shared" ref="D56:Q56" ca="1" si="7">SUM(D54:D55)</f>
        <v>6583.6992477370259</v>
      </c>
      <c r="E56" s="699">
        <f t="shared" si="7"/>
        <v>467.3097251015455</v>
      </c>
      <c r="F56" s="699">
        <f t="shared" si="7"/>
        <v>2.82548341721371</v>
      </c>
      <c r="G56" s="699">
        <f t="shared" si="7"/>
        <v>910.34671204683946</v>
      </c>
      <c r="H56" s="699">
        <f t="shared" si="7"/>
        <v>0</v>
      </c>
      <c r="I56" s="699">
        <f t="shared" si="7"/>
        <v>0</v>
      </c>
      <c r="J56" s="699">
        <f t="shared" si="7"/>
        <v>0</v>
      </c>
      <c r="K56" s="699">
        <f t="shared" si="7"/>
        <v>72.932234858787325</v>
      </c>
      <c r="L56" s="699">
        <f t="shared" si="7"/>
        <v>0</v>
      </c>
      <c r="M56" s="699">
        <f t="shared" si="7"/>
        <v>0</v>
      </c>
      <c r="N56" s="699">
        <f t="shared" si="7"/>
        <v>0</v>
      </c>
      <c r="O56" s="699">
        <f t="shared" si="7"/>
        <v>0</v>
      </c>
      <c r="P56" s="699">
        <f t="shared" si="7"/>
        <v>0</v>
      </c>
      <c r="Q56" s="700">
        <f t="shared" si="7"/>
        <v>0</v>
      </c>
      <c r="R56" s="701">
        <f ca="1">SUM(R54:R55)</f>
        <v>8681.9642448069808</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61956.809113773314</v>
      </c>
      <c r="D61" s="707">
        <f t="shared" ref="D61:Q61" ca="1" si="8">D46+D52+D56</f>
        <v>6689.9344537815132</v>
      </c>
      <c r="E61" s="707">
        <f t="shared" ca="1" si="8"/>
        <v>109995.85183092683</v>
      </c>
      <c r="F61" s="707">
        <f t="shared" si="8"/>
        <v>917.95689352449153</v>
      </c>
      <c r="G61" s="707">
        <f t="shared" ca="1" si="8"/>
        <v>23080.125991812565</v>
      </c>
      <c r="H61" s="707">
        <f t="shared" si="8"/>
        <v>12620.263066244293</v>
      </c>
      <c r="I61" s="707">
        <f t="shared" si="8"/>
        <v>2079.8336225028165</v>
      </c>
      <c r="J61" s="707">
        <f t="shared" si="8"/>
        <v>0</v>
      </c>
      <c r="K61" s="707">
        <f t="shared" si="8"/>
        <v>15237.330917197482</v>
      </c>
      <c r="L61" s="707">
        <f t="shared" si="8"/>
        <v>0</v>
      </c>
      <c r="M61" s="707">
        <f t="shared" ca="1" si="8"/>
        <v>0</v>
      </c>
      <c r="N61" s="707">
        <f t="shared" si="8"/>
        <v>0</v>
      </c>
      <c r="O61" s="707">
        <f t="shared" ca="1" si="8"/>
        <v>0</v>
      </c>
      <c r="P61" s="707">
        <f t="shared" si="8"/>
        <v>0</v>
      </c>
      <c r="Q61" s="707">
        <f t="shared" si="8"/>
        <v>0</v>
      </c>
      <c r="R61" s="707">
        <f ca="1">R46+R52+R56</f>
        <v>232578.1058897633</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0.21538742368405123</v>
      </c>
      <c r="D63" s="748">
        <f t="shared" ca="1" si="9"/>
        <v>0.23607823565441696</v>
      </c>
      <c r="E63" s="994">
        <f t="shared" ca="1" si="9"/>
        <v>0.20200000000000001</v>
      </c>
      <c r="F63" s="748">
        <f t="shared" si="9"/>
        <v>0.22699999999999998</v>
      </c>
      <c r="G63" s="748">
        <f t="shared" ca="1" si="9"/>
        <v>0.26700000000000002</v>
      </c>
      <c r="H63" s="748">
        <f t="shared" si="9"/>
        <v>0.26700000000000002</v>
      </c>
      <c r="I63" s="748">
        <f t="shared" si="9"/>
        <v>0.24900000000000003</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8658.6982565442268</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130.94999999999999</v>
      </c>
      <c r="C76" s="717">
        <f>'lokale energieproductie'!B8*IFERROR(SUM(D76:H76)/SUM(D76:O76),0)</f>
        <v>19705.5</v>
      </c>
      <c r="D76" s="1004">
        <f>'lokale energieproductie'!C8</f>
        <v>23182.941176470591</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154.05882352941177</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4682.9541176470593</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8789.6482565442275</v>
      </c>
      <c r="C78" s="722">
        <f>SUM(C72:C77)</f>
        <v>19705.5</v>
      </c>
      <c r="D78" s="723">
        <f t="shared" ref="D78:H78" si="10">SUM(D76:D77)</f>
        <v>23182.941176470591</v>
      </c>
      <c r="E78" s="723">
        <f t="shared" si="10"/>
        <v>0</v>
      </c>
      <c r="F78" s="723">
        <f t="shared" si="10"/>
        <v>0</v>
      </c>
      <c r="G78" s="723">
        <f t="shared" si="10"/>
        <v>0</v>
      </c>
      <c r="H78" s="723">
        <f t="shared" si="10"/>
        <v>0</v>
      </c>
      <c r="I78" s="723">
        <f>SUM(I76:I77)</f>
        <v>0</v>
      </c>
      <c r="J78" s="723">
        <f>SUM(J76:J77)</f>
        <v>154.05882352941177</v>
      </c>
      <c r="K78" s="723">
        <f t="shared" ref="K78:L78" si="11">SUM(K76:K77)</f>
        <v>0</v>
      </c>
      <c r="L78" s="723">
        <f t="shared" si="11"/>
        <v>0</v>
      </c>
      <c r="M78" s="723">
        <f>SUM(M76:M77)</f>
        <v>0</v>
      </c>
      <c r="N78" s="723">
        <f>SUM(N76:N77)</f>
        <v>0</v>
      </c>
      <c r="O78" s="827">
        <f>SUM(O76:O77)</f>
        <v>0</v>
      </c>
      <c r="P78" s="724">
        <v>0</v>
      </c>
      <c r="Q78" s="724">
        <f>SUM(Q76:Q77)</f>
        <v>4682.9541176470593</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187.07142857142856</v>
      </c>
      <c r="C87" s="733">
        <f>'lokale energieproductie'!B17*IFERROR(SUM(D87:H87)/SUM(D87:O87),0)</f>
        <v>28150.71428571429</v>
      </c>
      <c r="D87" s="744">
        <f>'lokale energieproductie'!C17</f>
        <v>33118.487394957985</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220.08403361344537</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6689.9344537815132</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187.07142857142856</v>
      </c>
      <c r="C90" s="722">
        <f>SUM(C87:C89)</f>
        <v>28150.71428571429</v>
      </c>
      <c r="D90" s="722">
        <f t="shared" ref="D90:H90" si="12">SUM(D87:D89)</f>
        <v>33118.487394957985</v>
      </c>
      <c r="E90" s="722">
        <f t="shared" si="12"/>
        <v>0</v>
      </c>
      <c r="F90" s="722">
        <f t="shared" si="12"/>
        <v>0</v>
      </c>
      <c r="G90" s="722">
        <f t="shared" si="12"/>
        <v>0</v>
      </c>
      <c r="H90" s="722">
        <f t="shared" si="12"/>
        <v>0</v>
      </c>
      <c r="I90" s="722">
        <f>SUM(I87:I89)</f>
        <v>0</v>
      </c>
      <c r="J90" s="722">
        <f>SUM(J87:J89)</f>
        <v>220.08403361344537</v>
      </c>
      <c r="K90" s="722">
        <f t="shared" ref="K90:L90" si="13">SUM(K87:K89)</f>
        <v>0</v>
      </c>
      <c r="L90" s="722">
        <f t="shared" si="13"/>
        <v>0</v>
      </c>
      <c r="M90" s="722">
        <f>SUM(M87:M89)</f>
        <v>0</v>
      </c>
      <c r="N90" s="722">
        <f>SUM(N87:N89)</f>
        <v>0</v>
      </c>
      <c r="O90" s="722">
        <f>SUM(O87:O89)</f>
        <v>0</v>
      </c>
      <c r="P90" s="722">
        <v>0</v>
      </c>
      <c r="Q90" s="722">
        <f>SUM(Q87:Q89)</f>
        <v>6689.9344537815132</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31764.300494026382</v>
      </c>
      <c r="C4" s="444">
        <f>huishoudens!C8</f>
        <v>0</v>
      </c>
      <c r="D4" s="444">
        <f>huishoudens!D8</f>
        <v>75210.533455244149</v>
      </c>
      <c r="E4" s="444">
        <f>huishoudens!E8</f>
        <v>997.49819635992287</v>
      </c>
      <c r="F4" s="444">
        <f>huishoudens!F8</f>
        <v>31467.956095010362</v>
      </c>
      <c r="G4" s="444">
        <f>huishoudens!G8</f>
        <v>0</v>
      </c>
      <c r="H4" s="444">
        <f>huishoudens!H8</f>
        <v>0</v>
      </c>
      <c r="I4" s="444">
        <f>huishoudens!I8</f>
        <v>0</v>
      </c>
      <c r="J4" s="444">
        <f>huishoudens!J8</f>
        <v>733.83154738914948</v>
      </c>
      <c r="K4" s="444">
        <f>huishoudens!K8</f>
        <v>0</v>
      </c>
      <c r="L4" s="444">
        <f>huishoudens!L8</f>
        <v>0</v>
      </c>
      <c r="M4" s="444">
        <f>huishoudens!M8</f>
        <v>0</v>
      </c>
      <c r="N4" s="444">
        <f>huishoudens!N8</f>
        <v>7666.0417727114718</v>
      </c>
      <c r="O4" s="444">
        <f>huishoudens!O8</f>
        <v>287.65333333333336</v>
      </c>
      <c r="P4" s="445">
        <f>huishoudens!P8</f>
        <v>629.20000000000005</v>
      </c>
      <c r="Q4" s="446">
        <f>SUM(B4:P4)</f>
        <v>148757.01489407479</v>
      </c>
    </row>
    <row r="5" spans="1:17">
      <c r="A5" s="443" t="s">
        <v>149</v>
      </c>
      <c r="B5" s="444">
        <f ca="1">tertiair!B16</f>
        <v>15456.095600000001</v>
      </c>
      <c r="C5" s="444">
        <f ca="1">tertiair!C16</f>
        <v>450.00000000000011</v>
      </c>
      <c r="D5" s="444">
        <f ca="1">tertiair!D16</f>
        <v>16329.204173639748</v>
      </c>
      <c r="E5" s="444">
        <f>tertiair!E16</f>
        <v>152.48847815314943</v>
      </c>
      <c r="F5" s="444">
        <f ca="1">tertiair!F16</f>
        <v>2302.2686009845561</v>
      </c>
      <c r="G5" s="444">
        <f>tertiair!G16</f>
        <v>0</v>
      </c>
      <c r="H5" s="444">
        <f>tertiair!H16</f>
        <v>0</v>
      </c>
      <c r="I5" s="444">
        <f>tertiair!I16</f>
        <v>0</v>
      </c>
      <c r="J5" s="444">
        <f>tertiair!J16</f>
        <v>0</v>
      </c>
      <c r="K5" s="444">
        <f>tertiair!K16</f>
        <v>0</v>
      </c>
      <c r="L5" s="444">
        <f ca="1">tertiair!L16</f>
        <v>0</v>
      </c>
      <c r="M5" s="444">
        <f>tertiair!M16</f>
        <v>0</v>
      </c>
      <c r="N5" s="444">
        <f ca="1">tertiair!N16</f>
        <v>1699.7804395934058</v>
      </c>
      <c r="O5" s="444">
        <f>tertiair!O16</f>
        <v>1.5633333333333335</v>
      </c>
      <c r="P5" s="445">
        <f>tertiair!P16</f>
        <v>57.2</v>
      </c>
      <c r="Q5" s="443">
        <f t="shared" ref="Q5:Q14" ca="1" si="0">SUM(B5:P5)</f>
        <v>36448.600625704188</v>
      </c>
    </row>
    <row r="6" spans="1:17">
      <c r="A6" s="443" t="s">
        <v>187</v>
      </c>
      <c r="B6" s="444">
        <f>'openbare verlichting'!B8</f>
        <v>891.44899999999996</v>
      </c>
      <c r="C6" s="444"/>
      <c r="D6" s="444"/>
      <c r="E6" s="444"/>
      <c r="F6" s="444"/>
      <c r="G6" s="444"/>
      <c r="H6" s="444"/>
      <c r="I6" s="444"/>
      <c r="J6" s="444"/>
      <c r="K6" s="444"/>
      <c r="L6" s="444"/>
      <c r="M6" s="444"/>
      <c r="N6" s="444"/>
      <c r="O6" s="444"/>
      <c r="P6" s="445"/>
      <c r="Q6" s="443">
        <f t="shared" si="0"/>
        <v>891.44899999999996</v>
      </c>
    </row>
    <row r="7" spans="1:17">
      <c r="A7" s="443" t="s">
        <v>105</v>
      </c>
      <c r="B7" s="444">
        <f>landbouw!B8</f>
        <v>1343.8243</v>
      </c>
      <c r="C7" s="444">
        <f>landbouw!C8</f>
        <v>27887.785714285714</v>
      </c>
      <c r="D7" s="444">
        <f>landbouw!D8</f>
        <v>0</v>
      </c>
      <c r="E7" s="444">
        <f>landbouw!E8</f>
        <v>12.447063511954669</v>
      </c>
      <c r="F7" s="444">
        <f>landbouw!F8</f>
        <v>3409.5382473664399</v>
      </c>
      <c r="G7" s="444">
        <f>landbouw!G8</f>
        <v>0</v>
      </c>
      <c r="H7" s="444">
        <f>landbouw!H8</f>
        <v>0</v>
      </c>
      <c r="I7" s="444">
        <f>landbouw!I8</f>
        <v>0</v>
      </c>
      <c r="J7" s="444">
        <f>landbouw!J8</f>
        <v>206.02326231295854</v>
      </c>
      <c r="K7" s="444">
        <f>landbouw!K8</f>
        <v>0</v>
      </c>
      <c r="L7" s="444">
        <f>landbouw!L8</f>
        <v>0</v>
      </c>
      <c r="M7" s="444">
        <f>landbouw!M8</f>
        <v>0</v>
      </c>
      <c r="N7" s="444">
        <f>landbouw!N8</f>
        <v>0</v>
      </c>
      <c r="O7" s="444">
        <f>landbouw!O8</f>
        <v>0</v>
      </c>
      <c r="P7" s="445">
        <f>landbouw!P8</f>
        <v>0</v>
      </c>
      <c r="Q7" s="443">
        <f t="shared" si="0"/>
        <v>32859.618587477067</v>
      </c>
    </row>
    <row r="8" spans="1:17">
      <c r="A8" s="443" t="s">
        <v>637</v>
      </c>
      <c r="B8" s="444">
        <f>industrie!B18</f>
        <v>236524.31690000001</v>
      </c>
      <c r="C8" s="444">
        <f>industrie!C18</f>
        <v>0</v>
      </c>
      <c r="D8" s="444">
        <f>industrie!D18</f>
        <v>450666.29723151593</v>
      </c>
      <c r="E8" s="444">
        <f>industrie!E18</f>
        <v>2740.337393874082</v>
      </c>
      <c r="F8" s="444">
        <f>industrie!F18</f>
        <v>49262.656501629506</v>
      </c>
      <c r="G8" s="444">
        <f>industrie!G18</f>
        <v>0</v>
      </c>
      <c r="H8" s="444">
        <f>industrie!H18</f>
        <v>0</v>
      </c>
      <c r="I8" s="444">
        <f>industrie!I18</f>
        <v>0</v>
      </c>
      <c r="J8" s="444">
        <f>industrie!J18</f>
        <v>42103.452865996995</v>
      </c>
      <c r="K8" s="444">
        <f>industrie!K18</f>
        <v>0</v>
      </c>
      <c r="L8" s="444">
        <f>industrie!L18</f>
        <v>0</v>
      </c>
      <c r="M8" s="444">
        <f>industrie!M18</f>
        <v>0</v>
      </c>
      <c r="N8" s="444">
        <f>industrie!N18</f>
        <v>9168.277408464055</v>
      </c>
      <c r="O8" s="444">
        <f>industrie!O18</f>
        <v>0</v>
      </c>
      <c r="P8" s="445">
        <f>industrie!P18</f>
        <v>0</v>
      </c>
      <c r="Q8" s="443">
        <f t="shared" si="0"/>
        <v>790465.33830148051</v>
      </c>
    </row>
    <row r="9" spans="1:17" s="449" customFormat="1">
      <c r="A9" s="447" t="s">
        <v>558</v>
      </c>
      <c r="B9" s="448">
        <f>transport!B14</f>
        <v>9.2113645776221631</v>
      </c>
      <c r="C9" s="448">
        <f>transport!C14</f>
        <v>0</v>
      </c>
      <c r="D9" s="448">
        <f>transport!D14</f>
        <v>14.470613982751669</v>
      </c>
      <c r="E9" s="448">
        <f>transport!E14</f>
        <v>141.09183516913563</v>
      </c>
      <c r="F9" s="448">
        <f>transport!F14</f>
        <v>0</v>
      </c>
      <c r="G9" s="448">
        <f>transport!G14</f>
        <v>44693.953911527773</v>
      </c>
      <c r="H9" s="448">
        <f>transport!H14</f>
        <v>8352.7454718988611</v>
      </c>
      <c r="I9" s="448">
        <f>transport!I14</f>
        <v>0</v>
      </c>
      <c r="J9" s="448">
        <f>transport!J14</f>
        <v>0</v>
      </c>
      <c r="K9" s="448">
        <f>transport!K14</f>
        <v>0</v>
      </c>
      <c r="L9" s="448">
        <f>transport!L14</f>
        <v>0</v>
      </c>
      <c r="M9" s="448">
        <f>transport!M14</f>
        <v>2846.0108049122191</v>
      </c>
      <c r="N9" s="448">
        <f>transport!N14</f>
        <v>0</v>
      </c>
      <c r="O9" s="448">
        <f>transport!O14</f>
        <v>0</v>
      </c>
      <c r="P9" s="448">
        <f>transport!P14</f>
        <v>0</v>
      </c>
      <c r="Q9" s="447">
        <f>SUM(B9:P9)</f>
        <v>56057.484002068362</v>
      </c>
    </row>
    <row r="10" spans="1:17">
      <c r="A10" s="443" t="s">
        <v>548</v>
      </c>
      <c r="B10" s="444">
        <f>transport!B54</f>
        <v>13.578512538656595</v>
      </c>
      <c r="C10" s="444">
        <f>transport!C54</f>
        <v>0</v>
      </c>
      <c r="D10" s="444">
        <f>transport!D54</f>
        <v>0</v>
      </c>
      <c r="E10" s="444">
        <f>transport!E54</f>
        <v>0</v>
      </c>
      <c r="F10" s="444">
        <f>transport!F54</f>
        <v>0</v>
      </c>
      <c r="G10" s="444">
        <f>transport!G54</f>
        <v>2572.9489583010409</v>
      </c>
      <c r="H10" s="444">
        <f>transport!H54</f>
        <v>0</v>
      </c>
      <c r="I10" s="444">
        <f>transport!I54</f>
        <v>0</v>
      </c>
      <c r="J10" s="444">
        <f>transport!J54</f>
        <v>0</v>
      </c>
      <c r="K10" s="444">
        <f>transport!K54</f>
        <v>0</v>
      </c>
      <c r="L10" s="444">
        <f>transport!L54</f>
        <v>0</v>
      </c>
      <c r="M10" s="444">
        <f>transport!M54</f>
        <v>148.11961830581694</v>
      </c>
      <c r="N10" s="444">
        <f>transport!N54</f>
        <v>0</v>
      </c>
      <c r="O10" s="444">
        <f>transport!O54</f>
        <v>0</v>
      </c>
      <c r="P10" s="445">
        <f>transport!P54</f>
        <v>0</v>
      </c>
      <c r="Q10" s="443">
        <f t="shared" si="0"/>
        <v>2734.6470891455142</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1650.087</v>
      </c>
      <c r="C14" s="451"/>
      <c r="D14" s="451">
        <f>'SEAP template'!E25</f>
        <v>2313.4144807007201</v>
      </c>
      <c r="E14" s="451"/>
      <c r="F14" s="451"/>
      <c r="G14" s="451"/>
      <c r="H14" s="451"/>
      <c r="I14" s="451"/>
      <c r="J14" s="451"/>
      <c r="K14" s="451"/>
      <c r="L14" s="451"/>
      <c r="M14" s="451"/>
      <c r="N14" s="451"/>
      <c r="O14" s="451"/>
      <c r="P14" s="452"/>
      <c r="Q14" s="443">
        <f t="shared" si="0"/>
        <v>3963.5014807007201</v>
      </c>
    </row>
    <row r="15" spans="1:17" s="453" customFormat="1">
      <c r="A15" s="1009" t="s">
        <v>552</v>
      </c>
      <c r="B15" s="949">
        <f ca="1">SUM(B4:B14)</f>
        <v>287652.86317114264</v>
      </c>
      <c r="C15" s="949">
        <f t="shared" ref="C15:Q15" ca="1" si="1">SUM(C4:C14)</f>
        <v>28337.785714285714</v>
      </c>
      <c r="D15" s="949">
        <f t="shared" ca="1" si="1"/>
        <v>544533.91995508329</v>
      </c>
      <c r="E15" s="949">
        <f t="shared" si="1"/>
        <v>4043.8629670682444</v>
      </c>
      <c r="F15" s="949">
        <f t="shared" ca="1" si="1"/>
        <v>86442.419444990868</v>
      </c>
      <c r="G15" s="949">
        <f t="shared" si="1"/>
        <v>47266.902869828817</v>
      </c>
      <c r="H15" s="949">
        <f t="shared" si="1"/>
        <v>8352.7454718988611</v>
      </c>
      <c r="I15" s="949">
        <f t="shared" si="1"/>
        <v>0</v>
      </c>
      <c r="J15" s="949">
        <f t="shared" si="1"/>
        <v>43043.307675699099</v>
      </c>
      <c r="K15" s="949">
        <f t="shared" si="1"/>
        <v>0</v>
      </c>
      <c r="L15" s="949">
        <f t="shared" ca="1" si="1"/>
        <v>0</v>
      </c>
      <c r="M15" s="949">
        <f t="shared" si="1"/>
        <v>2994.130423218036</v>
      </c>
      <c r="N15" s="949">
        <f t="shared" ca="1" si="1"/>
        <v>18534.099620768931</v>
      </c>
      <c r="O15" s="949">
        <f t="shared" si="1"/>
        <v>289.2166666666667</v>
      </c>
      <c r="P15" s="949">
        <f t="shared" si="1"/>
        <v>686.40000000000009</v>
      </c>
      <c r="Q15" s="949">
        <f t="shared" ca="1" si="1"/>
        <v>1072177.6539806512</v>
      </c>
    </row>
    <row r="17" spans="1:17">
      <c r="A17" s="454" t="s">
        <v>553</v>
      </c>
      <c r="B17" s="753">
        <f ca="1">huishoudens!B10</f>
        <v>0.2153874236840512</v>
      </c>
      <c r="C17" s="753">
        <f ca="1">huishoudens!C10</f>
        <v>0.23607823565441696</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6841.630848534377</v>
      </c>
      <c r="C22" s="444">
        <f t="shared" ref="C22:C32" ca="1" si="3">C4*$C$17</f>
        <v>0</v>
      </c>
      <c r="D22" s="444">
        <f t="shared" ref="D22:D32" si="4">D4*$D$17</f>
        <v>15192.527757959318</v>
      </c>
      <c r="E22" s="444">
        <f t="shared" ref="E22:E32" si="5">E4*$E$17</f>
        <v>226.43209057370251</v>
      </c>
      <c r="F22" s="444">
        <f t="shared" ref="F22:F32" si="6">F4*$F$17</f>
        <v>8401.9442773677674</v>
      </c>
      <c r="G22" s="444">
        <f t="shared" ref="G22:G32" si="7">G4*$G$17</f>
        <v>0</v>
      </c>
      <c r="H22" s="444">
        <f t="shared" ref="H22:H32" si="8">H4*$H$17</f>
        <v>0</v>
      </c>
      <c r="I22" s="444">
        <f t="shared" ref="I22:I32" si="9">I4*$I$17</f>
        <v>0</v>
      </c>
      <c r="J22" s="444">
        <f t="shared" ref="J22:J32" si="10">J4*$J$17</f>
        <v>259.7763677757589</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30922.311342210927</v>
      </c>
    </row>
    <row r="23" spans="1:17">
      <c r="A23" s="443" t="s">
        <v>149</v>
      </c>
      <c r="B23" s="444">
        <f t="shared" ca="1" si="2"/>
        <v>3329.0486114983996</v>
      </c>
      <c r="C23" s="444">
        <f t="shared" ca="1" si="3"/>
        <v>106.23520604448765</v>
      </c>
      <c r="D23" s="444">
        <f t="shared" ca="1" si="4"/>
        <v>3298.4992430752291</v>
      </c>
      <c r="E23" s="444">
        <f t="shared" si="5"/>
        <v>34.614884540764919</v>
      </c>
      <c r="F23" s="444">
        <f t="shared" ca="1" si="6"/>
        <v>614.70571646287647</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7383.103661621758</v>
      </c>
    </row>
    <row r="24" spans="1:17">
      <c r="A24" s="443" t="s">
        <v>187</v>
      </c>
      <c r="B24" s="444">
        <f t="shared" ca="1" si="2"/>
        <v>192.00690345572374</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192.00690345572374</v>
      </c>
    </row>
    <row r="25" spans="1:17">
      <c r="A25" s="443" t="s">
        <v>105</v>
      </c>
      <c r="B25" s="444">
        <f t="shared" ca="1" si="2"/>
        <v>289.44285386102354</v>
      </c>
      <c r="C25" s="444">
        <f t="shared" ca="1" si="3"/>
        <v>6583.6992477370259</v>
      </c>
      <c r="D25" s="444">
        <f t="shared" si="4"/>
        <v>0</v>
      </c>
      <c r="E25" s="444">
        <f t="shared" si="5"/>
        <v>2.82548341721371</v>
      </c>
      <c r="F25" s="444">
        <f t="shared" si="6"/>
        <v>910.34671204683946</v>
      </c>
      <c r="G25" s="444">
        <f t="shared" si="7"/>
        <v>0</v>
      </c>
      <c r="H25" s="444">
        <f t="shared" si="8"/>
        <v>0</v>
      </c>
      <c r="I25" s="444">
        <f t="shared" si="9"/>
        <v>0</v>
      </c>
      <c r="J25" s="444">
        <f t="shared" si="10"/>
        <v>72.932234858787325</v>
      </c>
      <c r="K25" s="444">
        <f t="shared" si="11"/>
        <v>0</v>
      </c>
      <c r="L25" s="444">
        <f t="shared" si="12"/>
        <v>0</v>
      </c>
      <c r="M25" s="444">
        <f t="shared" si="13"/>
        <v>0</v>
      </c>
      <c r="N25" s="444">
        <f t="shared" si="14"/>
        <v>0</v>
      </c>
      <c r="O25" s="444">
        <f t="shared" si="15"/>
        <v>0</v>
      </c>
      <c r="P25" s="445">
        <f t="shared" si="16"/>
        <v>0</v>
      </c>
      <c r="Q25" s="443">
        <f t="shared" ca="1" si="17"/>
        <v>7859.2465319208904</v>
      </c>
    </row>
    <row r="26" spans="1:17">
      <c r="A26" s="443" t="s">
        <v>637</v>
      </c>
      <c r="B26" s="444">
        <f t="shared" ca="1" si="2"/>
        <v>50944.363255721095</v>
      </c>
      <c r="C26" s="444">
        <f t="shared" ca="1" si="3"/>
        <v>0</v>
      </c>
      <c r="D26" s="444">
        <f t="shared" si="4"/>
        <v>91034.59204076622</v>
      </c>
      <c r="E26" s="444">
        <f t="shared" si="5"/>
        <v>622.05658840941658</v>
      </c>
      <c r="F26" s="444">
        <f t="shared" si="6"/>
        <v>13153.12928593508</v>
      </c>
      <c r="G26" s="444">
        <f t="shared" si="7"/>
        <v>0</v>
      </c>
      <c r="H26" s="444">
        <f t="shared" si="8"/>
        <v>0</v>
      </c>
      <c r="I26" s="444">
        <f t="shared" si="9"/>
        <v>0</v>
      </c>
      <c r="J26" s="444">
        <f t="shared" si="10"/>
        <v>14904.622314562936</v>
      </c>
      <c r="K26" s="444">
        <f t="shared" si="11"/>
        <v>0</v>
      </c>
      <c r="L26" s="444">
        <f t="shared" si="12"/>
        <v>0</v>
      </c>
      <c r="M26" s="444">
        <f t="shared" si="13"/>
        <v>0</v>
      </c>
      <c r="N26" s="444">
        <f t="shared" si="14"/>
        <v>0</v>
      </c>
      <c r="O26" s="444">
        <f t="shared" si="15"/>
        <v>0</v>
      </c>
      <c r="P26" s="445">
        <f t="shared" si="16"/>
        <v>0</v>
      </c>
      <c r="Q26" s="443">
        <f t="shared" ca="1" si="17"/>
        <v>170658.76348539474</v>
      </c>
    </row>
    <row r="27" spans="1:17" s="449" customFormat="1">
      <c r="A27" s="447" t="s">
        <v>558</v>
      </c>
      <c r="B27" s="747">
        <f t="shared" ca="1" si="2"/>
        <v>1.9840120849885661</v>
      </c>
      <c r="C27" s="448">
        <f t="shared" ca="1" si="3"/>
        <v>0</v>
      </c>
      <c r="D27" s="448">
        <f t="shared" si="4"/>
        <v>2.9230640245158375</v>
      </c>
      <c r="E27" s="448">
        <f t="shared" si="5"/>
        <v>32.027846583393789</v>
      </c>
      <c r="F27" s="448">
        <f t="shared" si="6"/>
        <v>0</v>
      </c>
      <c r="G27" s="448">
        <f t="shared" si="7"/>
        <v>11933.285694377915</v>
      </c>
      <c r="H27" s="448">
        <f t="shared" si="8"/>
        <v>2079.8336225028165</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14050.05423957363</v>
      </c>
    </row>
    <row r="28" spans="1:17">
      <c r="A28" s="443" t="s">
        <v>548</v>
      </c>
      <c r="B28" s="444">
        <f t="shared" ca="1" si="2"/>
        <v>2.9246408331628295</v>
      </c>
      <c r="C28" s="444">
        <f t="shared" ca="1" si="3"/>
        <v>0</v>
      </c>
      <c r="D28" s="444">
        <f t="shared" si="4"/>
        <v>0</v>
      </c>
      <c r="E28" s="444">
        <f t="shared" si="5"/>
        <v>0</v>
      </c>
      <c r="F28" s="444">
        <f t="shared" si="6"/>
        <v>0</v>
      </c>
      <c r="G28" s="444">
        <f t="shared" si="7"/>
        <v>686.97737186637801</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689.90201269954082</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355.40798778454501</v>
      </c>
      <c r="C32" s="444">
        <f t="shared" ca="1" si="3"/>
        <v>0</v>
      </c>
      <c r="D32" s="444">
        <f t="shared" si="4"/>
        <v>467.3097251015455</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822.71771288609057</v>
      </c>
    </row>
    <row r="33" spans="1:17" s="453" customFormat="1">
      <c r="A33" s="1009" t="s">
        <v>552</v>
      </c>
      <c r="B33" s="949">
        <f ca="1">SUM(B22:B32)</f>
        <v>61956.809113773314</v>
      </c>
      <c r="C33" s="949">
        <f t="shared" ref="C33:Q33" ca="1" si="18">SUM(C22:C32)</f>
        <v>6689.9344537815132</v>
      </c>
      <c r="D33" s="949">
        <f t="shared" ca="1" si="18"/>
        <v>109995.85183092683</v>
      </c>
      <c r="E33" s="949">
        <f t="shared" si="18"/>
        <v>917.95689352449153</v>
      </c>
      <c r="F33" s="949">
        <f t="shared" ca="1" si="18"/>
        <v>23080.125991812565</v>
      </c>
      <c r="G33" s="949">
        <f t="shared" si="18"/>
        <v>12620.263066244293</v>
      </c>
      <c r="H33" s="949">
        <f t="shared" si="18"/>
        <v>2079.8336225028165</v>
      </c>
      <c r="I33" s="949">
        <f t="shared" si="18"/>
        <v>0</v>
      </c>
      <c r="J33" s="949">
        <f t="shared" si="18"/>
        <v>15237.330917197482</v>
      </c>
      <c r="K33" s="949">
        <f t="shared" si="18"/>
        <v>0</v>
      </c>
      <c r="L33" s="949">
        <f t="shared" ca="1" si="18"/>
        <v>0</v>
      </c>
      <c r="M33" s="949">
        <f t="shared" si="18"/>
        <v>0</v>
      </c>
      <c r="N33" s="949">
        <f t="shared" ca="1" si="18"/>
        <v>0</v>
      </c>
      <c r="O33" s="949">
        <f t="shared" si="18"/>
        <v>0</v>
      </c>
      <c r="P33" s="949">
        <f t="shared" si="18"/>
        <v>0</v>
      </c>
      <c r="Q33" s="949">
        <f t="shared" ca="1" si="18"/>
        <v>232578.1058897633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8658.6982565442268</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130.94999999999999</v>
      </c>
      <c r="C8" s="1026">
        <f>'SEAP template'!C76</f>
        <v>19705.5</v>
      </c>
      <c r="D8" s="1026">
        <f>'SEAP template'!D76</f>
        <v>23182.941176470591</v>
      </c>
      <c r="E8" s="1026">
        <f>'SEAP template'!E76</f>
        <v>0</v>
      </c>
      <c r="F8" s="1026">
        <f>'SEAP template'!F76</f>
        <v>0</v>
      </c>
      <c r="G8" s="1026">
        <f>'SEAP template'!G76</f>
        <v>0</v>
      </c>
      <c r="H8" s="1026">
        <f>'SEAP template'!H76</f>
        <v>0</v>
      </c>
      <c r="I8" s="1026">
        <f>'SEAP template'!I76</f>
        <v>0</v>
      </c>
      <c r="J8" s="1026">
        <f>'SEAP template'!J76</f>
        <v>154.05882352941177</v>
      </c>
      <c r="K8" s="1026">
        <f>'SEAP template'!K76</f>
        <v>0</v>
      </c>
      <c r="L8" s="1026">
        <f>'SEAP template'!L76</f>
        <v>0</v>
      </c>
      <c r="M8" s="1026">
        <f>'SEAP template'!M76</f>
        <v>0</v>
      </c>
      <c r="N8" s="1026">
        <f>'SEAP template'!N76</f>
        <v>0</v>
      </c>
      <c r="O8" s="1026">
        <f>'SEAP template'!O76</f>
        <v>0</v>
      </c>
      <c r="P8" s="1027">
        <f>'SEAP template'!Q76</f>
        <v>4682.9541176470593</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8789.6482565442275</v>
      </c>
      <c r="C10" s="1030">
        <f>SUM(C4:C9)</f>
        <v>19705.5</v>
      </c>
      <c r="D10" s="1030">
        <f t="shared" ref="D10:H10" si="0">SUM(D8:D9)</f>
        <v>23182.941176470591</v>
      </c>
      <c r="E10" s="1030">
        <f t="shared" si="0"/>
        <v>0</v>
      </c>
      <c r="F10" s="1030">
        <f t="shared" si="0"/>
        <v>0</v>
      </c>
      <c r="G10" s="1030">
        <f t="shared" si="0"/>
        <v>0</v>
      </c>
      <c r="H10" s="1030">
        <f t="shared" si="0"/>
        <v>0</v>
      </c>
      <c r="I10" s="1030">
        <f>SUM(I8:I9)</f>
        <v>0</v>
      </c>
      <c r="J10" s="1030">
        <f>SUM(J8:J9)</f>
        <v>154.05882352941177</v>
      </c>
      <c r="K10" s="1030">
        <f t="shared" ref="K10:L10" si="1">SUM(K8:K9)</f>
        <v>0</v>
      </c>
      <c r="L10" s="1030">
        <f t="shared" si="1"/>
        <v>0</v>
      </c>
      <c r="M10" s="1030">
        <f>SUM(M8:M9)</f>
        <v>0</v>
      </c>
      <c r="N10" s="1030">
        <f>SUM(N8:N9)</f>
        <v>0</v>
      </c>
      <c r="O10" s="1030">
        <f>SUM(O8:O9)</f>
        <v>0</v>
      </c>
      <c r="P10" s="1030">
        <f>SUM(P8:P9)</f>
        <v>4682.9541176470593</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0.2153874236840512</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187.07142857142856</v>
      </c>
      <c r="C17" s="1032">
        <f>'SEAP template'!C87</f>
        <v>28150.71428571429</v>
      </c>
      <c r="D17" s="1027">
        <f>'SEAP template'!D87</f>
        <v>33118.487394957985</v>
      </c>
      <c r="E17" s="1027">
        <f>'SEAP template'!E87</f>
        <v>0</v>
      </c>
      <c r="F17" s="1027">
        <f>'SEAP template'!F87</f>
        <v>0</v>
      </c>
      <c r="G17" s="1027">
        <f>'SEAP template'!G87</f>
        <v>0</v>
      </c>
      <c r="H17" s="1027">
        <f>'SEAP template'!H87</f>
        <v>0</v>
      </c>
      <c r="I17" s="1027">
        <f>'SEAP template'!I87</f>
        <v>0</v>
      </c>
      <c r="J17" s="1027">
        <f>'SEAP template'!J87</f>
        <v>220.08403361344537</v>
      </c>
      <c r="K17" s="1027">
        <f>'SEAP template'!K87</f>
        <v>0</v>
      </c>
      <c r="L17" s="1027">
        <f>'SEAP template'!L87</f>
        <v>0</v>
      </c>
      <c r="M17" s="1027">
        <f>'SEAP template'!M87</f>
        <v>0</v>
      </c>
      <c r="N17" s="1027">
        <f>'SEAP template'!N87</f>
        <v>0</v>
      </c>
      <c r="O17" s="1027">
        <f>'SEAP template'!O87</f>
        <v>0</v>
      </c>
      <c r="P17" s="1027">
        <f>'SEAP template'!Q87</f>
        <v>6689.9344537815132</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187.07142857142856</v>
      </c>
      <c r="C20" s="1030">
        <f>SUM(C17:C19)</f>
        <v>28150.71428571429</v>
      </c>
      <c r="D20" s="1030">
        <f t="shared" ref="D20:H20" si="2">SUM(D17:D19)</f>
        <v>33118.487394957985</v>
      </c>
      <c r="E20" s="1030">
        <f t="shared" si="2"/>
        <v>0</v>
      </c>
      <c r="F20" s="1030">
        <f t="shared" si="2"/>
        <v>0</v>
      </c>
      <c r="G20" s="1030">
        <f t="shared" si="2"/>
        <v>0</v>
      </c>
      <c r="H20" s="1030">
        <f t="shared" si="2"/>
        <v>0</v>
      </c>
      <c r="I20" s="1030">
        <f>SUM(I17:I19)</f>
        <v>0</v>
      </c>
      <c r="J20" s="1030">
        <f>SUM(J17:J19)</f>
        <v>220.08403361344537</v>
      </c>
      <c r="K20" s="1030">
        <f t="shared" ref="K20:L20" si="3">SUM(K17:K19)</f>
        <v>0</v>
      </c>
      <c r="L20" s="1030">
        <f t="shared" si="3"/>
        <v>0</v>
      </c>
      <c r="M20" s="1030">
        <f>SUM(M17:M19)</f>
        <v>0</v>
      </c>
      <c r="N20" s="1030">
        <f>SUM(N17:N19)</f>
        <v>0</v>
      </c>
      <c r="O20" s="1030">
        <f>SUM(O17:O19)</f>
        <v>0</v>
      </c>
      <c r="P20" s="1030">
        <f>SUM(P17:P19)</f>
        <v>6689.9344537815132</v>
      </c>
    </row>
    <row r="22" spans="1:16">
      <c r="A22" s="454" t="s">
        <v>853</v>
      </c>
      <c r="B22" s="753" t="s">
        <v>847</v>
      </c>
      <c r="C22" s="753">
        <f ca="1">'EF ele_warmte'!B22</f>
        <v>0.23607823565441696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0.2153874236840512</v>
      </c>
      <c r="C17" s="491">
        <f ca="1">'EF ele_warmte'!B22</f>
        <v>0.23607823565441696</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0.2153874236840512</v>
      </c>
      <c r="C17" s="491">
        <f ca="1">'EF ele_warmte'!B22</f>
        <v>0.23607823565441696</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0.2153874236840512</v>
      </c>
      <c r="C29" s="492">
        <f ca="1">'EF ele_warmte'!B22</f>
        <v>0.23607823565441696</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6894</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1460</v>
      </c>
      <c r="C14" s="324"/>
      <c r="D14" s="324"/>
      <c r="E14" s="324"/>
      <c r="F14" s="324"/>
    </row>
    <row r="15" spans="1:6">
      <c r="A15" s="1302" t="s">
        <v>177</v>
      </c>
      <c r="B15" s="1303">
        <v>3040</v>
      </c>
      <c r="C15" s="324"/>
      <c r="D15" s="324"/>
      <c r="E15" s="324"/>
      <c r="F15" s="324"/>
    </row>
    <row r="16" spans="1:6">
      <c r="A16" s="1302" t="s">
        <v>6</v>
      </c>
      <c r="B16" s="1303">
        <v>690</v>
      </c>
      <c r="C16" s="324"/>
      <c r="D16" s="324"/>
      <c r="E16" s="324"/>
      <c r="F16" s="324"/>
    </row>
    <row r="17" spans="1:6">
      <c r="A17" s="1302" t="s">
        <v>7</v>
      </c>
      <c r="B17" s="1303">
        <v>417</v>
      </c>
      <c r="C17" s="324"/>
      <c r="D17" s="324"/>
      <c r="E17" s="324"/>
      <c r="F17" s="324"/>
    </row>
    <row r="18" spans="1:6">
      <c r="A18" s="1302" t="s">
        <v>8</v>
      </c>
      <c r="B18" s="1303">
        <v>592</v>
      </c>
      <c r="C18" s="324"/>
      <c r="D18" s="324"/>
      <c r="E18" s="324"/>
      <c r="F18" s="324"/>
    </row>
    <row r="19" spans="1:6">
      <c r="A19" s="1302" t="s">
        <v>9</v>
      </c>
      <c r="B19" s="1303">
        <v>493</v>
      </c>
      <c r="C19" s="324"/>
      <c r="D19" s="324"/>
      <c r="E19" s="324"/>
      <c r="F19" s="324"/>
    </row>
    <row r="20" spans="1:6">
      <c r="A20" s="1302" t="s">
        <v>10</v>
      </c>
      <c r="B20" s="1303">
        <v>450</v>
      </c>
      <c r="C20" s="324"/>
      <c r="D20" s="324"/>
      <c r="E20" s="324"/>
      <c r="F20" s="324"/>
    </row>
    <row r="21" spans="1:6">
      <c r="A21" s="1302" t="s">
        <v>11</v>
      </c>
      <c r="B21" s="1303">
        <v>116</v>
      </c>
      <c r="C21" s="324"/>
      <c r="D21" s="324"/>
      <c r="E21" s="324"/>
      <c r="F21" s="324"/>
    </row>
    <row r="22" spans="1:6">
      <c r="A22" s="1302" t="s">
        <v>12</v>
      </c>
      <c r="B22" s="1303">
        <v>2114</v>
      </c>
      <c r="C22" s="324"/>
      <c r="D22" s="324"/>
      <c r="E22" s="324"/>
      <c r="F22" s="324"/>
    </row>
    <row r="23" spans="1:6">
      <c r="A23" s="1302" t="s">
        <v>13</v>
      </c>
      <c r="B23" s="1303">
        <v>0</v>
      </c>
      <c r="C23" s="324"/>
      <c r="D23" s="324"/>
      <c r="E23" s="324"/>
      <c r="F23" s="324"/>
    </row>
    <row r="24" spans="1:6">
      <c r="A24" s="1302" t="s">
        <v>14</v>
      </c>
      <c r="B24" s="1303">
        <v>0</v>
      </c>
      <c r="C24" s="324"/>
      <c r="D24" s="324"/>
      <c r="E24" s="324"/>
      <c r="F24" s="324"/>
    </row>
    <row r="25" spans="1:6">
      <c r="A25" s="1302" t="s">
        <v>15</v>
      </c>
      <c r="B25" s="1303">
        <v>2</v>
      </c>
      <c r="C25" s="324"/>
      <c r="D25" s="324"/>
      <c r="E25" s="324"/>
      <c r="F25" s="324"/>
    </row>
    <row r="26" spans="1:6">
      <c r="A26" s="1302" t="s">
        <v>16</v>
      </c>
      <c r="B26" s="1303">
        <v>30</v>
      </c>
      <c r="C26" s="324"/>
      <c r="D26" s="324"/>
      <c r="E26" s="324"/>
      <c r="F26" s="324"/>
    </row>
    <row r="27" spans="1:6">
      <c r="A27" s="1302" t="s">
        <v>17</v>
      </c>
      <c r="B27" s="1303">
        <v>17</v>
      </c>
      <c r="C27" s="324"/>
      <c r="D27" s="324"/>
      <c r="E27" s="324"/>
      <c r="F27" s="324"/>
    </row>
    <row r="28" spans="1:6">
      <c r="A28" s="1302" t="s">
        <v>18</v>
      </c>
      <c r="B28" s="1304">
        <v>187699</v>
      </c>
      <c r="C28" s="324"/>
      <c r="D28" s="324"/>
      <c r="E28" s="324"/>
      <c r="F28" s="324"/>
    </row>
    <row r="29" spans="1:6">
      <c r="A29" s="1302" t="s">
        <v>918</v>
      </c>
      <c r="B29" s="1304">
        <v>120</v>
      </c>
      <c r="C29" s="324"/>
      <c r="D29" s="324"/>
      <c r="E29" s="324"/>
      <c r="F29" s="324"/>
    </row>
    <row r="30" spans="1:6">
      <c r="A30" s="1297" t="s">
        <v>919</v>
      </c>
      <c r="B30" s="1305">
        <v>33</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0</v>
      </c>
      <c r="D38" s="1303">
        <v>0</v>
      </c>
      <c r="E38" s="1303">
        <v>4</v>
      </c>
      <c r="F38" s="1303">
        <v>15225.15</v>
      </c>
    </row>
    <row r="39" spans="1:6">
      <c r="A39" s="1302" t="s">
        <v>29</v>
      </c>
      <c r="B39" s="1302" t="s">
        <v>30</v>
      </c>
      <c r="C39" s="1303">
        <v>5136</v>
      </c>
      <c r="D39" s="1303">
        <v>83381966.136634305</v>
      </c>
      <c r="E39" s="1303">
        <v>6764</v>
      </c>
      <c r="F39" s="1303">
        <v>27395551</v>
      </c>
    </row>
    <row r="40" spans="1:6">
      <c r="A40" s="1302" t="s">
        <v>29</v>
      </c>
      <c r="B40" s="1302" t="s">
        <v>28</v>
      </c>
      <c r="C40" s="1303">
        <v>0</v>
      </c>
      <c r="D40" s="1303">
        <v>0</v>
      </c>
      <c r="E40" s="1303">
        <v>1</v>
      </c>
      <c r="F40" s="1303">
        <v>237</v>
      </c>
    </row>
    <row r="41" spans="1:6">
      <c r="A41" s="1302" t="s">
        <v>31</v>
      </c>
      <c r="B41" s="1302" t="s">
        <v>32</v>
      </c>
      <c r="C41" s="1303">
        <v>76</v>
      </c>
      <c r="D41" s="1303">
        <v>1432942.6446887201</v>
      </c>
      <c r="E41" s="1303">
        <v>157</v>
      </c>
      <c r="F41" s="1303">
        <v>2215073</v>
      </c>
    </row>
    <row r="42" spans="1:6">
      <c r="A42" s="1302" t="s">
        <v>31</v>
      </c>
      <c r="B42" s="1302" t="s">
        <v>33</v>
      </c>
      <c r="C42" s="1303">
        <v>5</v>
      </c>
      <c r="D42" s="1303">
        <v>138485658.99536401</v>
      </c>
      <c r="E42" s="1303">
        <v>4</v>
      </c>
      <c r="F42" s="1303">
        <v>82480191</v>
      </c>
    </row>
    <row r="43" spans="1:6">
      <c r="A43" s="1302" t="s">
        <v>31</v>
      </c>
      <c r="B43" s="1302" t="s">
        <v>34</v>
      </c>
      <c r="C43" s="1303">
        <v>0</v>
      </c>
      <c r="D43" s="1303">
        <v>0</v>
      </c>
      <c r="E43" s="1303">
        <v>0</v>
      </c>
      <c r="F43" s="1303">
        <v>0</v>
      </c>
    </row>
    <row r="44" spans="1:6">
      <c r="A44" s="1302" t="s">
        <v>31</v>
      </c>
      <c r="B44" s="1302" t="s">
        <v>35</v>
      </c>
      <c r="C44" s="1303">
        <v>4</v>
      </c>
      <c r="D44" s="1303">
        <v>109383.630564472</v>
      </c>
      <c r="E44" s="1303">
        <v>23</v>
      </c>
      <c r="F44" s="1303">
        <v>779355.9</v>
      </c>
    </row>
    <row r="45" spans="1:6">
      <c r="A45" s="1302" t="s">
        <v>31</v>
      </c>
      <c r="B45" s="1302" t="s">
        <v>36</v>
      </c>
      <c r="C45" s="1303">
        <v>6</v>
      </c>
      <c r="D45" s="1303">
        <v>318012513.56648803</v>
      </c>
      <c r="E45" s="1303">
        <v>8</v>
      </c>
      <c r="F45" s="1303">
        <v>26389416</v>
      </c>
    </row>
    <row r="46" spans="1:6">
      <c r="A46" s="1302" t="s">
        <v>31</v>
      </c>
      <c r="B46" s="1302" t="s">
        <v>37</v>
      </c>
      <c r="C46" s="1303">
        <v>0</v>
      </c>
      <c r="D46" s="1303">
        <v>0</v>
      </c>
      <c r="E46" s="1303">
        <v>6</v>
      </c>
      <c r="F46" s="1303">
        <v>88797621</v>
      </c>
    </row>
    <row r="47" spans="1:6">
      <c r="A47" s="1302" t="s">
        <v>31</v>
      </c>
      <c r="B47" s="1302" t="s">
        <v>38</v>
      </c>
      <c r="C47" s="1303">
        <v>0</v>
      </c>
      <c r="D47" s="1303">
        <v>0</v>
      </c>
      <c r="E47" s="1303">
        <v>0</v>
      </c>
      <c r="F47" s="1303">
        <v>0</v>
      </c>
    </row>
    <row r="48" spans="1:6">
      <c r="A48" s="1302" t="s">
        <v>31</v>
      </c>
      <c r="B48" s="1302" t="s">
        <v>28</v>
      </c>
      <c r="C48" s="1303">
        <v>31</v>
      </c>
      <c r="D48" s="1303">
        <v>41273784.4798216</v>
      </c>
      <c r="E48" s="1303">
        <v>34</v>
      </c>
      <c r="F48" s="1303">
        <v>23998562</v>
      </c>
    </row>
    <row r="49" spans="1:6">
      <c r="A49" s="1302" t="s">
        <v>31</v>
      </c>
      <c r="B49" s="1302" t="s">
        <v>39</v>
      </c>
      <c r="C49" s="1303">
        <v>0</v>
      </c>
      <c r="D49" s="1303">
        <v>0</v>
      </c>
      <c r="E49" s="1303">
        <v>0</v>
      </c>
      <c r="F49" s="1303">
        <v>0</v>
      </c>
    </row>
    <row r="50" spans="1:6">
      <c r="A50" s="1302" t="s">
        <v>31</v>
      </c>
      <c r="B50" s="1302" t="s">
        <v>40</v>
      </c>
      <c r="C50" s="1303">
        <v>4</v>
      </c>
      <c r="D50" s="1303">
        <v>315757.95969826501</v>
      </c>
      <c r="E50" s="1303">
        <v>14</v>
      </c>
      <c r="F50" s="1303">
        <v>11864098</v>
      </c>
    </row>
    <row r="51" spans="1:6">
      <c r="A51" s="1302" t="s">
        <v>41</v>
      </c>
      <c r="B51" s="1302" t="s">
        <v>42</v>
      </c>
      <c r="C51" s="1303">
        <v>0</v>
      </c>
      <c r="D51" s="1303">
        <v>0</v>
      </c>
      <c r="E51" s="1303">
        <v>61</v>
      </c>
      <c r="F51" s="1303">
        <v>1097142</v>
      </c>
    </row>
    <row r="52" spans="1:6">
      <c r="A52" s="1302" t="s">
        <v>41</v>
      </c>
      <c r="B52" s="1302" t="s">
        <v>28</v>
      </c>
      <c r="C52" s="1303">
        <v>12</v>
      </c>
      <c r="D52" s="1303">
        <v>54321503.610122398</v>
      </c>
      <c r="E52" s="1303">
        <v>6</v>
      </c>
      <c r="F52" s="1303">
        <v>246682.3</v>
      </c>
    </row>
    <row r="53" spans="1:6">
      <c r="A53" s="1302" t="s">
        <v>43</v>
      </c>
      <c r="B53" s="1302" t="s">
        <v>44</v>
      </c>
      <c r="C53" s="1303">
        <v>104</v>
      </c>
      <c r="D53" s="1303">
        <v>2313414.4807007201</v>
      </c>
      <c r="E53" s="1303">
        <v>317</v>
      </c>
      <c r="F53" s="1303">
        <v>1650087</v>
      </c>
    </row>
    <row r="54" spans="1:6">
      <c r="A54" s="1302" t="s">
        <v>45</v>
      </c>
      <c r="B54" s="1302" t="s">
        <v>46</v>
      </c>
      <c r="C54" s="1303">
        <v>0</v>
      </c>
      <c r="D54" s="1303">
        <v>0</v>
      </c>
      <c r="E54" s="1303">
        <v>1</v>
      </c>
      <c r="F54" s="1303">
        <v>891449</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25</v>
      </c>
      <c r="D57" s="1303">
        <v>2327833.6350559602</v>
      </c>
      <c r="E57" s="1303">
        <v>52</v>
      </c>
      <c r="F57" s="1303">
        <v>1890832</v>
      </c>
    </row>
    <row r="58" spans="1:6">
      <c r="A58" s="1302" t="s">
        <v>48</v>
      </c>
      <c r="B58" s="1302" t="s">
        <v>50</v>
      </c>
      <c r="C58" s="1303">
        <v>12</v>
      </c>
      <c r="D58" s="1303">
        <v>1704249.55031115</v>
      </c>
      <c r="E58" s="1303">
        <v>19</v>
      </c>
      <c r="F58" s="1303">
        <v>350844.8</v>
      </c>
    </row>
    <row r="59" spans="1:6">
      <c r="A59" s="1302" t="s">
        <v>48</v>
      </c>
      <c r="B59" s="1302" t="s">
        <v>51</v>
      </c>
      <c r="C59" s="1303">
        <v>82</v>
      </c>
      <c r="D59" s="1303">
        <v>2310464.43960664</v>
      </c>
      <c r="E59" s="1303">
        <v>158</v>
      </c>
      <c r="F59" s="1303">
        <v>4837010</v>
      </c>
    </row>
    <row r="60" spans="1:6">
      <c r="A60" s="1302" t="s">
        <v>48</v>
      </c>
      <c r="B60" s="1302" t="s">
        <v>52</v>
      </c>
      <c r="C60" s="1303">
        <v>79</v>
      </c>
      <c r="D60" s="1303">
        <v>5934888.9192308299</v>
      </c>
      <c r="E60" s="1303">
        <v>76</v>
      </c>
      <c r="F60" s="1303">
        <v>1276727</v>
      </c>
    </row>
    <row r="61" spans="1:6">
      <c r="A61" s="1302" t="s">
        <v>48</v>
      </c>
      <c r="B61" s="1302" t="s">
        <v>53</v>
      </c>
      <c r="C61" s="1303">
        <v>84</v>
      </c>
      <c r="D61" s="1303">
        <v>3197220.1095366101</v>
      </c>
      <c r="E61" s="1303">
        <v>184</v>
      </c>
      <c r="F61" s="1303">
        <v>2985530</v>
      </c>
    </row>
    <row r="62" spans="1:6">
      <c r="A62" s="1302" t="s">
        <v>48</v>
      </c>
      <c r="B62" s="1302" t="s">
        <v>54</v>
      </c>
      <c r="C62" s="1303">
        <v>6</v>
      </c>
      <c r="D62" s="1303">
        <v>363032.23521796498</v>
      </c>
      <c r="E62" s="1303">
        <v>7</v>
      </c>
      <c r="F62" s="1303">
        <v>338328.8</v>
      </c>
    </row>
    <row r="63" spans="1:6">
      <c r="A63" s="1302" t="s">
        <v>48</v>
      </c>
      <c r="B63" s="1302" t="s">
        <v>28</v>
      </c>
      <c r="C63" s="1303">
        <v>86</v>
      </c>
      <c r="D63" s="1303">
        <v>3263424.3855860201</v>
      </c>
      <c r="E63" s="1303">
        <v>95</v>
      </c>
      <c r="F63" s="1303">
        <v>3461823</v>
      </c>
    </row>
    <row r="64" spans="1:6">
      <c r="A64" s="1302" t="s">
        <v>55</v>
      </c>
      <c r="B64" s="1302" t="s">
        <v>56</v>
      </c>
      <c r="C64" s="1303">
        <v>0</v>
      </c>
      <c r="D64" s="1303">
        <v>0</v>
      </c>
      <c r="E64" s="1303">
        <v>0</v>
      </c>
      <c r="F64" s="1303">
        <v>0</v>
      </c>
    </row>
    <row r="65" spans="1:6">
      <c r="A65" s="1302" t="s">
        <v>55</v>
      </c>
      <c r="B65" s="1302" t="s">
        <v>28</v>
      </c>
      <c r="C65" s="1303">
        <v>0</v>
      </c>
      <c r="D65" s="1303">
        <v>0</v>
      </c>
      <c r="E65" s="1303">
        <v>1</v>
      </c>
      <c r="F65" s="1303">
        <v>5592</v>
      </c>
    </row>
    <row r="66" spans="1:6">
      <c r="A66" s="1302" t="s">
        <v>55</v>
      </c>
      <c r="B66" s="1302" t="s">
        <v>57</v>
      </c>
      <c r="C66" s="1303">
        <v>0</v>
      </c>
      <c r="D66" s="1303">
        <v>0</v>
      </c>
      <c r="E66" s="1303">
        <v>9</v>
      </c>
      <c r="F66" s="1303">
        <v>284947.90000000002</v>
      </c>
    </row>
    <row r="67" spans="1:6">
      <c r="A67" s="1302" t="s">
        <v>55</v>
      </c>
      <c r="B67" s="1302" t="s">
        <v>58</v>
      </c>
      <c r="C67" s="1303">
        <v>0</v>
      </c>
      <c r="D67" s="1303">
        <v>0</v>
      </c>
      <c r="E67" s="1303">
        <v>0</v>
      </c>
      <c r="F67" s="1303">
        <v>0</v>
      </c>
    </row>
    <row r="68" spans="1:6">
      <c r="A68" s="1297" t="s">
        <v>55</v>
      </c>
      <c r="B68" s="1297" t="s">
        <v>59</v>
      </c>
      <c r="C68" s="1305">
        <v>3</v>
      </c>
      <c r="D68" s="1305">
        <v>59842.7510638167</v>
      </c>
      <c r="E68" s="1305">
        <v>9</v>
      </c>
      <c r="F68" s="1305">
        <v>37031.42</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57521313</v>
      </c>
      <c r="E73" s="442"/>
      <c r="F73" s="324"/>
    </row>
    <row r="74" spans="1:6">
      <c r="A74" s="1302" t="s">
        <v>63</v>
      </c>
      <c r="B74" s="1302" t="s">
        <v>695</v>
      </c>
      <c r="C74" s="1315" t="s">
        <v>697</v>
      </c>
      <c r="D74" s="1303">
        <v>4797356.1909702858</v>
      </c>
      <c r="E74" s="442"/>
      <c r="F74" s="324"/>
    </row>
    <row r="75" spans="1:6">
      <c r="A75" s="1302" t="s">
        <v>64</v>
      </c>
      <c r="B75" s="1302" t="s">
        <v>694</v>
      </c>
      <c r="C75" s="1315" t="s">
        <v>698</v>
      </c>
      <c r="D75" s="1303">
        <v>9318292</v>
      </c>
      <c r="E75" s="442"/>
      <c r="F75" s="324"/>
    </row>
    <row r="76" spans="1:6">
      <c r="A76" s="1302" t="s">
        <v>64</v>
      </c>
      <c r="B76" s="1302" t="s">
        <v>695</v>
      </c>
      <c r="C76" s="1315" t="s">
        <v>699</v>
      </c>
      <c r="D76" s="1303">
        <v>130123.1909702855</v>
      </c>
      <c r="E76" s="442"/>
      <c r="F76" s="324"/>
    </row>
    <row r="77" spans="1:6">
      <c r="A77" s="1302" t="s">
        <v>65</v>
      </c>
      <c r="B77" s="1302" t="s">
        <v>694</v>
      </c>
      <c r="C77" s="1315" t="s">
        <v>700</v>
      </c>
      <c r="D77" s="1303">
        <v>0</v>
      </c>
      <c r="E77" s="442"/>
      <c r="F77" s="324"/>
    </row>
    <row r="78" spans="1:6">
      <c r="A78" s="1297" t="s">
        <v>65</v>
      </c>
      <c r="B78" s="1297" t="s">
        <v>695</v>
      </c>
      <c r="C78" s="1297" t="s">
        <v>701</v>
      </c>
      <c r="D78" s="1305">
        <v>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734479.61805942899</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4368.5124940263813</v>
      </c>
      <c r="C91" s="324"/>
      <c r="D91" s="324"/>
      <c r="E91" s="324"/>
      <c r="F91" s="324"/>
    </row>
    <row r="92" spans="1:6">
      <c r="A92" s="1297" t="s">
        <v>68</v>
      </c>
      <c r="B92" s="1298">
        <v>4290.1857625178463</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3245</v>
      </c>
      <c r="C97" s="324"/>
      <c r="D97" s="324"/>
      <c r="E97" s="324"/>
      <c r="F97" s="324"/>
    </row>
    <row r="98" spans="1:6">
      <c r="A98" s="1302" t="s">
        <v>71</v>
      </c>
      <c r="B98" s="1303">
        <v>5</v>
      </c>
      <c r="C98" s="324"/>
      <c r="D98" s="324"/>
      <c r="E98" s="324"/>
      <c r="F98" s="324"/>
    </row>
    <row r="99" spans="1:6">
      <c r="A99" s="1302" t="s">
        <v>72</v>
      </c>
      <c r="B99" s="1303">
        <v>40</v>
      </c>
      <c r="C99" s="324"/>
      <c r="D99" s="324"/>
      <c r="E99" s="324"/>
      <c r="F99" s="324"/>
    </row>
    <row r="100" spans="1:6">
      <c r="A100" s="1302" t="s">
        <v>73</v>
      </c>
      <c r="B100" s="1303">
        <v>397</v>
      </c>
      <c r="C100" s="324"/>
      <c r="D100" s="324"/>
      <c r="E100" s="324"/>
      <c r="F100" s="324"/>
    </row>
    <row r="101" spans="1:6">
      <c r="A101" s="1302" t="s">
        <v>74</v>
      </c>
      <c r="B101" s="1303">
        <v>152</v>
      </c>
      <c r="C101" s="324"/>
      <c r="D101" s="324"/>
      <c r="E101" s="324"/>
      <c r="F101" s="324"/>
    </row>
    <row r="102" spans="1:6">
      <c r="A102" s="1302" t="s">
        <v>75</v>
      </c>
      <c r="B102" s="1303">
        <v>60</v>
      </c>
      <c r="C102" s="324"/>
      <c r="D102" s="324"/>
      <c r="E102" s="324"/>
      <c r="F102" s="324"/>
    </row>
    <row r="103" spans="1:6">
      <c r="A103" s="1302" t="s">
        <v>76</v>
      </c>
      <c r="B103" s="1303">
        <v>156</v>
      </c>
      <c r="C103" s="324"/>
      <c r="D103" s="324"/>
      <c r="E103" s="324"/>
      <c r="F103" s="324"/>
    </row>
    <row r="104" spans="1:6">
      <c r="A104" s="1302" t="s">
        <v>77</v>
      </c>
      <c r="B104" s="1303">
        <v>1690</v>
      </c>
      <c r="C104" s="324"/>
      <c r="D104" s="324"/>
      <c r="E104" s="324"/>
      <c r="F104" s="324"/>
    </row>
    <row r="105" spans="1:6">
      <c r="A105" s="1297" t="s">
        <v>78</v>
      </c>
      <c r="B105" s="1305">
        <v>6</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13</v>
      </c>
      <c r="C123" s="1303">
        <v>26</v>
      </c>
      <c r="D123" s="324"/>
      <c r="E123" s="324"/>
      <c r="F123" s="324"/>
    </row>
    <row r="124" spans="1:6">
      <c r="A124" s="1302" t="s">
        <v>88</v>
      </c>
      <c r="B124" s="1303">
        <v>1</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158</v>
      </c>
      <c r="C129" s="324"/>
      <c r="D129" s="324"/>
      <c r="E129" s="324"/>
      <c r="F129" s="324"/>
    </row>
    <row r="130" spans="1:6">
      <c r="A130" s="1302" t="s">
        <v>284</v>
      </c>
      <c r="B130" s="1303">
        <v>1</v>
      </c>
      <c r="C130" s="324"/>
      <c r="D130" s="324"/>
      <c r="E130" s="324"/>
      <c r="F130" s="324"/>
    </row>
    <row r="131" spans="1:6">
      <c r="A131" s="1302" t="s">
        <v>285</v>
      </c>
      <c r="B131" s="1303">
        <v>3</v>
      </c>
      <c r="C131" s="324"/>
      <c r="D131" s="324"/>
      <c r="E131" s="324"/>
      <c r="F131" s="324"/>
    </row>
    <row r="132" spans="1:6">
      <c r="A132" s="1297" t="s">
        <v>286</v>
      </c>
      <c r="B132" s="1298">
        <v>19</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287652.86317114264</v>
      </c>
      <c r="C3" s="43" t="s">
        <v>163</v>
      </c>
      <c r="D3" s="43"/>
      <c r="E3" s="154"/>
      <c r="F3" s="43"/>
      <c r="G3" s="43"/>
      <c r="H3" s="43"/>
      <c r="I3" s="43"/>
      <c r="J3" s="43"/>
      <c r="K3" s="96"/>
    </row>
    <row r="4" spans="1:11">
      <c r="A4" s="351" t="s">
        <v>164</v>
      </c>
      <c r="B4" s="49">
        <f>IF(ISERROR('SEAP template'!B78+'SEAP template'!C78),0,'SEAP template'!B78+'SEAP template'!C78)</f>
        <v>28495.148256544227</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4682.9541176470593</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0.2153874236840512</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6689.9344537815132</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28337.785714285714</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0.23607823565441696</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891.44899999999996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891.44899999999996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0.2153874236840512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192.00690345572374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27395.788</v>
      </c>
      <c r="C5" s="17">
        <f>IF(ISERROR('Eigen informatie GS &amp; warmtenet'!B57),0,'Eigen informatie GS &amp; warmtenet'!B57)</f>
        <v>0</v>
      </c>
      <c r="D5" s="30">
        <f>(SUM(HH_hh_gas_kWh,HH_rest_gas_kWh)/1000)*0.902</f>
        <v>75210.533455244149</v>
      </c>
      <c r="E5" s="17">
        <f>B32*B41</f>
        <v>997.49819635992287</v>
      </c>
      <c r="F5" s="17">
        <f>B36*B45</f>
        <v>31467.956095010362</v>
      </c>
      <c r="G5" s="18"/>
      <c r="H5" s="17"/>
      <c r="I5" s="17"/>
      <c r="J5" s="17">
        <f>B35*B44+C35*C44</f>
        <v>733.83154738914948</v>
      </c>
      <c r="K5" s="17"/>
      <c r="L5" s="17"/>
      <c r="M5" s="17"/>
      <c r="N5" s="17">
        <f>B34*B43+C34*C43</f>
        <v>7666.0417727114718</v>
      </c>
      <c r="O5" s="17">
        <f>B52*B53*B54</f>
        <v>287.65333333333336</v>
      </c>
      <c r="P5" s="17">
        <f>B60*B61*B62/1000-B60*B61*B62/1000/B63</f>
        <v>629.20000000000005</v>
      </c>
    </row>
    <row r="6" spans="1:16">
      <c r="A6" s="16" t="s">
        <v>618</v>
      </c>
      <c r="B6" s="755">
        <f>kWh_PV_kleiner_dan_10kW</f>
        <v>4368.5124940263813</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31764.300494026382</v>
      </c>
      <c r="C8" s="21">
        <f>C5</f>
        <v>0</v>
      </c>
      <c r="D8" s="21">
        <f>D5</f>
        <v>75210.533455244149</v>
      </c>
      <c r="E8" s="21">
        <f>E5</f>
        <v>997.49819635992287</v>
      </c>
      <c r="F8" s="21">
        <f>F5</f>
        <v>31467.956095010362</v>
      </c>
      <c r="G8" s="21"/>
      <c r="H8" s="21"/>
      <c r="I8" s="21"/>
      <c r="J8" s="21">
        <f>J5</f>
        <v>733.83154738914948</v>
      </c>
      <c r="K8" s="21"/>
      <c r="L8" s="21">
        <f>L5</f>
        <v>0</v>
      </c>
      <c r="M8" s="21">
        <f>M5</f>
        <v>0</v>
      </c>
      <c r="N8" s="21">
        <f>N5</f>
        <v>7666.0417727114718</v>
      </c>
      <c r="O8" s="21">
        <f>O5</f>
        <v>287.65333333333336</v>
      </c>
      <c r="P8" s="21">
        <f>P5</f>
        <v>629.20000000000005</v>
      </c>
    </row>
    <row r="9" spans="1:16">
      <c r="B9" s="19"/>
      <c r="C9" s="19"/>
      <c r="D9" s="254"/>
      <c r="E9" s="19"/>
      <c r="F9" s="19"/>
      <c r="G9" s="19"/>
      <c r="H9" s="19"/>
      <c r="I9" s="19"/>
      <c r="J9" s="19"/>
      <c r="K9" s="19"/>
      <c r="L9" s="19"/>
      <c r="M9" s="19"/>
      <c r="N9" s="19"/>
      <c r="O9" s="19"/>
      <c r="P9" s="19"/>
    </row>
    <row r="10" spans="1:16">
      <c r="A10" s="24" t="s">
        <v>207</v>
      </c>
      <c r="B10" s="25">
        <f ca="1">'EF ele_warmte'!B12</f>
        <v>0.2153874236840512</v>
      </c>
      <c r="C10" s="25">
        <f ca="1">'EF ele_warmte'!B22</f>
        <v>0.23607823565441696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6841.630848534377</v>
      </c>
      <c r="C12" s="23">
        <f ca="1">C10*C8</f>
        <v>0</v>
      </c>
      <c r="D12" s="23">
        <f>D8*D10</f>
        <v>15192.527757959318</v>
      </c>
      <c r="E12" s="23">
        <f>E10*E8</f>
        <v>226.43209057370251</v>
      </c>
      <c r="F12" s="23">
        <f>F10*F8</f>
        <v>8401.9442773677674</v>
      </c>
      <c r="G12" s="23"/>
      <c r="H12" s="23"/>
      <c r="I12" s="23"/>
      <c r="J12" s="23">
        <f>J10*J8</f>
        <v>259.7763677757589</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6894</v>
      </c>
      <c r="C26" s="36"/>
      <c r="D26" s="225"/>
    </row>
    <row r="27" spans="1:5" s="15" customFormat="1">
      <c r="A27" s="227" t="s">
        <v>721</v>
      </c>
      <c r="B27" s="37">
        <f>SUM(HH_hh_gas_aantal,HH_rest_gas_aantal)</f>
        <v>5136</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4879.2</v>
      </c>
      <c r="C31" s="34" t="s">
        <v>104</v>
      </c>
      <c r="D31" s="171"/>
    </row>
    <row r="32" spans="1:5">
      <c r="A32" s="168" t="s">
        <v>72</v>
      </c>
      <c r="B32" s="33">
        <f>IF((B21*($B$26-($B$27-0.05*$B$27)-$B$60))&lt;0,0,B21*($B$26-($B$27-0.05*$B$27)-$B$60))</f>
        <v>12.495685887026601</v>
      </c>
      <c r="C32" s="34" t="s">
        <v>104</v>
      </c>
      <c r="D32" s="171"/>
    </row>
    <row r="33" spans="1:6">
      <c r="A33" s="168" t="s">
        <v>73</v>
      </c>
      <c r="B33" s="33">
        <f>IF((B22*($B$26-($B$27-0.05*$B$27)-$B$60))&lt;0,0,B22*($B$26-($B$27-0.05*$B$27)-$B$60))</f>
        <v>435.1451758455849</v>
      </c>
      <c r="C33" s="34" t="s">
        <v>104</v>
      </c>
      <c r="D33" s="171"/>
    </row>
    <row r="34" spans="1:6">
      <c r="A34" s="168" t="s">
        <v>74</v>
      </c>
      <c r="B34" s="33">
        <f>IF((B24*($B$26-($B$27-0.05*$B$27)-$B$60))&lt;0,0,B24*($B$26-($B$27-0.05*$B$27)-$B$60))</f>
        <v>86.374392355429734</v>
      </c>
      <c r="C34" s="33">
        <f>B26*C24</f>
        <v>1410.5102106344959</v>
      </c>
      <c r="D34" s="230"/>
    </row>
    <row r="35" spans="1:6">
      <c r="A35" s="168" t="s">
        <v>76</v>
      </c>
      <c r="B35" s="33">
        <f>IF((B19*($B$26-($B$27-0.05*$B$27)-$B$60))&lt;0,0,B19*($B$26-($B$27-0.05*$B$27)-$B$60))</f>
        <v>42.19880274090945</v>
      </c>
      <c r="C35" s="33">
        <f>B35/2</f>
        <v>21.099401370454725</v>
      </c>
      <c r="D35" s="230"/>
    </row>
    <row r="36" spans="1:6">
      <c r="A36" s="168" t="s">
        <v>77</v>
      </c>
      <c r="B36" s="33">
        <f>IF((B18*($B$26-($B$27-0.05*$B$27)-$B$60))&lt;0,0,B18*($B$26-($B$27-0.05*$B$27)-$B$60))</f>
        <v>1405.5859431710501</v>
      </c>
      <c r="C36" s="34" t="s">
        <v>104</v>
      </c>
      <c r="D36" s="171"/>
    </row>
    <row r="37" spans="1:6">
      <c r="A37" s="168" t="s">
        <v>78</v>
      </c>
      <c r="B37" s="33">
        <f>B60</f>
        <v>33</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184</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33</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15141.095600000001</v>
      </c>
      <c r="C5" s="17">
        <f>IF(ISERROR('Eigen informatie GS &amp; warmtenet'!B58),0,'Eigen informatie GS &amp; warmtenet'!B58)</f>
        <v>0</v>
      </c>
      <c r="D5" s="30">
        <f>SUM(D6:D12)</f>
        <v>17229.204173639748</v>
      </c>
      <c r="E5" s="17">
        <f>SUM(E6:E12)</f>
        <v>152.48847815314943</v>
      </c>
      <c r="F5" s="17">
        <f>SUM(F6:F12)</f>
        <v>2302.2686009845561</v>
      </c>
      <c r="G5" s="18"/>
      <c r="H5" s="17"/>
      <c r="I5" s="17"/>
      <c r="J5" s="17">
        <f>SUM(J6:J12)</f>
        <v>0</v>
      </c>
      <c r="K5" s="17"/>
      <c r="L5" s="17"/>
      <c r="M5" s="17"/>
      <c r="N5" s="17">
        <f>SUM(N6:N12)</f>
        <v>1699.7804395934058</v>
      </c>
      <c r="O5" s="17">
        <f>B38*B39*B40</f>
        <v>1.5633333333333335</v>
      </c>
      <c r="P5" s="17">
        <f>B46*B47*B48/1000-B46*B47*B48/1000/B49</f>
        <v>57.2</v>
      </c>
      <c r="R5" s="32"/>
    </row>
    <row r="6" spans="1:18">
      <c r="A6" s="32" t="s">
        <v>53</v>
      </c>
      <c r="B6" s="37">
        <f>B26</f>
        <v>2985.53</v>
      </c>
      <c r="C6" s="33"/>
      <c r="D6" s="37">
        <f>IF(ISERROR(TER_kantoor_gas_kWh/1000),0,TER_kantoor_gas_kWh/1000)*0.902</f>
        <v>2883.892538802022</v>
      </c>
      <c r="E6" s="33">
        <f>$C$26*'E Balans VL '!I12/100/3.6*1000000</f>
        <v>8.6495184493617394</v>
      </c>
      <c r="F6" s="33">
        <f>$C$26*('E Balans VL '!L12+'E Balans VL '!N12)/100/3.6*1000000</f>
        <v>337.8962196743073</v>
      </c>
      <c r="G6" s="34"/>
      <c r="H6" s="33"/>
      <c r="I6" s="33"/>
      <c r="J6" s="33">
        <f>$C$26*('E Balans VL '!D12+'E Balans VL '!E12)/100/3.6*1000000</f>
        <v>0</v>
      </c>
      <c r="K6" s="33"/>
      <c r="L6" s="33"/>
      <c r="M6" s="33"/>
      <c r="N6" s="33">
        <f>$C$26*'E Balans VL '!Y12/100/3.6*1000000</f>
        <v>29.882955463276005</v>
      </c>
      <c r="O6" s="33"/>
      <c r="P6" s="33"/>
      <c r="R6" s="32"/>
    </row>
    <row r="7" spans="1:18">
      <c r="A7" s="32" t="s">
        <v>52</v>
      </c>
      <c r="B7" s="37">
        <f t="shared" ref="B7:B12" si="0">B27</f>
        <v>1276.7270000000001</v>
      </c>
      <c r="C7" s="33"/>
      <c r="D7" s="37">
        <f>IF(ISERROR(TER_horeca_gas_kWh/1000),0,TER_horeca_gas_kWh/1000)*0.902</f>
        <v>5353.2698051462085</v>
      </c>
      <c r="E7" s="33">
        <f>$C$27*'E Balans VL '!I9/100/3.6*1000000</f>
        <v>53.593432355261655</v>
      </c>
      <c r="F7" s="33">
        <f>$C$27*('E Balans VL '!L9+'E Balans VL '!N9)/100/3.6*1000000</f>
        <v>274.33097770300969</v>
      </c>
      <c r="G7" s="34"/>
      <c r="H7" s="33"/>
      <c r="I7" s="33"/>
      <c r="J7" s="33">
        <f>$C$27*('E Balans VL '!D9+'E Balans VL '!E9)/100/3.6*1000000</f>
        <v>0</v>
      </c>
      <c r="K7" s="33"/>
      <c r="L7" s="33"/>
      <c r="M7" s="33"/>
      <c r="N7" s="33">
        <f>$C$27*'E Balans VL '!Y9/100/3.6*1000000</f>
        <v>0.32900138251733491</v>
      </c>
      <c r="O7" s="33"/>
      <c r="P7" s="33"/>
      <c r="R7" s="32"/>
    </row>
    <row r="8" spans="1:18">
      <c r="A8" s="6" t="s">
        <v>51</v>
      </c>
      <c r="B8" s="37">
        <f t="shared" si="0"/>
        <v>4837.01</v>
      </c>
      <c r="C8" s="33"/>
      <c r="D8" s="37">
        <f>IF(ISERROR(TER_handel_gas_kWh/1000),0,TER_handel_gas_kWh/1000)*0.902</f>
        <v>2084.0389245251895</v>
      </c>
      <c r="E8" s="33">
        <f>$C$28*'E Balans VL '!I13/100/3.6*1000000</f>
        <v>51.953513128985257</v>
      </c>
      <c r="F8" s="33">
        <f>$C$28*('E Balans VL '!L13+'E Balans VL '!N13)/100/3.6*1000000</f>
        <v>626.19088770515918</v>
      </c>
      <c r="G8" s="34"/>
      <c r="H8" s="33"/>
      <c r="I8" s="33"/>
      <c r="J8" s="33">
        <f>$C$28*('E Balans VL '!D13+'E Balans VL '!E13)/100/3.6*1000000</f>
        <v>0</v>
      </c>
      <c r="K8" s="33"/>
      <c r="L8" s="33"/>
      <c r="M8" s="33"/>
      <c r="N8" s="33">
        <f>$C$28*'E Balans VL '!Y13/100/3.6*1000000</f>
        <v>39.238089232229477</v>
      </c>
      <c r="O8" s="33"/>
      <c r="P8" s="33"/>
      <c r="R8" s="32"/>
    </row>
    <row r="9" spans="1:18">
      <c r="A9" s="32" t="s">
        <v>50</v>
      </c>
      <c r="B9" s="37">
        <f t="shared" si="0"/>
        <v>350.84479999999996</v>
      </c>
      <c r="C9" s="33"/>
      <c r="D9" s="37">
        <f>IF(ISERROR(TER_gezond_gas_kWh/1000),0,TER_gezond_gas_kWh/1000)*0.902</f>
        <v>1537.2330943806573</v>
      </c>
      <c r="E9" s="33">
        <f>$C$29*'E Balans VL '!I10/100/3.6*1000000</f>
        <v>0.27929515283372641</v>
      </c>
      <c r="F9" s="33">
        <f>$C$29*('E Balans VL '!L10+'E Balans VL '!N10)/100/3.6*1000000</f>
        <v>42.65025560403172</v>
      </c>
      <c r="G9" s="34"/>
      <c r="H9" s="33"/>
      <c r="I9" s="33"/>
      <c r="J9" s="33">
        <f>$C$29*('E Balans VL '!D10+'E Balans VL '!E10)/100/3.6*1000000</f>
        <v>0</v>
      </c>
      <c r="K9" s="33"/>
      <c r="L9" s="33"/>
      <c r="M9" s="33"/>
      <c r="N9" s="33">
        <f>$C$29*'E Balans VL '!Y10/100/3.6*1000000</f>
        <v>2.8340313441774136</v>
      </c>
      <c r="O9" s="33"/>
      <c r="P9" s="33"/>
      <c r="R9" s="32"/>
    </row>
    <row r="10" spans="1:18">
      <c r="A10" s="32" t="s">
        <v>49</v>
      </c>
      <c r="B10" s="37">
        <f t="shared" si="0"/>
        <v>1890.8320000000001</v>
      </c>
      <c r="C10" s="33"/>
      <c r="D10" s="37">
        <f>IF(ISERROR(TER_ander_gas_kWh/1000),0,TER_ander_gas_kWh/1000)*0.902</f>
        <v>2099.7059388204761</v>
      </c>
      <c r="E10" s="33">
        <f>$C$30*'E Balans VL '!I14/100/3.6*1000000</f>
        <v>6.4799805955803667</v>
      </c>
      <c r="F10" s="33">
        <f>$C$30*('E Balans VL '!L14+'E Balans VL '!N14)/100/3.6*1000000</f>
        <v>422.33503443833905</v>
      </c>
      <c r="G10" s="34"/>
      <c r="H10" s="33"/>
      <c r="I10" s="33"/>
      <c r="J10" s="33">
        <f>$C$30*('E Balans VL '!D14+'E Balans VL '!E14)/100/3.6*1000000</f>
        <v>0</v>
      </c>
      <c r="K10" s="33"/>
      <c r="L10" s="33"/>
      <c r="M10" s="33"/>
      <c r="N10" s="33">
        <f>$C$30*'E Balans VL '!Y14/100/3.6*1000000</f>
        <v>1331.9123902133042</v>
      </c>
      <c r="O10" s="33"/>
      <c r="P10" s="33"/>
      <c r="R10" s="32"/>
    </row>
    <row r="11" spans="1:18">
      <c r="A11" s="32" t="s">
        <v>54</v>
      </c>
      <c r="B11" s="37">
        <f t="shared" si="0"/>
        <v>338.3288</v>
      </c>
      <c r="C11" s="33"/>
      <c r="D11" s="37">
        <f>IF(ISERROR(TER_onderwijs_gas_kWh/1000),0,TER_onderwijs_gas_kWh/1000)*0.902</f>
        <v>327.45507616660439</v>
      </c>
      <c r="E11" s="33">
        <f>$C$31*'E Balans VL '!I11/100/3.6*1000000</f>
        <v>0.2338762797330039</v>
      </c>
      <c r="F11" s="33">
        <f>$C$31*('E Balans VL '!L11+'E Balans VL '!N11)/100/3.6*1000000</f>
        <v>88.564652055191218</v>
      </c>
      <c r="G11" s="34"/>
      <c r="H11" s="33"/>
      <c r="I11" s="33"/>
      <c r="J11" s="33">
        <f>$C$31*('E Balans VL '!D11+'E Balans VL '!E11)/100/3.6*1000000</f>
        <v>0</v>
      </c>
      <c r="K11" s="33"/>
      <c r="L11" s="33"/>
      <c r="M11" s="33"/>
      <c r="N11" s="33">
        <f>$C$31*'E Balans VL '!Y11/100/3.6*1000000</f>
        <v>0.33677750380074883</v>
      </c>
      <c r="O11" s="33"/>
      <c r="P11" s="33"/>
      <c r="R11" s="32"/>
    </row>
    <row r="12" spans="1:18">
      <c r="A12" s="32" t="s">
        <v>249</v>
      </c>
      <c r="B12" s="37">
        <f t="shared" si="0"/>
        <v>3461.8229999999999</v>
      </c>
      <c r="C12" s="33"/>
      <c r="D12" s="37">
        <f>IF(ISERROR(TER_rest_gas_kWh/1000),0,TER_rest_gas_kWh/1000)*0.902</f>
        <v>2943.6087957985901</v>
      </c>
      <c r="E12" s="33">
        <f>$C$32*'E Balans VL '!I8/100/3.6*1000000</f>
        <v>31.29886219139367</v>
      </c>
      <c r="F12" s="33">
        <f>$C$32*('E Balans VL '!L8+'E Balans VL '!N8)/100/3.6*1000000</f>
        <v>510.30057380451802</v>
      </c>
      <c r="G12" s="34"/>
      <c r="H12" s="33"/>
      <c r="I12" s="33"/>
      <c r="J12" s="33">
        <f>$C$32*('E Balans VL '!D8+'E Balans VL '!E8)/100/3.6*1000000</f>
        <v>0</v>
      </c>
      <c r="K12" s="33"/>
      <c r="L12" s="33"/>
      <c r="M12" s="33"/>
      <c r="N12" s="33">
        <f>$C$32*'E Balans VL '!Y8/100/3.6*1000000</f>
        <v>295.24719445410062</v>
      </c>
      <c r="O12" s="33"/>
      <c r="P12" s="33"/>
      <c r="R12" s="32"/>
    </row>
    <row r="13" spans="1:18">
      <c r="A13" s="16" t="s">
        <v>481</v>
      </c>
      <c r="B13" s="243">
        <f ca="1">'lokale energieproductie'!N41+'lokale energieproductie'!N34</f>
        <v>315.00000000000006</v>
      </c>
      <c r="C13" s="243">
        <f ca="1">'lokale energieproductie'!O41+'lokale energieproductie'!O34</f>
        <v>450.00000000000011</v>
      </c>
      <c r="D13" s="302">
        <f ca="1">('lokale energieproductie'!P34+'lokale energieproductie'!P41)*(-1)</f>
        <v>-900.00000000000023</v>
      </c>
      <c r="E13" s="244"/>
      <c r="F13" s="302">
        <f ca="1">('lokale energieproductie'!S34+'lokale energieproductie'!S41)*(-1)</f>
        <v>0</v>
      </c>
      <c r="G13" s="245"/>
      <c r="H13" s="244"/>
      <c r="I13" s="244"/>
      <c r="J13" s="244"/>
      <c r="K13" s="244"/>
      <c r="L13" s="302">
        <f ca="1">('lokale energieproductie'!U34+'lokale energieproductie'!T34+'lokale energieproductie'!U41+'lokale energieproductie'!T41)*(-1)</f>
        <v>0</v>
      </c>
      <c r="M13" s="244"/>
      <c r="N13" s="302">
        <f ca="1">('lokale energieproductie'!Q34+'lokale energieproductie'!R34+'lokale energieproductie'!V34+'lokale energieproductie'!Q41+'lokale energieproductie'!R41+'lokale energieproductie'!V41)*(-1)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15456.095600000001</v>
      </c>
      <c r="C16" s="21">
        <f t="shared" ca="1" si="1"/>
        <v>450.00000000000011</v>
      </c>
      <c r="D16" s="21">
        <f t="shared" ca="1" si="1"/>
        <v>16329.204173639748</v>
      </c>
      <c r="E16" s="21">
        <f t="shared" si="1"/>
        <v>152.48847815314943</v>
      </c>
      <c r="F16" s="21">
        <f t="shared" ca="1" si="1"/>
        <v>2302.2686009845561</v>
      </c>
      <c r="G16" s="21">
        <f t="shared" si="1"/>
        <v>0</v>
      </c>
      <c r="H16" s="21">
        <f t="shared" si="1"/>
        <v>0</v>
      </c>
      <c r="I16" s="21">
        <f t="shared" si="1"/>
        <v>0</v>
      </c>
      <c r="J16" s="21">
        <f t="shared" si="1"/>
        <v>0</v>
      </c>
      <c r="K16" s="21">
        <f t="shared" si="1"/>
        <v>0</v>
      </c>
      <c r="L16" s="21">
        <f t="shared" ca="1" si="1"/>
        <v>0</v>
      </c>
      <c r="M16" s="21">
        <f t="shared" si="1"/>
        <v>0</v>
      </c>
      <c r="N16" s="21">
        <f t="shared" ca="1" si="1"/>
        <v>1699.7804395934058</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0.2153874236840512</v>
      </c>
      <c r="C18" s="25">
        <f ca="1">'EF ele_warmte'!B22</f>
        <v>0.23607823565441696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3329.0486114983996</v>
      </c>
      <c r="C20" s="23">
        <f t="shared" ref="C20:P20" ca="1" si="2">C16*C18</f>
        <v>106.23520604448765</v>
      </c>
      <c r="D20" s="23">
        <f t="shared" ca="1" si="2"/>
        <v>3298.4992430752291</v>
      </c>
      <c r="E20" s="23">
        <f t="shared" si="2"/>
        <v>34.614884540764919</v>
      </c>
      <c r="F20" s="23">
        <f t="shared" ca="1" si="2"/>
        <v>614.70571646287647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2985.53</v>
      </c>
      <c r="C26" s="39">
        <f>IF(ISERROR(B26*3.6/1000000/'E Balans VL '!Z12*100),0,B26*3.6/1000000/'E Balans VL '!Z12*100)</f>
        <v>6.5580618068315555E-2</v>
      </c>
      <c r="D26" s="233" t="s">
        <v>676</v>
      </c>
      <c r="F26" s="6"/>
    </row>
    <row r="27" spans="1:18">
      <c r="A27" s="228" t="s">
        <v>52</v>
      </c>
      <c r="B27" s="33">
        <f>IF(ISERROR(TER_horeca_ele_kWh/1000),0,TER_horeca_ele_kWh/1000)</f>
        <v>1276.7270000000001</v>
      </c>
      <c r="C27" s="39">
        <f>IF(ISERROR(B27*3.6/1000000/'E Balans VL '!Z9*100),0,B27*3.6/1000000/'E Balans VL '!Z9*100)</f>
        <v>0.10259774101505047</v>
      </c>
      <c r="D27" s="233" t="s">
        <v>676</v>
      </c>
      <c r="F27" s="6"/>
    </row>
    <row r="28" spans="1:18">
      <c r="A28" s="168" t="s">
        <v>51</v>
      </c>
      <c r="B28" s="33">
        <f>IF(ISERROR(TER_handel_ele_kWh/1000),0,TER_handel_ele_kWh/1000)</f>
        <v>4837.01</v>
      </c>
      <c r="C28" s="39">
        <f>IF(ISERROR(B28*3.6/1000000/'E Balans VL '!Z13*100),0,B28*3.6/1000000/'E Balans VL '!Z13*100)</f>
        <v>0.14302700649386227</v>
      </c>
      <c r="D28" s="233" t="s">
        <v>676</v>
      </c>
      <c r="F28" s="6"/>
    </row>
    <row r="29" spans="1:18">
      <c r="A29" s="228" t="s">
        <v>50</v>
      </c>
      <c r="B29" s="33">
        <f>IF(ISERROR(TER_gezond_ele_kWh/1000),0,TER_gezond_ele_kWh/1000)</f>
        <v>350.84479999999996</v>
      </c>
      <c r="C29" s="39">
        <f>IF(ISERROR(B29*3.6/1000000/'E Balans VL '!Z10*100),0,B29*3.6/1000000/'E Balans VL '!Z10*100)</f>
        <v>3.9531150945729975E-2</v>
      </c>
      <c r="D29" s="233" t="s">
        <v>676</v>
      </c>
      <c r="F29" s="6"/>
    </row>
    <row r="30" spans="1:18">
      <c r="A30" s="228" t="s">
        <v>49</v>
      </c>
      <c r="B30" s="33">
        <f>IF(ISERROR(TER_ander_ele_kWh/1000),0,TER_ander_ele_kWh/1000)</f>
        <v>1890.8320000000001</v>
      </c>
      <c r="C30" s="39">
        <f>IF(ISERROR(B30*3.6/1000000/'E Balans VL '!Z14*100),0,B30*3.6/1000000/'E Balans VL '!Z14*100)</f>
        <v>0.1430003919286961</v>
      </c>
      <c r="D30" s="233" t="s">
        <v>676</v>
      </c>
      <c r="F30" s="6"/>
    </row>
    <row r="31" spans="1:18">
      <c r="A31" s="228" t="s">
        <v>54</v>
      </c>
      <c r="B31" s="33">
        <f>IF(ISERROR(TER_onderwijs_ele_kWh/1000),0,TER_onderwijs_ele_kWh/1000)</f>
        <v>338.3288</v>
      </c>
      <c r="C31" s="39">
        <f>IF(ISERROR(B31*3.6/1000000/'E Balans VL '!Z11*100),0,B31*3.6/1000000/'E Balans VL '!Z11*100)</f>
        <v>7.0229204914082091E-2</v>
      </c>
      <c r="D31" s="233" t="s">
        <v>676</v>
      </c>
    </row>
    <row r="32" spans="1:18">
      <c r="A32" s="228" t="s">
        <v>249</v>
      </c>
      <c r="B32" s="33">
        <f>IF(ISERROR(TER_rest_ele_kWh/1000),0,TER_rest_ele_kWh/1000)</f>
        <v>3461.8229999999999</v>
      </c>
      <c r="C32" s="39">
        <f>IF(ISERROR(B32*3.6/1000000/'E Balans VL '!Z8*100),0,B32*3.6/1000000/'E Balans VL '!Z8*100)</f>
        <v>2.9163822253495179E-2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1</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3</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236524.31690000001</v>
      </c>
      <c r="C5" s="17">
        <f>IF(ISERROR('Eigen informatie GS &amp; warmtenet'!B59),0,'Eigen informatie GS &amp; warmtenet'!B59)</f>
        <v>0</v>
      </c>
      <c r="D5" s="30">
        <f>SUM(D6:D15)</f>
        <v>450666.29723151593</v>
      </c>
      <c r="E5" s="17">
        <f>SUM(E6:E15)</f>
        <v>2740.337393874082</v>
      </c>
      <c r="F5" s="17">
        <f>SUM(F6:F15)</f>
        <v>49262.656501629506</v>
      </c>
      <c r="G5" s="18"/>
      <c r="H5" s="17"/>
      <c r="I5" s="17"/>
      <c r="J5" s="17">
        <f>SUM(J6:J15)</f>
        <v>42103.452865996995</v>
      </c>
      <c r="K5" s="17"/>
      <c r="L5" s="17"/>
      <c r="M5" s="17"/>
      <c r="N5" s="17">
        <f>SUM(N6:N15)</f>
        <v>9168.277408464055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88797.620999999999</v>
      </c>
      <c r="C7" s="33"/>
      <c r="D7" s="37">
        <f>IF( ISERROR(IND_nonf_gas_kWhh/1000),0,IND_nonf_gas_kWh/1000)*0.902</f>
        <v>0</v>
      </c>
      <c r="E7" s="33">
        <f>C29*'E Balans VL '!I17/100/3.6*1000000</f>
        <v>380.7957888995121</v>
      </c>
      <c r="F7" s="33">
        <f>C29*'E Balans VL '!L17/100/3.6*1000000+C29*'E Balans VL '!N17/100/3.6*1000000</f>
        <v>17606.89482168269</v>
      </c>
      <c r="G7" s="34"/>
      <c r="H7" s="33"/>
      <c r="I7" s="33"/>
      <c r="J7" s="40">
        <f>C29*'E Balans VL '!D17/100/3.6*1000000+C29*'E Balans VL '!E17/100/3.6*1000000</f>
        <v>41679.694639797512</v>
      </c>
      <c r="K7" s="33"/>
      <c r="L7" s="33"/>
      <c r="M7" s="33"/>
      <c r="N7" s="33">
        <f>C29*'E Balans VL '!Y17/100/3.6*1000000</f>
        <v>0</v>
      </c>
      <c r="O7" s="33"/>
      <c r="P7" s="33"/>
      <c r="R7" s="32"/>
    </row>
    <row r="8" spans="1:18">
      <c r="A8" s="6" t="s">
        <v>35</v>
      </c>
      <c r="B8" s="37">
        <f t="shared" si="0"/>
        <v>779.35590000000002</v>
      </c>
      <c r="C8" s="33"/>
      <c r="D8" s="37">
        <f>IF( ISERROR(IND_metaal_Gas_kWH/1000),0,IND_metaal_Gas_kWH/1000)*0.902</f>
        <v>98.664034769153744</v>
      </c>
      <c r="E8" s="33">
        <f>C30*'E Balans VL '!I18/100/3.6*1000000</f>
        <v>19.504550489786894</v>
      </c>
      <c r="F8" s="33">
        <f>C30*'E Balans VL '!L18/100/3.6*1000000+C30*'E Balans VL '!N18/100/3.6*1000000</f>
        <v>244.25401577561826</v>
      </c>
      <c r="G8" s="34"/>
      <c r="H8" s="33"/>
      <c r="I8" s="33"/>
      <c r="J8" s="40">
        <f>C30*'E Balans VL '!D18/100/3.6*1000000+C30*'E Balans VL '!E18/100/3.6*1000000</f>
        <v>0</v>
      </c>
      <c r="K8" s="33"/>
      <c r="L8" s="33"/>
      <c r="M8" s="33"/>
      <c r="N8" s="33">
        <f>C30*'E Balans VL '!Y18/100/3.6*1000000</f>
        <v>19.579442812933017</v>
      </c>
      <c r="O8" s="33"/>
      <c r="P8" s="33"/>
      <c r="R8" s="32"/>
    </row>
    <row r="9" spans="1:18">
      <c r="A9" s="6" t="s">
        <v>32</v>
      </c>
      <c r="B9" s="37">
        <f t="shared" si="0"/>
        <v>2215.0729999999999</v>
      </c>
      <c r="C9" s="33"/>
      <c r="D9" s="37">
        <f>IF( ISERROR(IND_andere_gas_kWh/1000),0,IND_andere_gas_kWh/1000)*0.902</f>
        <v>1292.5142655092254</v>
      </c>
      <c r="E9" s="33">
        <f>C31*'E Balans VL '!I19/100/3.6*1000000</f>
        <v>609.05422365775962</v>
      </c>
      <c r="F9" s="33">
        <f>C31*'E Balans VL '!L19/100/3.6*1000000+C31*'E Balans VL '!N19/100/3.6*1000000</f>
        <v>1745.8629743765505</v>
      </c>
      <c r="G9" s="34"/>
      <c r="H9" s="33"/>
      <c r="I9" s="33"/>
      <c r="J9" s="40">
        <f>C31*'E Balans VL '!D19/100/3.6*1000000+C31*'E Balans VL '!E19/100/3.6*1000000</f>
        <v>0</v>
      </c>
      <c r="K9" s="33"/>
      <c r="L9" s="33"/>
      <c r="M9" s="33"/>
      <c r="N9" s="33">
        <f>C31*'E Balans VL '!Y19/100/3.6*1000000</f>
        <v>178.44767672037423</v>
      </c>
      <c r="O9" s="33"/>
      <c r="P9" s="33"/>
      <c r="R9" s="32"/>
    </row>
    <row r="10" spans="1:18">
      <c r="A10" s="6" t="s">
        <v>40</v>
      </c>
      <c r="B10" s="37">
        <f t="shared" si="0"/>
        <v>11864.098</v>
      </c>
      <c r="C10" s="33"/>
      <c r="D10" s="37">
        <f>IF( ISERROR(IND_voed_gas_kWh/1000),0,IND_voed_gas_kWh/1000)*0.902</f>
        <v>284.81367964783504</v>
      </c>
      <c r="E10" s="33">
        <f>C32*'E Balans VL '!I20/100/3.6*1000000</f>
        <v>120.94794314111742</v>
      </c>
      <c r="F10" s="33">
        <f>C32*'E Balans VL '!L20/100/3.6*1000000+C32*'E Balans VL '!N20/100/3.6*1000000</f>
        <v>22411.206919229877</v>
      </c>
      <c r="G10" s="34"/>
      <c r="H10" s="33"/>
      <c r="I10" s="33"/>
      <c r="J10" s="40">
        <f>C32*'E Balans VL '!D20/100/3.6*1000000+C32*'E Balans VL '!E20/100/3.6*1000000</f>
        <v>283.9466846444073</v>
      </c>
      <c r="K10" s="33"/>
      <c r="L10" s="33"/>
      <c r="M10" s="33"/>
      <c r="N10" s="33">
        <f>C32*'E Balans VL '!Y20/100/3.6*1000000</f>
        <v>6253.7462225151139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26389.416000000001</v>
      </c>
      <c r="C12" s="33"/>
      <c r="D12" s="37">
        <f>IF( ISERROR(IND_min_gas_kWh/1000),0,IND_min_gas_kWh/1000)*0.902</f>
        <v>286847.28723697225</v>
      </c>
      <c r="E12" s="33">
        <f>C34*'E Balans VL '!I22/100/3.6*1000000</f>
        <v>79.921603734275678</v>
      </c>
      <c r="F12" s="33">
        <f>C34*'E Balans VL '!L22/100/3.6*1000000+C34*'E Balans VL '!N22/100/3.6*1000000</f>
        <v>824.69193793372517</v>
      </c>
      <c r="G12" s="34"/>
      <c r="H12" s="33"/>
      <c r="I12" s="33"/>
      <c r="J12" s="40">
        <f>C34*'E Balans VL '!D22/100/3.6*1000000+C34*'E Balans VL '!E22/100/3.6*1000000</f>
        <v>39.129645779512735</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82480.191000000006</v>
      </c>
      <c r="C14" s="33"/>
      <c r="D14" s="37">
        <f>IF( ISERROR(IND_chemie_gas_kWh/1000),0,IND_chemie_gas_kWh/1000)*0.902</f>
        <v>124914.06441381834</v>
      </c>
      <c r="E14" s="33">
        <f>C36*'E Balans VL '!I24/100/3.6*1000000</f>
        <v>309.23179111852295</v>
      </c>
      <c r="F14" s="33">
        <f>C36*'E Balans VL '!L24/100/3.6*1000000+C36*'E Balans VL '!N24/100/3.6*1000000</f>
        <v>959.57062577265901</v>
      </c>
      <c r="G14" s="34"/>
      <c r="H14" s="33"/>
      <c r="I14" s="33"/>
      <c r="J14" s="40">
        <f>C36*'E Balans VL '!D24/100/3.6*1000000+C36*'E Balans VL '!E24/100/3.6*1000000</f>
        <v>0</v>
      </c>
      <c r="K14" s="33"/>
      <c r="L14" s="33"/>
      <c r="M14" s="33"/>
      <c r="N14" s="33">
        <f>C36*'E Balans VL '!Y24/100/3.6*1000000</f>
        <v>1409.1344793824323</v>
      </c>
      <c r="O14" s="33"/>
      <c r="P14" s="33"/>
      <c r="R14" s="32"/>
    </row>
    <row r="15" spans="1:18">
      <c r="A15" s="6" t="s">
        <v>259</v>
      </c>
      <c r="B15" s="37">
        <f t="shared" si="0"/>
        <v>23998.562000000002</v>
      </c>
      <c r="C15" s="33"/>
      <c r="D15" s="37">
        <f>IF( ISERROR(IND_rest_gas_kWh/1000),0,IND_rest_gas_kWh/1000)*0.902</f>
        <v>37228.95360079909</v>
      </c>
      <c r="E15" s="33">
        <f>C37*'E Balans VL '!I15/100/3.6*1000000</f>
        <v>1220.8814928331071</v>
      </c>
      <c r="F15" s="33">
        <f>C37*'E Balans VL '!L15/100/3.6*1000000+C37*'E Balans VL '!N15/100/3.6*1000000</f>
        <v>5470.1752068583828</v>
      </c>
      <c r="G15" s="34"/>
      <c r="H15" s="33"/>
      <c r="I15" s="33"/>
      <c r="J15" s="40">
        <f>C37*'E Balans VL '!D15/100/3.6*1000000+C37*'E Balans VL '!E15/100/3.6*1000000</f>
        <v>100.68189577556747</v>
      </c>
      <c r="K15" s="33"/>
      <c r="L15" s="33"/>
      <c r="M15" s="33"/>
      <c r="N15" s="33">
        <f>C37*'E Balans VL '!Y15/100/3.6*1000000</f>
        <v>1307.3695870332008</v>
      </c>
      <c r="O15" s="33"/>
      <c r="P15" s="33"/>
      <c r="R15" s="32"/>
    </row>
    <row r="16" spans="1:18">
      <c r="A16" s="16" t="s">
        <v>481</v>
      </c>
      <c r="B16" s="243">
        <f>'lokale energieproductie'!N40+'lokale energieproductie'!N33</f>
        <v>0</v>
      </c>
      <c r="C16" s="243">
        <f>'lokale energieproductie'!O40+'lokale energieproductie'!O33</f>
        <v>0</v>
      </c>
      <c r="D16" s="302">
        <f>('lokale energieproductie'!P33+'lokale energieproductie'!P40)*(-1)</f>
        <v>0</v>
      </c>
      <c r="E16" s="244"/>
      <c r="F16" s="302">
        <f>('lokale energieproductie'!S33+'lokale energieproductie'!S40)*(-1)</f>
        <v>0</v>
      </c>
      <c r="G16" s="245"/>
      <c r="H16" s="244"/>
      <c r="I16" s="244"/>
      <c r="J16" s="244"/>
      <c r="K16" s="244"/>
      <c r="L16" s="302">
        <f>('lokale energieproductie'!T33+'lokale energieproductie'!U33+'lokale energieproductie'!T40+'lokale energieproductie'!U40)*(-1)</f>
        <v>0</v>
      </c>
      <c r="M16" s="244"/>
      <c r="N16" s="302">
        <f>('lokale energieproductie'!Q33+'lokale energieproductie'!R33+'lokale energieproductie'!V33+'lokale energieproductie'!Q40+'lokale energieproductie'!R40+'lokale energieproductie'!V40)*(-1)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236524.31690000001</v>
      </c>
      <c r="C18" s="21">
        <f>C5+C16</f>
        <v>0</v>
      </c>
      <c r="D18" s="21">
        <f>MAX((D5+D16),0)</f>
        <v>450666.29723151593</v>
      </c>
      <c r="E18" s="21">
        <f>MAX((E5+E16),0)</f>
        <v>2740.337393874082</v>
      </c>
      <c r="F18" s="21">
        <f>MAX((F5+F16),0)</f>
        <v>49262.656501629506</v>
      </c>
      <c r="G18" s="21"/>
      <c r="H18" s="21"/>
      <c r="I18" s="21"/>
      <c r="J18" s="21">
        <f>MAX((J5+J16),0)</f>
        <v>42103.452865996995</v>
      </c>
      <c r="K18" s="21"/>
      <c r="L18" s="21">
        <f>MAX((L5+L16),0)</f>
        <v>0</v>
      </c>
      <c r="M18" s="21"/>
      <c r="N18" s="21">
        <f>MAX((N5+N16),0)</f>
        <v>9168.277408464055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0.2153874236840512</v>
      </c>
      <c r="C20" s="25">
        <f ca="1">'EF ele_warmte'!B22</f>
        <v>0.23607823565441696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50944.363255721095</v>
      </c>
      <c r="C22" s="23">
        <f ca="1">C18*C20</f>
        <v>0</v>
      </c>
      <c r="D22" s="23">
        <f>D18*D20</f>
        <v>91034.59204076622</v>
      </c>
      <c r="E22" s="23">
        <f>E18*E20</f>
        <v>622.05658840941658</v>
      </c>
      <c r="F22" s="23">
        <f>F18*F20</f>
        <v>13153.12928593508</v>
      </c>
      <c r="G22" s="23"/>
      <c r="H22" s="23"/>
      <c r="I22" s="23"/>
      <c r="J22" s="23">
        <f>J18*J20</f>
        <v>14904.622314562936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88797.620999999999</v>
      </c>
      <c r="C29" s="39">
        <f>IF(ISERROR(B29*3.6/1000000/'E Balans VL '!Z17*100),0,B29*3.6/1000000/'E Balans VL '!Z17*100)</f>
        <v>99.98153332139394</v>
      </c>
      <c r="D29" s="233" t="s">
        <v>676</v>
      </c>
    </row>
    <row r="30" spans="1:18">
      <c r="A30" s="168" t="s">
        <v>35</v>
      </c>
      <c r="B30" s="37">
        <f>IF( ISERROR(IND_metaal_ele_kWh/1000),0,IND_metaal_ele_kWh/1000)</f>
        <v>779.35590000000002</v>
      </c>
      <c r="C30" s="39">
        <f>IF(ISERROR(B30*3.6/1000000/'E Balans VL '!Z18*100),0,B30*3.6/1000000/'E Balans VL '!Z18*100)</f>
        <v>0.10908385367770836</v>
      </c>
      <c r="D30" s="233" t="s">
        <v>676</v>
      </c>
    </row>
    <row r="31" spans="1:18">
      <c r="A31" s="6" t="s">
        <v>32</v>
      </c>
      <c r="B31" s="37">
        <f>IF( ISERROR(IND_ander_ele_kWh/1000),0,IND_ander_ele_kWh/1000)</f>
        <v>2215.0729999999999</v>
      </c>
      <c r="C31" s="39">
        <f>IF(ISERROR(B31*3.6/1000000/'E Balans VL '!Z19*100),0,B31*3.6/1000000/'E Balans VL '!Z19*100)</f>
        <v>9.6953385874106984E-2</v>
      </c>
      <c r="D31" s="233" t="s">
        <v>676</v>
      </c>
    </row>
    <row r="32" spans="1:18">
      <c r="A32" s="168" t="s">
        <v>40</v>
      </c>
      <c r="B32" s="37">
        <f>IF( ISERROR(IND_voed_ele_kWh/1000),0,IND_voed_ele_kWh/1000)</f>
        <v>11864.098</v>
      </c>
      <c r="C32" s="39">
        <f>IF(ISERROR(B32*3.6/1000000/'E Balans VL '!Z20*100),0,B32*3.6/1000000/'E Balans VL '!Z20*100)</f>
        <v>2.937156677539031</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26389.416000000001</v>
      </c>
      <c r="C34" s="39">
        <f>IF(ISERROR(B34*3.6/1000000/'E Balans VL '!Z22*100),0,B34*3.6/1000000/'E Balans VL '!Z22*100)</f>
        <v>0.748823963049011</v>
      </c>
      <c r="D34" s="233" t="s">
        <v>676</v>
      </c>
    </row>
    <row r="35" spans="1:5">
      <c r="A35" s="168" t="s">
        <v>38</v>
      </c>
      <c r="B35" s="37">
        <f>IF( ISERROR(IND_papier_ele_kWh/1000),0,IND_papier_ele_kWh/1000)</f>
        <v>0</v>
      </c>
      <c r="C35" s="39">
        <f>IF(ISERROR(B35*3.6/1000000/'E Balans VL '!Z22*100),0,B35*3.6/1000000/'E Balans VL '!Z22*100)</f>
        <v>0</v>
      </c>
      <c r="D35" s="233" t="s">
        <v>676</v>
      </c>
    </row>
    <row r="36" spans="1:5">
      <c r="A36" s="168" t="s">
        <v>33</v>
      </c>
      <c r="B36" s="37">
        <f>IF( ISERROR(IND_chemie_ele_kWh/1000),0,IND_chemie_ele_kWh/1000)</f>
        <v>82480.191000000006</v>
      </c>
      <c r="C36" s="39">
        <f>IF(ISERROR(B36*3.6/1000000/'E Balans VL '!Z24*100),0,B36*3.6/1000000/'E Balans VL '!Z24*100)</f>
        <v>2.1031189779393946</v>
      </c>
      <c r="D36" s="233" t="s">
        <v>676</v>
      </c>
    </row>
    <row r="37" spans="1:5">
      <c r="A37" s="168" t="s">
        <v>259</v>
      </c>
      <c r="B37" s="37">
        <f>IF( ISERROR(IND_rest_ele_kWh/1000),0,IND_rest_ele_kWh/1000)</f>
        <v>23998.562000000002</v>
      </c>
      <c r="C37" s="39">
        <f>IF(ISERROR(B37*3.6/1000000/'E Balans VL '!Z15*100),0,B37*3.6/1000000/'E Balans VL '!Z15*100)</f>
        <v>0.17794522850231889</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1343.8243</v>
      </c>
      <c r="C5" s="17">
        <f>'Eigen informatie GS &amp; warmtenet'!B60</f>
        <v>0</v>
      </c>
      <c r="D5" s="30">
        <f>IF(ISERROR(SUM(LB_lb_gas_kWh,LB_rest_gas_kWh)/1000),0,SUM(LB_lb_gas_kWh,LB_rest_gas_kWh)/1000)*0.902</f>
        <v>48997.9962563304</v>
      </c>
      <c r="E5" s="17">
        <f>B17*'E Balans VL '!I25/3.6*1000000/100</f>
        <v>12.447063511954669</v>
      </c>
      <c r="F5" s="17">
        <f>B17*('E Balans VL '!L25/3.6*1000000+'E Balans VL '!N25/3.6*1000000)/100</f>
        <v>3409.5382473664399</v>
      </c>
      <c r="G5" s="18"/>
      <c r="H5" s="17"/>
      <c r="I5" s="17"/>
      <c r="J5" s="17">
        <f>('E Balans VL '!D25+'E Balans VL '!E25)/3.6*1000000*landbouw!B17/100</f>
        <v>206.02326231295854</v>
      </c>
      <c r="K5" s="17"/>
      <c r="L5" s="17">
        <f>L6*(-1)</f>
        <v>0</v>
      </c>
      <c r="M5" s="17"/>
      <c r="N5" s="17">
        <f>N6*(-1)</f>
        <v>374.14285714285711</v>
      </c>
      <c r="O5" s="17"/>
      <c r="P5" s="17"/>
      <c r="R5" s="32"/>
    </row>
    <row r="6" spans="1:18">
      <c r="A6" s="16" t="s">
        <v>481</v>
      </c>
      <c r="B6" s="17" t="s">
        <v>204</v>
      </c>
      <c r="C6" s="17">
        <f>'lokale energieproductie'!O42+'lokale energieproductie'!O35</f>
        <v>27887.785714285714</v>
      </c>
      <c r="D6" s="302">
        <f>('lokale energieproductie'!P35+'lokale energieproductie'!P42)*(-1)</f>
        <v>-55401.428571428572</v>
      </c>
      <c r="E6" s="244"/>
      <c r="F6" s="302">
        <f>('lokale energieproductie'!S35+'lokale energieproductie'!S871)*(-1)</f>
        <v>0</v>
      </c>
      <c r="G6" s="245"/>
      <c r="H6" s="244"/>
      <c r="I6" s="244"/>
      <c r="J6" s="244"/>
      <c r="K6" s="244"/>
      <c r="L6" s="302">
        <f>('lokale energieproductie'!T35+'lokale energieproductie'!U35+'lokale energieproductie'!T42+'lokale energieproductie'!U42)*(-1)</f>
        <v>0</v>
      </c>
      <c r="M6" s="244"/>
      <c r="N6" s="302">
        <f>('lokale energieproductie'!V35+'lokale energieproductie'!R35+'lokale energieproductie'!Q35+'lokale energieproductie'!Q42+'lokale energieproductie'!R42+'lokale energieproductie'!V42)*(-1)</f>
        <v>-374.14285714285711</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1343.8243</v>
      </c>
      <c r="C8" s="21">
        <f>C5+C6</f>
        <v>27887.785714285714</v>
      </c>
      <c r="D8" s="21">
        <f>MAX((D5+D6),0)</f>
        <v>0</v>
      </c>
      <c r="E8" s="21">
        <f>MAX((E5+E6),0)</f>
        <v>12.447063511954669</v>
      </c>
      <c r="F8" s="21">
        <f>MAX((F5+F6),0)</f>
        <v>3409.5382473664399</v>
      </c>
      <c r="G8" s="21"/>
      <c r="H8" s="21"/>
      <c r="I8" s="21"/>
      <c r="J8" s="21">
        <f>MAX((J5+J6),0)</f>
        <v>206.02326231295854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0.2153874236840512</v>
      </c>
      <c r="C10" s="31">
        <f ca="1">'EF ele_warmte'!B22</f>
        <v>0.23607823565441696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289.44285386102354</v>
      </c>
      <c r="C12" s="23">
        <f ca="1">C8*C10</f>
        <v>6583.6992477370259</v>
      </c>
      <c r="D12" s="23">
        <f>D8*D10</f>
        <v>0</v>
      </c>
      <c r="E12" s="23">
        <f>E8*E10</f>
        <v>2.82548341721371</v>
      </c>
      <c r="F12" s="23">
        <f>F8*F10</f>
        <v>910.34671204683946</v>
      </c>
      <c r="G12" s="23"/>
      <c r="H12" s="23"/>
      <c r="I12" s="23"/>
      <c r="J12" s="23">
        <f>J8*J10</f>
        <v>72.932234858787325</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0.19106332145967855</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192.36745328355565</v>
      </c>
      <c r="C26" s="243">
        <f>B26*'GWP N2O_CH4'!B5</f>
        <v>4039.7165189546686</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54.238966268641711</v>
      </c>
      <c r="C27" s="243">
        <f>B27*'GWP N2O_CH4'!B5</f>
        <v>1139.018291641476</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5.4174817327933447</v>
      </c>
      <c r="C28" s="243">
        <f>B28*'GWP N2O_CH4'!B4</f>
        <v>1679.4193371659369</v>
      </c>
      <c r="D28" s="50"/>
    </row>
    <row r="29" spans="1:4">
      <c r="A29" s="41" t="s">
        <v>266</v>
      </c>
      <c r="B29" s="243">
        <f>B34*'ha_N2O bodem landbouw'!B4</f>
        <v>9.6648892354804925</v>
      </c>
      <c r="C29" s="243">
        <f>B29*'GWP N2O_CH4'!B4</f>
        <v>2996.1156629989528</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2.1676643861649565E-3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3.3160912479439787E-5</v>
      </c>
      <c r="C5" s="430" t="s">
        <v>204</v>
      </c>
      <c r="D5" s="415">
        <f>SUM(D6:D11)</f>
        <v>5.2094210337906007E-5</v>
      </c>
      <c r="E5" s="415">
        <f>SUM(E6:E11)</f>
        <v>5.0793060660888831E-4</v>
      </c>
      <c r="F5" s="428" t="s">
        <v>204</v>
      </c>
      <c r="G5" s="415">
        <f>SUM(G6:G11)</f>
        <v>0.1608982340815</v>
      </c>
      <c r="H5" s="415">
        <f>SUM(H6:H11)</f>
        <v>3.0069883698835901E-2</v>
      </c>
      <c r="I5" s="430" t="s">
        <v>204</v>
      </c>
      <c r="J5" s="430" t="s">
        <v>204</v>
      </c>
      <c r="K5" s="430" t="s">
        <v>204</v>
      </c>
      <c r="L5" s="430" t="s">
        <v>204</v>
      </c>
      <c r="M5" s="415">
        <f>SUM(M6:M11)</f>
        <v>1.0245638897683989E-2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2.6980333564028371E-5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4.0749425181218174E-5</v>
      </c>
      <c r="E6" s="858">
        <f>vkm_GW_PW*SUMIFS(TableVerdeelsleutelVkm[LPG],TableVerdeelsleutelVkm[Voertuigtype],"Lichte voertuigen")*SUMIFS(TableECFTransport[EnergieConsumptieFactor (PJ per km)],TableECFTransport[Index],CONCATENATE($A6,"_LPG_LPG"))</f>
        <v>4.0136185230652335E-4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9.1823160387569713E-2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2.3696137322578421E-2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6.0464454928488686E-3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1.1694150924501685E-6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4.4882638388713904E-2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8.4866016257219694E-7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2.6021932413250368E-3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4.9794446807210194E-6</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1.1344785156687832E-5</v>
      </c>
      <c r="E8" s="418">
        <f>vkm_NGW_PW*SUMIFS(TableVerdeelsleutelVkm[LPG],TableVerdeelsleutelVkm[Voertuigtype],"Lichte voertuigen")*SUMIFS(TableECFTransport[EnergieConsumptieFactor (PJ per km)],TableECFTransport[Index],CONCATENATE($A8,"_LPG_LPG"))</f>
        <v>1.065687543023649E-4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2.2628310276319109E-2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6.3728699315682555E-3</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1.5063158081902014E-3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3.1719142240228516E-8</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1.5641250288972645E-3</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2.7784526651315739E-8</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9.0684355319880995E-5</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9.2113645776221631</v>
      </c>
      <c r="C14" s="21"/>
      <c r="D14" s="21">
        <f t="shared" ref="D14:M14" si="0">((D5)*10^9/3600)+D12</f>
        <v>14.470613982751669</v>
      </c>
      <c r="E14" s="21">
        <f t="shared" si="0"/>
        <v>141.09183516913563</v>
      </c>
      <c r="F14" s="21"/>
      <c r="G14" s="21">
        <f t="shared" si="0"/>
        <v>44693.953911527773</v>
      </c>
      <c r="H14" s="21">
        <f t="shared" si="0"/>
        <v>8352.7454718988611</v>
      </c>
      <c r="I14" s="21"/>
      <c r="J14" s="21"/>
      <c r="K14" s="21"/>
      <c r="L14" s="21"/>
      <c r="M14" s="21">
        <f t="shared" si="0"/>
        <v>2846.0108049122191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0.2153874236840512</v>
      </c>
      <c r="C16" s="56">
        <f ca="1">'EF ele_warmte'!B22</f>
        <v>0.23607823565441696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1.9840120849885661</v>
      </c>
      <c r="C18" s="23"/>
      <c r="D18" s="23">
        <f t="shared" ref="D18:M18" si="1">D14*D16</f>
        <v>2.9230640245158375</v>
      </c>
      <c r="E18" s="23">
        <f t="shared" si="1"/>
        <v>32.027846583393789</v>
      </c>
      <c r="F18" s="23"/>
      <c r="G18" s="23">
        <f t="shared" si="1"/>
        <v>11933.285694377915</v>
      </c>
      <c r="H18" s="23">
        <f t="shared" si="1"/>
        <v>2079.8336225028165</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4.888264513916374E-5</v>
      </c>
      <c r="C50" s="313">
        <f t="shared" ref="C50:P50" si="2">SUM(C51:C52)</f>
        <v>0</v>
      </c>
      <c r="D50" s="313">
        <f t="shared" si="2"/>
        <v>0</v>
      </c>
      <c r="E50" s="313">
        <f t="shared" si="2"/>
        <v>0</v>
      </c>
      <c r="F50" s="313">
        <f t="shared" si="2"/>
        <v>0</v>
      </c>
      <c r="G50" s="313">
        <f t="shared" si="2"/>
        <v>9.2626162498837469E-3</v>
      </c>
      <c r="H50" s="313">
        <f t="shared" si="2"/>
        <v>0</v>
      </c>
      <c r="I50" s="313">
        <f t="shared" si="2"/>
        <v>0</v>
      </c>
      <c r="J50" s="313">
        <f t="shared" si="2"/>
        <v>0</v>
      </c>
      <c r="K50" s="313">
        <f t="shared" si="2"/>
        <v>0</v>
      </c>
      <c r="L50" s="313">
        <f t="shared" si="2"/>
        <v>0</v>
      </c>
      <c r="M50" s="313">
        <f t="shared" si="2"/>
        <v>5.3323062590094098E-4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4.888264513916374E-5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9.2626162498837469E-3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5.3323062590094098E-4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13.578512538656595</v>
      </c>
      <c r="C54" s="21">
        <f t="shared" ref="C54:P54" si="3">(C50)*10^9/3600</f>
        <v>0</v>
      </c>
      <c r="D54" s="21">
        <f t="shared" si="3"/>
        <v>0</v>
      </c>
      <c r="E54" s="21">
        <f t="shared" si="3"/>
        <v>0</v>
      </c>
      <c r="F54" s="21">
        <f t="shared" si="3"/>
        <v>0</v>
      </c>
      <c r="G54" s="21">
        <f t="shared" si="3"/>
        <v>2572.9489583010409</v>
      </c>
      <c r="H54" s="21">
        <f t="shared" si="3"/>
        <v>0</v>
      </c>
      <c r="I54" s="21">
        <f t="shared" si="3"/>
        <v>0</v>
      </c>
      <c r="J54" s="21">
        <f t="shared" si="3"/>
        <v>0</v>
      </c>
      <c r="K54" s="21">
        <f t="shared" si="3"/>
        <v>0</v>
      </c>
      <c r="L54" s="21">
        <f t="shared" si="3"/>
        <v>0</v>
      </c>
      <c r="M54" s="21">
        <f t="shared" si="3"/>
        <v>148.11961830581694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0.2153874236840512</v>
      </c>
      <c r="C56" s="56">
        <f ca="1">'EF ele_warmte'!B22</f>
        <v>0.23607823565441696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2.9246408331628295</v>
      </c>
      <c r="C58" s="23">
        <f t="shared" ref="C58:P58" ca="1" si="4">C54*C56</f>
        <v>0</v>
      </c>
      <c r="D58" s="23">
        <f t="shared" si="4"/>
        <v>0</v>
      </c>
      <c r="E58" s="23">
        <f t="shared" si="4"/>
        <v>0</v>
      </c>
      <c r="F58" s="23">
        <f t="shared" si="4"/>
        <v>0</v>
      </c>
      <c r="G58" s="23">
        <f t="shared" si="4"/>
        <v>686.97737186637801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4"/>
  <sheetViews>
    <sheetView showGridLines="0" zoomScale="65" zoomScaleNormal="65" workbookViewId="0">
      <selection activeCell="A28" sqref="A28:XFD32"/>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8658.6982565442268</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N32</f>
        <v>19836.45</v>
      </c>
      <c r="C8" s="537">
        <f>B51</f>
        <v>23182.941176470591</v>
      </c>
      <c r="D8" s="1014"/>
      <c r="E8" s="1014">
        <f>E51</f>
        <v>0</v>
      </c>
      <c r="F8" s="1015"/>
      <c r="G8" s="538"/>
      <c r="H8" s="1014">
        <f>I51</f>
        <v>0</v>
      </c>
      <c r="I8" s="1014">
        <f>G51+F51</f>
        <v>0</v>
      </c>
      <c r="J8" s="1014">
        <f>H51+D51+C51</f>
        <v>154.05882352941177</v>
      </c>
      <c r="K8" s="1014"/>
      <c r="L8" s="1014"/>
      <c r="M8" s="1014"/>
      <c r="N8" s="539"/>
      <c r="O8" s="540">
        <f>C8*$C$12+D8*$D$12+E8*$E$12+F8*$F$12+G8*$G$12+H8*$H$12+I8*$I$12+J8*$J$12</f>
        <v>4682.9541176470593</v>
      </c>
      <c r="P8" s="1250"/>
      <c r="Q8" s="1251"/>
      <c r="S8" s="978"/>
      <c r="T8" s="1271"/>
      <c r="U8" s="1271"/>
    </row>
    <row r="9" spans="1:21" s="526" customFormat="1" ht="17.45" customHeight="1" thickBot="1">
      <c r="A9" s="541" t="s">
        <v>237</v>
      </c>
      <c r="B9" s="542">
        <f>N39+'Eigen informatie GS &amp; warmtenet'!B12</f>
        <v>0</v>
      </c>
      <c r="C9" s="543">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28495.148256544227</v>
      </c>
      <c r="C10" s="550">
        <f t="shared" ref="C10:L10" si="0">SUM(C8:C9)</f>
        <v>23182.941176470591</v>
      </c>
      <c r="D10" s="550">
        <f t="shared" si="0"/>
        <v>0</v>
      </c>
      <c r="E10" s="550">
        <f t="shared" si="0"/>
        <v>0</v>
      </c>
      <c r="F10" s="550">
        <f t="shared" si="0"/>
        <v>0</v>
      </c>
      <c r="G10" s="550">
        <f t="shared" si="0"/>
        <v>0</v>
      </c>
      <c r="H10" s="550">
        <f t="shared" si="0"/>
        <v>0</v>
      </c>
      <c r="I10" s="550">
        <f t="shared" si="0"/>
        <v>0</v>
      </c>
      <c r="J10" s="550">
        <f t="shared" si="0"/>
        <v>154.05882352941177</v>
      </c>
      <c r="K10" s="550">
        <f t="shared" si="0"/>
        <v>0</v>
      </c>
      <c r="L10" s="550">
        <f t="shared" si="0"/>
        <v>0</v>
      </c>
      <c r="M10" s="1017"/>
      <c r="N10" s="1017"/>
      <c r="O10" s="551">
        <f>SUM(O4:O9)</f>
        <v>4682.9541176470593</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O32</f>
        <v>28337.785714285714</v>
      </c>
      <c r="C17" s="562">
        <f>B52</f>
        <v>33118.487394957985</v>
      </c>
      <c r="D17" s="563"/>
      <c r="E17" s="563">
        <f>E52</f>
        <v>0</v>
      </c>
      <c r="F17" s="1020"/>
      <c r="G17" s="564"/>
      <c r="H17" s="562">
        <f>I52</f>
        <v>0</v>
      </c>
      <c r="I17" s="563">
        <f>G52+F52</f>
        <v>0</v>
      </c>
      <c r="J17" s="563">
        <f>H52+D52+C52</f>
        <v>220.08403361344537</v>
      </c>
      <c r="K17" s="563"/>
      <c r="L17" s="563"/>
      <c r="M17" s="563"/>
      <c r="N17" s="1021"/>
      <c r="O17" s="565">
        <f>C17*$C$22+E17*$E$22+H17*$H$22+I17*$I$22+J17*$J$22+D17*$D$22+F17*$F$22+G17*$G$22+K17*$K$22+L17*$L$22</f>
        <v>6689.9344537815132</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28337.785714285714</v>
      </c>
      <c r="C20" s="549">
        <f>SUM(C17:C19)</f>
        <v>33118.487394957985</v>
      </c>
      <c r="D20" s="549">
        <f t="shared" ref="D20:L20" si="1">SUM(D17:D19)</f>
        <v>0</v>
      </c>
      <c r="E20" s="549">
        <f t="shared" si="1"/>
        <v>0</v>
      </c>
      <c r="F20" s="549">
        <f t="shared" si="1"/>
        <v>0</v>
      </c>
      <c r="G20" s="549">
        <f t="shared" si="1"/>
        <v>0</v>
      </c>
      <c r="H20" s="549">
        <f t="shared" si="1"/>
        <v>0</v>
      </c>
      <c r="I20" s="549">
        <f t="shared" si="1"/>
        <v>0</v>
      </c>
      <c r="J20" s="549">
        <f t="shared" si="1"/>
        <v>220.08403361344537</v>
      </c>
      <c r="K20" s="549">
        <f t="shared" si="1"/>
        <v>0</v>
      </c>
      <c r="L20" s="549">
        <f t="shared" si="1"/>
        <v>0</v>
      </c>
      <c r="M20" s="549"/>
      <c r="N20" s="549"/>
      <c r="O20" s="568">
        <f>SUM(O17:O19)</f>
        <v>6689.9344537815132</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25.5" hidden="1">
      <c r="A28" s="572"/>
      <c r="B28" s="763">
        <v>13004</v>
      </c>
      <c r="C28" s="763">
        <v>2340</v>
      </c>
      <c r="D28" s="620"/>
      <c r="E28" s="619"/>
      <c r="F28" s="619"/>
      <c r="G28" s="619" t="s">
        <v>922</v>
      </c>
      <c r="H28" s="619" t="s">
        <v>923</v>
      </c>
      <c r="I28" s="619"/>
      <c r="J28" s="762"/>
      <c r="K28" s="762"/>
      <c r="L28" s="619" t="s">
        <v>924</v>
      </c>
      <c r="M28" s="619">
        <v>4309</v>
      </c>
      <c r="N28" s="619">
        <v>19390.5</v>
      </c>
      <c r="O28" s="619">
        <v>27700.714285714286</v>
      </c>
      <c r="P28" s="619">
        <v>55401.428571428572</v>
      </c>
      <c r="Q28" s="619">
        <v>0</v>
      </c>
      <c r="R28" s="619">
        <v>0</v>
      </c>
      <c r="S28" s="619">
        <v>0</v>
      </c>
      <c r="T28" s="619">
        <v>0</v>
      </c>
      <c r="U28" s="619">
        <v>0</v>
      </c>
      <c r="V28" s="619">
        <v>0</v>
      </c>
      <c r="W28" s="619">
        <v>0</v>
      </c>
      <c r="X28" s="619">
        <v>10</v>
      </c>
      <c r="Y28" s="619" t="s">
        <v>105</v>
      </c>
      <c r="Z28" s="621" t="s">
        <v>105</v>
      </c>
    </row>
    <row r="29" spans="1:26" s="573" customFormat="1" ht="25.5" hidden="1">
      <c r="A29" s="572"/>
      <c r="B29" s="763">
        <v>13004</v>
      </c>
      <c r="C29" s="763">
        <v>2340</v>
      </c>
      <c r="D29" s="620"/>
      <c r="E29" s="619"/>
      <c r="F29" s="619"/>
      <c r="G29" s="619" t="s">
        <v>922</v>
      </c>
      <c r="H29" s="619" t="s">
        <v>923</v>
      </c>
      <c r="I29" s="619"/>
      <c r="J29" s="762"/>
      <c r="K29" s="762"/>
      <c r="L29" s="619" t="s">
        <v>924</v>
      </c>
      <c r="M29" s="619">
        <v>9.6999999999999993</v>
      </c>
      <c r="N29" s="619">
        <v>43.649999999999991</v>
      </c>
      <c r="O29" s="619">
        <v>62.357142857142847</v>
      </c>
      <c r="P29" s="619">
        <v>0</v>
      </c>
      <c r="Q29" s="619">
        <v>124.71428571428569</v>
      </c>
      <c r="R29" s="619">
        <v>0</v>
      </c>
      <c r="S29" s="619">
        <v>0</v>
      </c>
      <c r="T29" s="619">
        <v>0</v>
      </c>
      <c r="U29" s="619">
        <v>0</v>
      </c>
      <c r="V29" s="619">
        <v>0</v>
      </c>
      <c r="W29" s="619">
        <v>0</v>
      </c>
      <c r="X29" s="619">
        <v>10</v>
      </c>
      <c r="Y29" s="619" t="s">
        <v>105</v>
      </c>
      <c r="Z29" s="621" t="s">
        <v>105</v>
      </c>
    </row>
    <row r="30" spans="1:26" s="573" customFormat="1" ht="25.5" hidden="1">
      <c r="A30" s="572"/>
      <c r="B30" s="763">
        <v>13004</v>
      </c>
      <c r="C30" s="763">
        <v>2340</v>
      </c>
      <c r="D30" s="620"/>
      <c r="E30" s="619"/>
      <c r="F30" s="619"/>
      <c r="G30" s="619" t="s">
        <v>922</v>
      </c>
      <c r="H30" s="619" t="s">
        <v>923</v>
      </c>
      <c r="I30" s="619"/>
      <c r="J30" s="762"/>
      <c r="K30" s="762"/>
      <c r="L30" s="619" t="s">
        <v>924</v>
      </c>
      <c r="M30" s="619">
        <v>19.399999999999999</v>
      </c>
      <c r="N30" s="619">
        <v>87.299999999999983</v>
      </c>
      <c r="O30" s="619">
        <v>124.71428571428569</v>
      </c>
      <c r="P30" s="619">
        <v>0</v>
      </c>
      <c r="Q30" s="619">
        <v>249.42857142857139</v>
      </c>
      <c r="R30" s="619">
        <v>0</v>
      </c>
      <c r="S30" s="619">
        <v>0</v>
      </c>
      <c r="T30" s="619">
        <v>0</v>
      </c>
      <c r="U30" s="619">
        <v>0</v>
      </c>
      <c r="V30" s="619">
        <v>0</v>
      </c>
      <c r="W30" s="619">
        <v>0</v>
      </c>
      <c r="X30" s="619">
        <v>10</v>
      </c>
      <c r="Y30" s="619" t="s">
        <v>105</v>
      </c>
      <c r="Z30" s="621" t="s">
        <v>105</v>
      </c>
    </row>
    <row r="31" spans="1:26" s="573" customFormat="1" ht="63.75" hidden="1">
      <c r="A31" s="572"/>
      <c r="B31" s="763">
        <v>13004</v>
      </c>
      <c r="C31" s="763">
        <v>2340</v>
      </c>
      <c r="D31" s="620"/>
      <c r="E31" s="619"/>
      <c r="F31" s="619"/>
      <c r="G31" s="619" t="s">
        <v>922</v>
      </c>
      <c r="H31" s="619" t="s">
        <v>923</v>
      </c>
      <c r="I31" s="619"/>
      <c r="J31" s="762"/>
      <c r="K31" s="762"/>
      <c r="L31" s="619" t="s">
        <v>924</v>
      </c>
      <c r="M31" s="619">
        <v>70</v>
      </c>
      <c r="N31" s="619">
        <v>315.00000000000006</v>
      </c>
      <c r="O31" s="619">
        <v>450.00000000000011</v>
      </c>
      <c r="P31" s="619">
        <v>900.00000000000023</v>
      </c>
      <c r="Q31" s="619">
        <v>0</v>
      </c>
      <c r="R31" s="619">
        <v>0</v>
      </c>
      <c r="S31" s="619">
        <v>0</v>
      </c>
      <c r="T31" s="619">
        <v>0</v>
      </c>
      <c r="U31" s="619">
        <v>0</v>
      </c>
      <c r="V31" s="619">
        <v>0</v>
      </c>
      <c r="W31" s="619">
        <v>0</v>
      </c>
      <c r="X31" s="619">
        <v>1600</v>
      </c>
      <c r="Y31" s="619" t="s">
        <v>49</v>
      </c>
      <c r="Z31" s="621" t="s">
        <v>149</v>
      </c>
    </row>
    <row r="32" spans="1:26" s="557" customFormat="1" hidden="1">
      <c r="A32" s="575" t="s">
        <v>269</v>
      </c>
      <c r="B32" s="576"/>
      <c r="C32" s="576"/>
      <c r="D32" s="576"/>
      <c r="E32" s="576"/>
      <c r="F32" s="576"/>
      <c r="G32" s="576"/>
      <c r="H32" s="576"/>
      <c r="I32" s="576"/>
      <c r="J32" s="576"/>
      <c r="K32" s="576"/>
      <c r="L32" s="577"/>
      <c r="M32" s="577">
        <f>SUM(M28:M31)</f>
        <v>4408.0999999999995</v>
      </c>
      <c r="N32" s="577">
        <f>SUM(N28:N31)</f>
        <v>19836.45</v>
      </c>
      <c r="O32" s="577">
        <f>SUM(O28:O31)</f>
        <v>28337.785714285714</v>
      </c>
      <c r="P32" s="577">
        <f>SUM(P28:P31)</f>
        <v>56301.428571428572</v>
      </c>
      <c r="Q32" s="577">
        <f>SUM(Q28:Q31)</f>
        <v>374.14285714285711</v>
      </c>
      <c r="R32" s="577">
        <f>SUM(R28:R31)</f>
        <v>0</v>
      </c>
      <c r="S32" s="577">
        <f>SUM(S28:S31)</f>
        <v>0</v>
      </c>
      <c r="T32" s="577">
        <f>SUM(T28:T31)</f>
        <v>0</v>
      </c>
      <c r="U32" s="577">
        <f>SUM(U28:U31)</f>
        <v>0</v>
      </c>
      <c r="V32" s="577">
        <f>SUM(V28:V31)</f>
        <v>0</v>
      </c>
      <c r="W32" s="577">
        <f>SUM(W28:W31)</f>
        <v>0</v>
      </c>
      <c r="X32" s="578"/>
      <c r="Y32" s="578"/>
      <c r="Z32" s="579"/>
    </row>
    <row r="33" spans="1:27" s="557" customFormat="1">
      <c r="A33" s="575" t="s">
        <v>276</v>
      </c>
      <c r="B33" s="576"/>
      <c r="C33" s="576"/>
      <c r="D33" s="576"/>
      <c r="E33" s="576"/>
      <c r="F33" s="576"/>
      <c r="G33" s="576"/>
      <c r="H33" s="576"/>
      <c r="I33" s="576"/>
      <c r="J33" s="576"/>
      <c r="K33" s="576"/>
      <c r="L33" s="577"/>
      <c r="M33" s="577">
        <f>SUMIF($Z$28:$Z$31,"industrie",M28:M31)</f>
        <v>0</v>
      </c>
      <c r="N33" s="577">
        <f>SUMIF($Z$28:$Z$31,"industrie",N28:N31)</f>
        <v>0</v>
      </c>
      <c r="O33" s="577">
        <f>SUMIF($Z$28:$Z$31,"industrie",O28:O31)</f>
        <v>0</v>
      </c>
      <c r="P33" s="577">
        <f>SUMIF($Z$28:$Z$31,"industrie",P28:P31)</f>
        <v>0</v>
      </c>
      <c r="Q33" s="577">
        <f>SUMIF($Z$28:$Z$31,"industrie",Q28:Q31)</f>
        <v>0</v>
      </c>
      <c r="R33" s="577">
        <f>SUMIF($Z$28:$Z$31,"industrie",R28:R31)</f>
        <v>0</v>
      </c>
      <c r="S33" s="577">
        <f>SUMIF($Z$28:$Z$31,"industrie",S28:S31)</f>
        <v>0</v>
      </c>
      <c r="T33" s="577">
        <f>SUMIF($Z$28:$Z$31,"industrie",T28:T31)</f>
        <v>0</v>
      </c>
      <c r="U33" s="577">
        <f>SUMIF($Z$28:$Z$31,"industrie",U28:U31)</f>
        <v>0</v>
      </c>
      <c r="V33" s="577">
        <f>SUMIF($Z$28:$Z$31,"industrie",V28:V31)</f>
        <v>0</v>
      </c>
      <c r="W33" s="577">
        <f>SUMIF($Z$28:$Z$31,"industrie",W28:W31)</f>
        <v>0</v>
      </c>
      <c r="X33" s="578"/>
      <c r="Y33" s="578"/>
      <c r="Z33" s="579"/>
    </row>
    <row r="34" spans="1:27" s="557" customFormat="1">
      <c r="A34" s="575" t="s">
        <v>277</v>
      </c>
      <c r="B34" s="576"/>
      <c r="C34" s="576"/>
      <c r="D34" s="576"/>
      <c r="E34" s="576"/>
      <c r="F34" s="576"/>
      <c r="G34" s="576"/>
      <c r="H34" s="576"/>
      <c r="I34" s="576"/>
      <c r="J34" s="576"/>
      <c r="K34" s="576"/>
      <c r="L34" s="577"/>
      <c r="M34" s="577">
        <f ca="1">SUMIF($Z$28:AC31,"tertiair",M28:M31)</f>
        <v>70</v>
      </c>
      <c r="N34" s="577">
        <f ca="1">SUMIF($Z$28:AD31,"tertiair",N28:N31)</f>
        <v>315.00000000000006</v>
      </c>
      <c r="O34" s="577">
        <f ca="1">SUMIF($Z$28:AE31,"tertiair",O28:O31)</f>
        <v>450.00000000000011</v>
      </c>
      <c r="P34" s="577">
        <f ca="1">SUMIF($Z$28:AF31,"tertiair",P28:P31)</f>
        <v>900.00000000000023</v>
      </c>
      <c r="Q34" s="577">
        <f ca="1">SUMIF($Z$28:AG31,"tertiair",Q28:Q31)</f>
        <v>0</v>
      </c>
      <c r="R34" s="577">
        <f ca="1">SUMIF($Z$28:AH31,"tertiair",R28:R31)</f>
        <v>0</v>
      </c>
      <c r="S34" s="577">
        <f ca="1">SUMIF($Z$28:AI31,"tertiair",S28:S31)</f>
        <v>0</v>
      </c>
      <c r="T34" s="577">
        <f ca="1">SUMIF($Z$28:AJ31,"tertiair",T28:T31)</f>
        <v>0</v>
      </c>
      <c r="U34" s="577">
        <f ca="1">SUMIF($Z$28:AK31,"tertiair",U28:U31)</f>
        <v>0</v>
      </c>
      <c r="V34" s="577">
        <f ca="1">SUMIF($Z$28:AL31,"tertiair",V28:V31)</f>
        <v>0</v>
      </c>
      <c r="W34" s="577">
        <f ca="1">SUMIF($Z$28:AM31,"tertiair",W28:W31)</f>
        <v>0</v>
      </c>
      <c r="X34" s="578"/>
      <c r="Y34" s="578"/>
      <c r="Z34" s="579"/>
    </row>
    <row r="35" spans="1:27" s="557" customFormat="1" ht="15.75" thickBot="1">
      <c r="A35" s="580" t="s">
        <v>278</v>
      </c>
      <c r="B35" s="581"/>
      <c r="C35" s="581"/>
      <c r="D35" s="581"/>
      <c r="E35" s="581"/>
      <c r="F35" s="581"/>
      <c r="G35" s="581"/>
      <c r="H35" s="581"/>
      <c r="I35" s="581"/>
      <c r="J35" s="581"/>
      <c r="K35" s="581"/>
      <c r="L35" s="582"/>
      <c r="M35" s="582">
        <f>SUMIF($Z$28:$Z$31,"landbouw",M28:M31)</f>
        <v>4338.0999999999995</v>
      </c>
      <c r="N35" s="582">
        <f>SUMIF($Z$28:$Z$31,"landbouw",N28:N31)</f>
        <v>19521.45</v>
      </c>
      <c r="O35" s="582">
        <f>SUMIF($Z$28:$Z$31,"landbouw",O28:O31)</f>
        <v>27887.785714285714</v>
      </c>
      <c r="P35" s="582">
        <f>SUMIF($Z$28:$Z$31,"landbouw",P28:P31)</f>
        <v>55401.428571428572</v>
      </c>
      <c r="Q35" s="582">
        <f>SUMIF($Z$28:$Z$31,"landbouw",Q28:Q31)</f>
        <v>374.14285714285711</v>
      </c>
      <c r="R35" s="582">
        <f>SUMIF($Z$28:$Z$31,"landbouw",R28:R31)</f>
        <v>0</v>
      </c>
      <c r="S35" s="582">
        <f>SUMIF($Z$28:$Z$31,"landbouw",S28:S31)</f>
        <v>0</v>
      </c>
      <c r="T35" s="582">
        <f>SUMIF($Z$28:$Z$31,"landbouw",T28:T31)</f>
        <v>0</v>
      </c>
      <c r="U35" s="582">
        <f>SUMIF($Z$28:$Z$31,"landbouw",U28:U31)</f>
        <v>0</v>
      </c>
      <c r="V35" s="582">
        <f>SUMIF($Z$28:$Z$31,"landbouw",V28:V31)</f>
        <v>0</v>
      </c>
      <c r="W35" s="582">
        <f>SUMIF($Z$28:$Z$31,"landbouw",W28:W31)</f>
        <v>0</v>
      </c>
      <c r="X35" s="583"/>
      <c r="Y35" s="583"/>
      <c r="Z35" s="584"/>
    </row>
    <row r="36" spans="1:27" s="526" customFormat="1" ht="15.75" thickBot="1">
      <c r="A36" s="585"/>
      <c r="B36" s="586"/>
      <c r="C36" s="586"/>
      <c r="D36" s="586"/>
      <c r="E36" s="586"/>
      <c r="F36" s="586"/>
      <c r="G36" s="586"/>
      <c r="H36" s="586"/>
      <c r="I36" s="586"/>
      <c r="J36" s="586"/>
      <c r="K36" s="586"/>
      <c r="L36" s="569"/>
      <c r="M36" s="569"/>
      <c r="N36" s="569"/>
      <c r="O36" s="570"/>
      <c r="P36" s="570"/>
    </row>
    <row r="37" spans="1:27" s="526" customFormat="1" ht="45">
      <c r="A37" s="587" t="s">
        <v>270</v>
      </c>
      <c r="B37" s="616" t="s">
        <v>89</v>
      </c>
      <c r="C37" s="616" t="s">
        <v>90</v>
      </c>
      <c r="D37" s="616"/>
      <c r="E37" s="616"/>
      <c r="F37" s="616"/>
      <c r="G37" s="616" t="s">
        <v>91</v>
      </c>
      <c r="H37" s="616" t="s">
        <v>92</v>
      </c>
      <c r="I37" s="616"/>
      <c r="J37" s="616"/>
      <c r="K37" s="616"/>
      <c r="L37" s="616" t="s">
        <v>93</v>
      </c>
      <c r="M37" s="617" t="s">
        <v>287</v>
      </c>
      <c r="N37" s="617" t="s">
        <v>94</v>
      </c>
      <c r="O37" s="617" t="s">
        <v>95</v>
      </c>
      <c r="P37" s="617" t="s">
        <v>531</v>
      </c>
      <c r="Q37" s="617" t="s">
        <v>96</v>
      </c>
      <c r="R37" s="617" t="s">
        <v>97</v>
      </c>
      <c r="S37" s="617" t="s">
        <v>98</v>
      </c>
      <c r="T37" s="617" t="s">
        <v>99</v>
      </c>
      <c r="U37" s="617" t="s">
        <v>100</v>
      </c>
      <c r="V37" s="617" t="s">
        <v>101</v>
      </c>
      <c r="W37" s="616" t="s">
        <v>102</v>
      </c>
      <c r="X37" s="616" t="s">
        <v>288</v>
      </c>
      <c r="Y37" s="616" t="s">
        <v>103</v>
      </c>
      <c r="Z37" s="618" t="s">
        <v>289</v>
      </c>
    </row>
    <row r="38" spans="1:27" s="588" customFormat="1" ht="12.75" hidden="1">
      <c r="A38" s="574"/>
      <c r="B38" s="763"/>
      <c r="C38" s="763"/>
      <c r="D38" s="622"/>
      <c r="E38" s="622"/>
      <c r="F38" s="622"/>
      <c r="G38" s="622"/>
      <c r="H38" s="622"/>
      <c r="I38" s="622"/>
      <c r="J38" s="762"/>
      <c r="K38" s="762"/>
      <c r="L38" s="622"/>
      <c r="M38" s="622"/>
      <c r="N38" s="622"/>
      <c r="O38" s="622"/>
      <c r="P38" s="622"/>
      <c r="Q38" s="622"/>
      <c r="R38" s="622"/>
      <c r="S38" s="622"/>
      <c r="T38" s="622"/>
      <c r="U38" s="622"/>
      <c r="V38" s="622"/>
      <c r="W38" s="622"/>
      <c r="X38" s="622"/>
      <c r="Y38" s="622"/>
      <c r="Z38" s="623"/>
    </row>
    <row r="39" spans="1:27" s="557" customFormat="1" hidden="1">
      <c r="A39" s="575" t="s">
        <v>269</v>
      </c>
      <c r="B39" s="576"/>
      <c r="C39" s="576"/>
      <c r="D39" s="576"/>
      <c r="E39" s="576"/>
      <c r="F39" s="576"/>
      <c r="G39" s="576"/>
      <c r="H39" s="576"/>
      <c r="I39" s="576"/>
      <c r="J39" s="576"/>
      <c r="K39" s="576"/>
      <c r="L39" s="577"/>
      <c r="M39" s="577">
        <f>SUM(M38:M38)</f>
        <v>0</v>
      </c>
      <c r="N39" s="577">
        <f>SUM(N38:N38)</f>
        <v>0</v>
      </c>
      <c r="O39" s="577">
        <f>SUM(O38:O38)</f>
        <v>0</v>
      </c>
      <c r="P39" s="577">
        <f>SUM(P38:P38)</f>
        <v>0</v>
      </c>
      <c r="Q39" s="577">
        <f>SUM(Q38:Q38)</f>
        <v>0</v>
      </c>
      <c r="R39" s="577">
        <f>SUM(R38:R38)</f>
        <v>0</v>
      </c>
      <c r="S39" s="577">
        <f>SUM(S38:S38)</f>
        <v>0</v>
      </c>
      <c r="T39" s="577">
        <f>SUM(T38:T38)</f>
        <v>0</v>
      </c>
      <c r="U39" s="577">
        <f>SUM(U38:U38)</f>
        <v>0</v>
      </c>
      <c r="V39" s="577">
        <f>SUM(V38:V38)</f>
        <v>0</v>
      </c>
      <c r="W39" s="577">
        <f>SUM(W38:W38)</f>
        <v>0</v>
      </c>
      <c r="X39" s="578"/>
      <c r="Y39" s="578"/>
      <c r="Z39" s="579"/>
    </row>
    <row r="40" spans="1:27" s="557" customFormat="1">
      <c r="A40" s="575" t="s">
        <v>276</v>
      </c>
      <c r="B40" s="576"/>
      <c r="C40" s="576"/>
      <c r="D40" s="576"/>
      <c r="E40" s="576"/>
      <c r="F40" s="576"/>
      <c r="G40" s="576"/>
      <c r="H40" s="576"/>
      <c r="I40" s="576"/>
      <c r="J40" s="576"/>
      <c r="K40" s="576"/>
      <c r="L40" s="577"/>
      <c r="M40" s="577">
        <f>SUMIF($Z$38:$Z$38,"industrie",M38:M38)</f>
        <v>0</v>
      </c>
      <c r="N40" s="577">
        <f>SUMIF($Z$38:$Z$38,"industrie",N38:N38)</f>
        <v>0</v>
      </c>
      <c r="O40" s="577">
        <f>SUMIF($Z$38:$Z$38,"industrie",O38:O38)</f>
        <v>0</v>
      </c>
      <c r="P40" s="577">
        <f>SUMIF($Z$38:$Z$38,"industrie",P38:P38)</f>
        <v>0</v>
      </c>
      <c r="Q40" s="577">
        <f>SUMIF($Z$38:$Z$38,"industrie",Q38:Q38)</f>
        <v>0</v>
      </c>
      <c r="R40" s="577">
        <f>SUMIF($Z$38:$Z$38,"industrie",R38:R38)</f>
        <v>0</v>
      </c>
      <c r="S40" s="577">
        <f>SUMIF($Z$38:$Z$38,"industrie",S38:S38)</f>
        <v>0</v>
      </c>
      <c r="T40" s="577">
        <f>SUMIF($Z$38:$Z$38,"industrie",T38:T38)</f>
        <v>0</v>
      </c>
      <c r="U40" s="577">
        <f>SUMIF($Z$38:$Z$38,"industrie",U38:U38)</f>
        <v>0</v>
      </c>
      <c r="V40" s="577">
        <f>SUMIF($Z$38:$Z$38,"industrie",V38:V38)</f>
        <v>0</v>
      </c>
      <c r="W40" s="577">
        <f>SUMIF($Z$38:$Z$38,"industrie",W38:W38)</f>
        <v>0</v>
      </c>
      <c r="X40" s="578"/>
      <c r="Y40" s="578"/>
      <c r="Z40" s="579"/>
    </row>
    <row r="41" spans="1:27" s="557" customFormat="1">
      <c r="A41" s="575" t="s">
        <v>277</v>
      </c>
      <c r="B41" s="576"/>
      <c r="C41" s="576"/>
      <c r="D41" s="576"/>
      <c r="E41" s="576"/>
      <c r="F41" s="576"/>
      <c r="G41" s="576"/>
      <c r="H41" s="576"/>
      <c r="I41" s="576"/>
      <c r="J41" s="576"/>
      <c r="K41" s="576"/>
      <c r="L41" s="577"/>
      <c r="M41" s="577">
        <f>SUMIF($Z$38:$Z$39,"tertiair",M38:M39)</f>
        <v>0</v>
      </c>
      <c r="N41" s="577">
        <f>SUMIF($Z$38:$Z$39,"tertiair",N38:N39)</f>
        <v>0</v>
      </c>
      <c r="O41" s="577">
        <f>SUMIF($Z$38:$Z$39,"tertiair",O38:O39)</f>
        <v>0</v>
      </c>
      <c r="P41" s="577">
        <f>SUMIF($Z$38:$Z$39,"tertiair",P38:P39)</f>
        <v>0</v>
      </c>
      <c r="Q41" s="577">
        <f>SUMIF($Z$38:$Z$39,"tertiair",Q38:Q39)</f>
        <v>0</v>
      </c>
      <c r="R41" s="577">
        <f>SUMIF($Z$38:$Z$39,"tertiair",R38:R39)</f>
        <v>0</v>
      </c>
      <c r="S41" s="577">
        <f>SUMIF($Z$38:$Z$39,"tertiair",S38:S39)</f>
        <v>0</v>
      </c>
      <c r="T41" s="577">
        <f>SUMIF($Z$38:$Z$39,"tertiair",T38:T39)</f>
        <v>0</v>
      </c>
      <c r="U41" s="577">
        <f>SUMIF($Z$38:$Z$39,"tertiair",U38:U39)</f>
        <v>0</v>
      </c>
      <c r="V41" s="577">
        <f>SUMIF($Z$38:$Z$39,"tertiair",V38:V39)</f>
        <v>0</v>
      </c>
      <c r="W41" s="577">
        <f>SUMIF($Z$38:$Z$39,"tertiair",W38:W39)</f>
        <v>0</v>
      </c>
      <c r="X41" s="578"/>
      <c r="Y41" s="578"/>
      <c r="Z41" s="579"/>
    </row>
    <row r="42" spans="1:27" s="557" customFormat="1" ht="15.75" thickBot="1">
      <c r="A42" s="580" t="s">
        <v>278</v>
      </c>
      <c r="B42" s="581"/>
      <c r="C42" s="581"/>
      <c r="D42" s="581"/>
      <c r="E42" s="581"/>
      <c r="F42" s="581"/>
      <c r="G42" s="581"/>
      <c r="H42" s="581"/>
      <c r="I42" s="581"/>
      <c r="J42" s="581"/>
      <c r="K42" s="581"/>
      <c r="L42" s="582"/>
      <c r="M42" s="582">
        <f>SUMIF($Z$38:$Z$40,"landbouw",M38:M40)</f>
        <v>0</v>
      </c>
      <c r="N42" s="582">
        <f>SUMIF($Z$38:$Z$40,"landbouw",N38:N40)</f>
        <v>0</v>
      </c>
      <c r="O42" s="582">
        <f>SUMIF($Z$38:$Z$40,"landbouw",O38:O40)</f>
        <v>0</v>
      </c>
      <c r="P42" s="582">
        <f>SUMIF($Z$38:$Z$40,"landbouw",P38:P40)</f>
        <v>0</v>
      </c>
      <c r="Q42" s="582">
        <f>SUMIF($Z$38:$Z$40,"landbouw",Q38:Q40)</f>
        <v>0</v>
      </c>
      <c r="R42" s="582">
        <f>SUMIF($Z$38:$Z$40,"landbouw",R38:R40)</f>
        <v>0</v>
      </c>
      <c r="S42" s="582">
        <f>SUMIF($Z$38:$Z$40,"landbouw",S38:S40)</f>
        <v>0</v>
      </c>
      <c r="T42" s="582">
        <f>SUMIF($Z$38:$Z$40,"landbouw",T38:T40)</f>
        <v>0</v>
      </c>
      <c r="U42" s="582">
        <f>SUMIF($Z$38:$Z$40,"landbouw",U38:U40)</f>
        <v>0</v>
      </c>
      <c r="V42" s="582">
        <f>SUMIF($Z$38:$Z$40,"landbouw",V38:V40)</f>
        <v>0</v>
      </c>
      <c r="W42" s="582">
        <f>SUMIF($Z$38:$Z$40,"landbouw",W38:W40)</f>
        <v>0</v>
      </c>
      <c r="X42" s="583"/>
      <c r="Y42" s="583"/>
      <c r="Z42" s="584"/>
    </row>
    <row r="43" spans="1:27" s="589" customFormat="1">
      <c r="A43" s="585"/>
      <c r="B43" s="569"/>
      <c r="C43" s="569"/>
      <c r="D43" s="569"/>
      <c r="E43" s="569"/>
      <c r="F43" s="569"/>
      <c r="G43" s="569"/>
      <c r="H43" s="569"/>
      <c r="I43" s="569"/>
      <c r="J43" s="569"/>
      <c r="K43" s="569"/>
      <c r="L43" s="569"/>
      <c r="M43" s="569"/>
      <c r="N43" s="569"/>
      <c r="O43" s="569"/>
      <c r="P43" s="569"/>
      <c r="Q43" s="569"/>
      <c r="R43" s="569"/>
      <c r="S43" s="569"/>
      <c r="T43" s="569"/>
      <c r="U43" s="569"/>
      <c r="V43" s="569"/>
      <c r="W43" s="569"/>
      <c r="X43" s="569"/>
      <c r="Y43" s="569"/>
    </row>
    <row r="44" spans="1:27" s="589" customFormat="1" ht="15.75" thickBot="1">
      <c r="A44" s="585"/>
      <c r="B44" s="569"/>
      <c r="C44" s="569"/>
      <c r="D44" s="569"/>
      <c r="E44" s="569"/>
      <c r="F44" s="569"/>
      <c r="G44" s="569"/>
      <c r="H44" s="569"/>
      <c r="I44" s="569"/>
      <c r="J44" s="569"/>
      <c r="K44" s="569"/>
      <c r="L44" s="569"/>
      <c r="M44" s="569"/>
      <c r="N44" s="569"/>
      <c r="O44" s="569"/>
      <c r="P44" s="569"/>
      <c r="Q44" s="569"/>
      <c r="R44" s="569"/>
      <c r="S44" s="569"/>
      <c r="T44" s="569"/>
      <c r="U44" s="569"/>
      <c r="V44" s="569"/>
      <c r="W44" s="569"/>
      <c r="X44" s="569"/>
      <c r="Y44" s="569"/>
      <c r="Z44" s="569"/>
      <c r="AA44" s="569"/>
    </row>
    <row r="45" spans="1:27">
      <c r="A45" s="590" t="s">
        <v>271</v>
      </c>
      <c r="B45" s="591"/>
      <c r="C45" s="591"/>
      <c r="D45" s="591"/>
      <c r="E45" s="591"/>
      <c r="F45" s="591"/>
      <c r="G45" s="591"/>
      <c r="H45" s="591"/>
      <c r="I45" s="592"/>
      <c r="J45" s="593"/>
      <c r="K45" s="593"/>
      <c r="L45" s="594"/>
      <c r="M45" s="594"/>
      <c r="N45" s="594"/>
      <c r="O45" s="594"/>
      <c r="P45" s="594"/>
    </row>
    <row r="46" spans="1:27">
      <c r="A46" s="596"/>
      <c r="B46" s="586"/>
      <c r="C46" s="586"/>
      <c r="D46" s="586"/>
      <c r="E46" s="586"/>
      <c r="F46" s="586"/>
      <c r="G46" s="586"/>
      <c r="H46" s="586"/>
      <c r="I46" s="597"/>
      <c r="J46" s="586"/>
      <c r="K46" s="586"/>
      <c r="L46" s="594"/>
      <c r="M46" s="594"/>
      <c r="N46" s="594"/>
      <c r="O46" s="594"/>
      <c r="P46" s="594"/>
    </row>
    <row r="47" spans="1:27">
      <c r="A47" s="598"/>
      <c r="B47" s="599" t="s">
        <v>272</v>
      </c>
      <c r="C47" s="599" t="s">
        <v>273</v>
      </c>
      <c r="D47" s="599"/>
      <c r="E47" s="599"/>
      <c r="F47" s="599"/>
      <c r="G47" s="599"/>
      <c r="H47" s="599"/>
      <c r="I47" s="600"/>
      <c r="J47" s="599"/>
      <c r="K47" s="599"/>
      <c r="L47" s="599"/>
      <c r="M47" s="599"/>
      <c r="N47" s="599"/>
      <c r="O47" s="599"/>
      <c r="P47" s="594"/>
    </row>
    <row r="48" spans="1:27">
      <c r="A48" s="596" t="s">
        <v>269</v>
      </c>
      <c r="B48" s="601">
        <f>IF(ISERROR(O32/(O32+N32)),0,O32/(O32+N32))</f>
        <v>0.58823529411764708</v>
      </c>
      <c r="C48" s="602">
        <f>IF(ISERROR(N32/(O32+N32)),0,N32/(N32+O32))</f>
        <v>0.41176470588235298</v>
      </c>
      <c r="D48" s="569"/>
      <c r="E48" s="569"/>
      <c r="F48" s="569"/>
      <c r="G48" s="569"/>
      <c r="H48" s="569"/>
      <c r="I48" s="603"/>
      <c r="J48" s="569"/>
      <c r="K48" s="569"/>
      <c r="L48" s="604"/>
      <c r="M48" s="604"/>
      <c r="N48" s="604"/>
      <c r="O48" s="604"/>
      <c r="P48" s="594"/>
    </row>
    <row r="49" spans="1:16">
      <c r="A49" s="596"/>
      <c r="B49" s="605"/>
      <c r="C49" s="605"/>
      <c r="D49" s="605"/>
      <c r="E49" s="605"/>
      <c r="F49" s="605"/>
      <c r="G49" s="605"/>
      <c r="H49" s="605"/>
      <c r="I49" s="606"/>
      <c r="J49" s="605"/>
      <c r="K49" s="605"/>
      <c r="L49" s="607"/>
      <c r="M49" s="607"/>
      <c r="N49" s="607"/>
      <c r="O49" s="607"/>
      <c r="P49" s="594"/>
    </row>
    <row r="50" spans="1:16" ht="30">
      <c r="A50" s="608"/>
      <c r="B50" s="609" t="s">
        <v>531</v>
      </c>
      <c r="C50" s="609" t="s">
        <v>96</v>
      </c>
      <c r="D50" s="609" t="s">
        <v>97</v>
      </c>
      <c r="E50" s="609" t="s">
        <v>98</v>
      </c>
      <c r="F50" s="609" t="s">
        <v>99</v>
      </c>
      <c r="G50" s="609" t="s">
        <v>100</v>
      </c>
      <c r="H50" s="609" t="s">
        <v>101</v>
      </c>
      <c r="I50" s="610" t="s">
        <v>102</v>
      </c>
      <c r="J50" s="599"/>
      <c r="K50" s="599"/>
      <c r="L50" s="607"/>
      <c r="M50" s="607"/>
      <c r="N50" s="607"/>
      <c r="O50" s="594"/>
      <c r="P50" s="594"/>
    </row>
    <row r="51" spans="1:16">
      <c r="A51" s="598" t="s">
        <v>274</v>
      </c>
      <c r="B51" s="611">
        <f t="shared" ref="B51:I51" si="2">$C$48*P32</f>
        <v>23182.941176470591</v>
      </c>
      <c r="C51" s="611">
        <f t="shared" si="2"/>
        <v>154.05882352941177</v>
      </c>
      <c r="D51" s="611">
        <f t="shared" si="2"/>
        <v>0</v>
      </c>
      <c r="E51" s="611">
        <f t="shared" si="2"/>
        <v>0</v>
      </c>
      <c r="F51" s="611">
        <f t="shared" si="2"/>
        <v>0</v>
      </c>
      <c r="G51" s="611">
        <f t="shared" si="2"/>
        <v>0</v>
      </c>
      <c r="H51" s="611">
        <f t="shared" si="2"/>
        <v>0</v>
      </c>
      <c r="I51" s="612">
        <f t="shared" si="2"/>
        <v>0</v>
      </c>
      <c r="J51" s="569"/>
      <c r="K51" s="569"/>
      <c r="L51" s="607"/>
      <c r="M51" s="607"/>
      <c r="N51" s="607"/>
      <c r="O51" s="594"/>
      <c r="P51" s="594"/>
    </row>
    <row r="52" spans="1:16" ht="15.75" thickBot="1">
      <c r="A52" s="613" t="s">
        <v>275</v>
      </c>
      <c r="B52" s="614">
        <f t="shared" ref="B52:I52" si="3">$B$48*P32</f>
        <v>33118.487394957985</v>
      </c>
      <c r="C52" s="614">
        <f t="shared" si="3"/>
        <v>220.08403361344537</v>
      </c>
      <c r="D52" s="614">
        <f t="shared" si="3"/>
        <v>0</v>
      </c>
      <c r="E52" s="614">
        <f t="shared" si="3"/>
        <v>0</v>
      </c>
      <c r="F52" s="614">
        <f t="shared" si="3"/>
        <v>0</v>
      </c>
      <c r="G52" s="614">
        <f t="shared" si="3"/>
        <v>0</v>
      </c>
      <c r="H52" s="614">
        <f t="shared" si="3"/>
        <v>0</v>
      </c>
      <c r="I52" s="615">
        <f t="shared" si="3"/>
        <v>0</v>
      </c>
      <c r="J52" s="569"/>
      <c r="K52" s="569"/>
      <c r="L52" s="607"/>
      <c r="M52" s="607"/>
      <c r="N52" s="607"/>
      <c r="O52" s="594"/>
      <c r="P52" s="594"/>
    </row>
    <row r="53" spans="1:16">
      <c r="J53" s="555"/>
      <c r="K53" s="555"/>
      <c r="L53" s="555"/>
      <c r="M53" s="555"/>
      <c r="N53" s="555"/>
    </row>
    <row r="54" spans="1:16">
      <c r="J54" s="555"/>
      <c r="K54" s="555"/>
      <c r="L54" s="555"/>
      <c r="M54" s="555"/>
      <c r="N54"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2021-11-11T13:07:57Z</dcterms:modified>
</cp:coreProperties>
</file>