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CCF6FD8-61FE-47B3-900F-E150AE5AA92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O89" i="14" s="1"/>
  <c r="O19" i="59" s="1"/>
  <c r="K19" i="18"/>
  <c r="N89" i="14" s="1"/>
  <c r="N19" i="59" s="1"/>
  <c r="J19" i="18"/>
  <c r="J89" i="14" s="1"/>
  <c r="J19" i="59" s="1"/>
  <c r="I19" i="18"/>
  <c r="I89" i="14" s="1"/>
  <c r="I19" i="59" s="1"/>
  <c r="H19" i="18"/>
  <c r="M89" i="14" s="1"/>
  <c r="M19" i="59" s="1"/>
  <c r="G19" i="18"/>
  <c r="H89" i="14" s="1"/>
  <c r="H19" i="59" s="1"/>
  <c r="F19" i="18"/>
  <c r="E19" i="18"/>
  <c r="F89" i="14" s="1"/>
  <c r="F19" i="59" s="1"/>
  <c r="D19" i="18"/>
  <c r="E89" i="14" s="1"/>
  <c r="E19" i="59" s="1"/>
  <c r="C19" i="18"/>
  <c r="B19" i="18"/>
  <c r="N18" i="18"/>
  <c r="L88" i="14" s="1"/>
  <c r="M18" i="18"/>
  <c r="L18" i="18"/>
  <c r="K18" i="18"/>
  <c r="J18" i="18"/>
  <c r="J88" i="14" s="1"/>
  <c r="J18" i="59" s="1"/>
  <c r="I18" i="18"/>
  <c r="I88" i="14" s="1"/>
  <c r="I18" i="59" s="1"/>
  <c r="H18" i="18"/>
  <c r="G18" i="18"/>
  <c r="H88" i="14" s="1"/>
  <c r="F18" i="18"/>
  <c r="F20" i="18" s="1"/>
  <c r="E18" i="18"/>
  <c r="F88" i="14" s="1"/>
  <c r="F18" i="59" s="1"/>
  <c r="D18" i="18"/>
  <c r="C18" i="18"/>
  <c r="D88" i="14" s="1"/>
  <c r="D18" i="59" s="1"/>
  <c r="B18" i="18"/>
  <c r="L9" i="18"/>
  <c r="L10" i="18" s="1"/>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K10" i="18"/>
  <c r="B6" i="18"/>
  <c r="B74" i="14" s="1"/>
  <c r="B6" i="59" s="1"/>
  <c r="B5" i="18"/>
  <c r="B73" i="14" s="1"/>
  <c r="B5" i="59" s="1"/>
  <c r="B4" i="18"/>
  <c r="B72" i="14" s="1"/>
  <c r="B4" i="59" s="1"/>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L89" i="14"/>
  <c r="L19" i="59" s="1"/>
  <c r="K89" i="14"/>
  <c r="K19" i="59" s="1"/>
  <c r="D89" i="14"/>
  <c r="D19" i="59" s="1"/>
  <c r="M88" i="14"/>
  <c r="M18" i="59" s="1"/>
  <c r="K88" i="14"/>
  <c r="K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O77" i="14" l="1"/>
  <c r="O9" i="59" s="1"/>
  <c r="D20" i="18"/>
  <c r="L20" i="18"/>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6" i="22" s="1"/>
  <c r="A7" i="23"/>
  <c r="A8" i="23"/>
  <c r="A9" i="23"/>
  <c r="A10" i="23"/>
  <c r="A11" i="23"/>
  <c r="A12" i="23"/>
  <c r="A13" i="23"/>
  <c r="A14" i="23"/>
  <c r="A15" i="23"/>
  <c r="A16" i="23"/>
  <c r="D8" i="22" s="1"/>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<sst xmlns="http://schemas.openxmlformats.org/spreadsheetml/2006/main" count="2501" uniqueCount="922">
  <si>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</si>
  <si>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</si>
  <si>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</si>
  <si>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</si>
  <si>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</si>
  <si>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</si>
  <si>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</si>
  <si>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</si>
  <si>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</si>
  <si>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</si>
  <si>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</si>
  <si>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</si>
  <si>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</si>
  <si>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</si>
  <si>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</si>
  <si>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</si>
  <si>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</si>
  <si>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</si>
  <si>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</si>
  <si>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</si>
  <si>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</si>
  <si>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</si>
  <si>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</si>
  <si>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</si>
  <si>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</si>
  <si>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</si>
  <si>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</si>
  <si>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</si>
  <si>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</si>
  <si>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</si>
  <si>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</si>
  <si>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</si>
  <si>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</si>
  <si>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</si>
  <si>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</si>
  <si>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</si>
  <si>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</si>
  <si>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</si>
  <si>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</si>
  <si>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</si>
  <si>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</si>
  <si>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</si>
  <si>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</si>
  <si>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</si>
  <si>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</si>
  <si>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</si>
  <si>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</si>
  <si>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</si>
  <si>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</si>
  <si>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</si>
  <si>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</si>
  <si>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</si>
  <si>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</si>
  <si>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</si>
  <si>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</si>
  <si>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</si>
  <si>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</si>
  <si>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</si>
  <si>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</si>
  <si>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</si>
  <si>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</si>
  <si>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</si>
  <si>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</si>
  <si>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</si>
  <si>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</si>
  <si>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</si>
  <si>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</si>
  <si>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</si>
  <si>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</si>
  <si>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</si>
  <si>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</si>
  <si>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</si>
  <si>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</si>
  <si>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</si>
  <si>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</si>
  <si>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</si>
  <si>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</si>
  <si>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</si>
  <si>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</si>
  <si>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</si>
  <si>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</si>
  <si>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</si>
  <si>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</si>
  <si>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</si>
  <si>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</si>
  <si>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</si>
  <si>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</si>
  <si>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</si>
  <si>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</si>
  <si>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</si>
  <si>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</si>
  <si>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</si>
  <si>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</si>
  <si>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</si>
  <si>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</si>
  <si>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</si>
  <si>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</si>
  <si>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</si>
  <si>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</si>
  <si>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</si>
  <si>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</si>
  <si>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</si>
  <si>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</si>
  <si>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</si>
  <si>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</si>
  <si>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</si>
  <si>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</si>
  <si>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</si>
  <si>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</si>
  <si>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</si>
  <si>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</si>
  <si>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</si>
  <si>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</si>
  <si>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</si>
  <si>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</si>
  <si>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</si>
  <si>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</si>
  <si>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</si>
  <si>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</si>
  <si>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</si>
  <si>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</si>
  <si>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</si>
  <si>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</si>
  <si>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</si>
  <si>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</si>
  <si>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</si>
  <si>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</si>
  <si>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</si>
  <si>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</si>
  <si>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</si>
  <si>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</si>
  <si>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</si>
  <si>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</si>
  <si>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</si>
  <si>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</si>
  <si>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</si>
  <si>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</si>
  <si>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</si>
  <si>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</si>
  <si>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</si>
  <si>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</si>
  <si>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</si>
  <si>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</si>
  <si>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</si>
  <si>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</si>
  <si>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</si>
  <si>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</si>
  <si>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</si>
  <si>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</si>
  <si>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</si>
  <si>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</si>
  <si>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</si>
  <si>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</si>
  <si>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</si>
  <si>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</si>
  <si>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</si>
  <si>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</si>
  <si>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</si>
  <si>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</si>
  <si>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</si>
  <si>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</si>
  <si>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</si>
  <si>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</si>
  <si>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</si>
  <si>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</si>
  <si>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</si>
  <si>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</si>
  <si>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</si>
  <si>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</si>
  <si>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</si>
  <si>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</si>
  <si>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</si>
  <si>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</si>
  <si>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</si>
  <si>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</si>
  <si>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</si>
  <si>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</si>
  <si>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</si>
  <si>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</si>
  <si>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</si>
  <si>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</si>
  <si>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</si>
  <si>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</si>
  <si>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</si>
  <si>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</si>
  <si>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</si>
  <si>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</si>
  <si>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</si>
  <si>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</si>
  <si>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</si>
  <si>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</si>
  <si>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</si>
  <si>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</si>
  <si>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</si>
  <si>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</si>
  <si>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</si>
  <si>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</si>
  <si>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</si>
  <si>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</si>
  <si>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</si>
  <si>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</si>
  <si>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</si>
  <si>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</si>
  <si>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</si>
  <si>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</si>
  <si>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</si>
  <si>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</si>
  <si>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</si>
  <si>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</si>
  <si>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</si>
  <si>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</si>
  <si>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</si>
  <si>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</si>
  <si>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</si>
  <si>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</si>
  <si>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</si>
  <si>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</si>
  <si>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</si>
  <si>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</si>
  <si>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</si>
  <si>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</si>
  <si>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</si>
  <si>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</si>
  <si>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</si>
  <si>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</si>
  <si>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</si>
  <si>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</si>
  <si>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</si>
  <si>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</si>
  <si>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</si>
  <si>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</si>
  <si>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</si>
  <si>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</si>
  <si>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</si>
  <si>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</si>
  <si>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</si>
  <si>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</si>
  <si>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</si>
  <si>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</si>
  <si>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</si>
  <si>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</si>
  <si>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</si>
  <si>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</si>
  <si>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</si>
  <si>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</si>
  <si>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</si>
  <si>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</si>
  <si>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</si>
  <si>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</si>
  <si>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</si>
  <si>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</si>
  <si>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</si>
  <si>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</si>
  <si>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</si>
  <si>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</si>
  <si>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</si>
  <si>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</si>
  <si>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</si>
  <si>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</si>
  <si>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</si>
  <si>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</si>
  <si>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</si>
  <si>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</si>
  <si>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</si>
  <si>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</si>
  <si>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</si>
  <si>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</si>
  <si>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</si>
  <si>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</si>
  <si>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</si>
  <si>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</si>
  <si>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</si>
  <si>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</si>
  <si>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</si>
  <si>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</si>
  <si>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</si>
  <si>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</si>
  <si>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</si>
  <si>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</si>
  <si>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</si>
  <si>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</si>
  <si>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</si>
  <si>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</si>
  <si>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</si>
  <si>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</si>
  <si>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</si>
  <si>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</si>
  <si>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</si>
  <si>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</si>
  <si>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</si>
  <si>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</si>
  <si>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</si>
  <si>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</si>
  <si>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</si>
  <si>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</si>
  <si>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</si>
  <si>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</si>
  <si>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</si>
  <si>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</si>
  <si>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</si>
  <si>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</si>
  <si>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</si>
  <si>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</si>
  <si>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</si>
  <si>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</si>
  <si>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</si>
  <si>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</si>
  <si>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</si>
  <si>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</si>
  <si>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</si>
  <si>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</si>
  <si>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</si>
  <si>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</si>
  <si>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</si>
  <si>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</si>
  <si>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</si>
  <si>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</si>
  <si>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</si>
  <si>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</si>
  <si>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</si>
  <si>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</si>
  <si>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</si>
  <si>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</si>
  <si>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</si>
  <si>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</si>
  <si>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</si>
  <si>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</si>
  <si>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</si>
  <si>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</si>
  <si>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</si>
  <si>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</si>
  <si>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</si>
  <si>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</si>
  <si>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</si>
  <si>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</si>
  <si>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</si>
  <si>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</si>
  <si>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</si>
  <si>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</si>
  <si>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</si>
  <si>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</si>
  <si>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</si>
  <si>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</si>
  <si>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</si>
  <si>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</si>
  <si>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</si>
  <si>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</si>
  <si>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</si>
  <si>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</si>
  <si>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</si>
  <si>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</si>
  <si>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</si>
  <si>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</si>
  <si>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</si>
  <si>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</si>
  <si>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</si>
  <si>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</si>
  <si>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</si>
  <si>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</si>
  <si>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</si>
  <si>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</si>
  <si>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</si>
  <si>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</si>
  <si>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</si>
  <si>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</si>
  <si>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</si>
  <si>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</si>
  <si>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</si>
  <si>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</si>
  <si>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</si>
  <si>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</si>
  <si>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</si>
  <si>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</si>
  <si>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</si>
  <si>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</si>
  <si>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</si>
  <si>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</si>
  <si>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</si>
  <si>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</si>
  <si>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</si>
  <si>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</si>
  <si>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</si>
  <si>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</si>
  <si>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</si>
  <si>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</si>
  <si>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</si>
  <si>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</si>
  <si>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</si>
  <si>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</si>
  <si>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</si>
  <si>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</si>
  <si>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</si>
  <si>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</si>
  <si>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</si>
  <si>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</si>
  <si>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</si>
  <si>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</si>
  <si>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</si>
  <si>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</si>
  <si>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</si>
  <si>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</si>
  <si>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</si>
  <si>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</si>
  <si>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</si>
  <si>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</si>
  <si>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</si>
  <si>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</si>
  <si>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</si>
  <si>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</si>
  <si>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</si>
  <si>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</si>
  <si>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</si>
  <si>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</si>
  <si>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</si>
  <si>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</si>
  <si>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</si>
  <si>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</si>
  <si>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</si>
  <si>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</si>
  <si>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</si>
  <si>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</si>
  <si>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</si>
  <si>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</si>
  <si>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</si>
  <si>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</si>
  <si>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</si>
  <si>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</si>
  <si>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</si>
  <si>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</si>
  <si>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</si>
  <si>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</si>
  <si>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</si>
  <si>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</si>
  <si>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</si>
  <si>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</si>
  <si>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</si>
  <si>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</si>
  <si>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</si>
  <si>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</si>
  <si>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</si>
  <si>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</si>
  <si>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</si>
  <si>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</si>
  <si>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</si>
  <si>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</si>
  <si>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</si>
  <si>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</si>
  <si>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</si>
  <si>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</si>
  <si>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</si>
  <si>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</si>
  <si>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</si>
  <si>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</si>
  <si>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</si>
  <si>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</si>
  <si>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</si>
  <si>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</si>
  <si>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</si>
  <si>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</si>
  <si>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</si>
  <si>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</si>
  <si>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</si>
  <si>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</si>
  <si>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</si>
  <si>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</si>
  <si>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</si>
  <si>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</si>
  <si>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</si>
  <si>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</si>
  <si>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</si>
  <si>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</si>
  <si>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</si>
  <si>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</si>
  <si>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</si>
  <si>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</si>
  <si>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</si>
  <si>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</si>
  <si>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</si>
  <si>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</si>
  <si>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</si>
  <si>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</si>
  <si>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</si>
  <si>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</si>
  <si>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</si>
  <si>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</si>
  <si>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</si>
  <si>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</si>
  <si>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</si>
  <si>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</si>
  <si>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</si>
  <si>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</si>
  <si>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</si>
  <si>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</si>
  <si>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</si>
  <si>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</si>
  <si>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</si>
  <si>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</si>
  <si>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</si>
  <si>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</si>
  <si>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</si>
  <si>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</si>
  <si>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</si>
  <si>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</si>
  <si>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</si>
  <si>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</si>
  <si>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</si>
  <si>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</si>
  <si>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</si>
  <si>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</si>
  <si>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</si>
  <si>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</si>
  <si>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</si>
  <si>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</si>
  <si>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</si>
  <si>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</si>
  <si>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</si>
  <si>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</si>
  <si>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</si>
  <si>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</si>
  <si>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</si>
  <si>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</si>
  <si>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</si>
  <si>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</si>
  <si>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</si>
  <si>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</si>
  <si>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</si>
  <si>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</si>
  <si>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</si>
  <si>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</si>
  <si>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</si>
  <si>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</si>
  <si>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</si>
  <si>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</si>
  <si>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</si>
  <si>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</si>
  <si>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</si>
  <si>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</si>
  <si>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</si>
  <si>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</si>
  <si>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</si>
  <si>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</si>
  <si>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</si>
  <si>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</si>
  <si>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</si>
  <si>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</si>
  <si>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</si>
  <si>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</si>
  <si>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</si>
  <si>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</si>
  <si>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</si>
  <si>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</si>
  <si>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</si>
  <si>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</si>
  <si>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</si>
  <si>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</si>
  <si>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</si>
  <si>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</si>
  <si>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</si>
  <si>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</si>
  <si>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</si>
  <si>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</si>
  <si>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</si>
  <si>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</si>
  <si>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</si>
  <si>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</si>
  <si>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</si>
  <si>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</si>
  <si>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</si>
  <si>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</si>
  <si>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</si>
  <si>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</si>
  <si>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</si>
  <si>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</si>
  <si>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</si>
  <si>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</si>
  <si>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</si>
  <si>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</si>
  <si>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</si>
  <si>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</si>
  <si>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</si>
  <si>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</si>
  <si>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</si>
  <si>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</si>
  <si>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</si>
  <si>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</si>
  <si>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</si>
  <si>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</si>
  <si>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</si>
  <si>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</si>
  <si>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</si>
  <si>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</si>
  <si>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</si>
  <si>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</si>
  <si>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</si>
  <si>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</si>
  <si>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</si>
  <si>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</si>
  <si>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</si>
  <si>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</si>
  <si>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</si>
  <si>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</si>
  <si>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</si>
  <si>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</si>
  <si>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</si>
  <si>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</si>
  <si>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</si>
  <si>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</si>
  <si>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</si>
  <si>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</si>
  <si>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</si>
  <si>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</si>
  <si>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</si>
  <si>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</si>
  <si>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</si>
  <si>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</si>
  <si>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</si>
  <si>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</si>
  <si>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</si>
  <si>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</si>
  <si>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</si>
  <si>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</si>
  <si>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</si>
  <si>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</si>
  <si>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</si>
  <si>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</si>
  <si>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</si>
  <si>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</si>
  <si>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</si>
  <si>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</si>
  <si>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</si>
  <si>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</si>
  <si>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</si>
  <si>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</si>
  <si>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</si>
  <si>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</si>
  <si>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</si>
  <si>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</si>
  <si>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</si>
  <si>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</si>
  <si>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</si>
  <si>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</si>
  <si>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</si>
  <si>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</si>
  <si>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</si>
  <si>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</si>
  <si>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</si>
  <si>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</si>
  <si>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</si>
  <si>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</si>
  <si>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</si>
  <si>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</si>
  <si>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</si>
  <si>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</si>
  <si>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</si>
  <si>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</si>
  <si>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</si>
  <si>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</si>
  <si>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</si>
  <si>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</si>
  <si>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</si>
  <si>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</si>
  <si>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</si>
  <si>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</si>
  <si>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</si>
  <si>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</si>
  <si>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</si>
  <si>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</si>
  <si>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</si>
  <si>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</si>
  <si>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</si>
  <si>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</si>
  <si>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</si>
  <si>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</si>
  <si>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</si>
  <si>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</si>
  <si>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</si>
  <si>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</si>
  <si>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</si>
  <si>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</si>
  <si>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</si>
  <si>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</si>
  <si>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</si>
  <si>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</si>
  <si>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</si>
  <si>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</si>
  <si>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</si>
  <si>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</si>
  <si>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</si>
  <si>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</si>
  <si>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</si>
  <si>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</si>
  <si>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</si>
  <si>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</si>
  <si>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</si>
  <si>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</si>
  <si>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</si>
  <si>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</si>
  <si>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</si>
  <si>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</si>
  <si>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</si>
  <si>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</si>
  <si>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</si>
  <si>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</si>
  <si>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</si>
  <si>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</si>
  <si>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</si>
  <si>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</si>
  <si>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</si>
  <si>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</si>
  <si>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</si>
  <si>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</si>
  <si>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</si>
  <si>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</si>
  <si>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</si>
  <si>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</si>
  <si>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</si>
  <si>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</si>
  <si>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</si>
  <si>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</si>
  <si>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</si>
  <si>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</si>
  <si>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</si>
  <si>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</si>
  <si>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</si>
  <si>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</si>
  <si>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</si>
  <si>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</si>
  <si>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</si>
  <si>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</si>
  <si>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</si>
  <si>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</si>
  <si>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</si>
  <si>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</si>
  <si>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</si>
  <si>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</si>
  <si>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</si>
  <si>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</si>
  <si>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</si>
  <si>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</si>
  <si>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</si>
  <si>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</si>
  <si>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</si>
  <si>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</si>
  <si>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</si>
  <si>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</si>
  <si>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</si>
  <si>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</si>
  <si>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</si>
  <si>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</si>
  <si>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</si>
  <si>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</si>
  <si>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</si>
  <si>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</si>
  <si>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</si>
  <si>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</si>
  <si>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</si>
  <si>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</si>
  <si>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</si>
  <si>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</si>
  <si>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</si>
  <si>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</si>
  <si>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</si>
  <si>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</si>
  <si>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</si>
  <si>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</si>
  <si>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</si>
  <si>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</si>
  <si>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</si>
  <si>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</si>
  <si>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</si>
  <si>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</si>
  <si>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</si>
  <si>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</si>
  <si>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</si>
  <si>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</si>
  <si>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</si>
  <si>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</si>
  <si>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</si>
  <si>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</si>
  <si>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</si>
  <si>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</si>
  <si>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</si>
  <si>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</si>
  <si>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</si>
  <si>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</si>
  <si>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</si>
  <si>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</si>
  <si>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</si>
  <si>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</si>
  <si>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</si>
  <si>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</si>
  <si>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</si>
  <si>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</si>
  <si>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</si>
  <si>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</si>
  <si>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</si>
  <si>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</si>
  <si>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</si>
  <si>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</si>
  <si>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</si>
  <si>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</si>
  <si>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</si>
  <si>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</si>
  <si>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</si>
  <si>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</si>
  <si>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</si>
  <si>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</si>
  <si>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</si>
  <si>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</si>
  <si>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</si>
  <si>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</si>
  <si>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</si>
  <si>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</si>
  <si>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</si>
  <si>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</si>
  <si>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</si>
  <si>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</si>
  <si>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</si>
  <si>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</si>
  <si>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</si>
  <si>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</si>
  <si>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</si>
  <si>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</si>
  <si>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</si>
  <si>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</si>
  <si>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</si>
  <si>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</si>
  <si>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</si>
  <si>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</si>
  <si>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</si>
  <si>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</si>
  <si>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</si>
  <si>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</si>
  <si>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</si>
  <si>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</si>
  <si>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</si>
  <si>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</si>
  <si>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</si>
  <si>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</si>
  <si>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</si>
  <si>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</si>
  <si>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</si>
  <si>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</si>
  <si>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</si>
  <si>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</si>
  <si>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</si>
  <si>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</si>
  <si>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</si>
  <si>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</si>
  <si>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</si>
  <si>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</si>
  <si>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</si>
  <si>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</si>
  <si>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</si>
  <si>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</si>
  <si>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</si>
  <si>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</si>
  <si>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</si>
  <si>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</si>
  <si>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</si>
  <si>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</si>
  <si>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</si>
  <si>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</si>
  <si>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</si>
  <si>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</si>
  <si>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</si>
  <si>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</si>
  <si>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</si>
  <si>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</si>
  <si>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</si>
  <si>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</si>
  <si>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</si>
  <si>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</si>
  <si>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</si>
  <si>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</si>
  <si>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</si>
  <si>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</si>
  <si>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</si>
  <si>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</si>
  <si>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</si>
  <si>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</si>
  <si>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</si>
  <si>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</si>
  <si>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</si>
  <si>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</si>
  <si>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</si>
  <si>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</si>
  <si>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</si>
  <si>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</si>
  <si>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</si>
  <si>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</si>
  <si>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</si>
  <si>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</si>
  <si>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</si>
  <si>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</si>
  <si>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</si>
  <si>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</si>
  <si>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</si>
  <si>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</si>
  <si>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</si>
  <si>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</si>
  <si>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</si>
  <si>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</si>
  <si>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</si>
  <si>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</si>
  <si>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</si>
  <si>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</si>
  <si>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</si>
  <si>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</si>
  <si>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</si>
  <si>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</si>
  <si>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</si>
  <si>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</si>
  <si>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</si>
  <si>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</si>
  <si>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</si>
  <si>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12040</t>
  </si>
  <si>
    <t>WILLEBROEK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</si>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</sst>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6A1387F-22A3-493E-BB3B-A30157D39475}"/>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190849.40752527921</c:v>
                </c:pt>
                <c:pt idx="1">
                  <c:v>108087.45509494655</c:v>
                </c:pt>
                <c:pt idx="2">
                  <c:v>1585.075</c:v>
                </c:pt>
                <c:pt idx="3">
                  <c:v>1246.3347686744523</c:v>
                </c:pt>
                <c:pt idx="4">
                  <c:v>288923.46923610003</c:v>
                </c:pt>
                <c:pt idx="5">
                  <c:v>285713.74709949218</c:v>
                </c:pt>
                <c:pt idx="6">
                  <c:v>2194.4823991416624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190849.40752527921</c:v>
                </c:pt>
                <c:pt idx="1">
                  <c:v>108087.45509494655</c:v>
                </c:pt>
                <c:pt idx="2">
                  <c:v>1585.075</c:v>
                </c:pt>
                <c:pt idx="3">
                  <c:v>1246.3347686744523</c:v>
                </c:pt>
                <c:pt idx="4">
                  <c:v>288923.46923610003</c:v>
                </c:pt>
                <c:pt idx="5">
                  <c:v>285713.74709949218</c:v>
                </c:pt>
                <c:pt idx="6">
                  <c:v>2194.4823991416624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37757.431566701867</c:v>
                </c:pt>
                <c:pt idx="2">
                  <c:v>21016.263729371771</c:v>
                </c:pt>
                <c:pt idx="3">
                  <c:v>303.33689483195485</c:v>
                </c:pt>
                <c:pt idx="4">
                  <c:v>305.13562558982062</c:v>
                </c:pt>
                <c:pt idx="5">
                  <c:v>58142.957749019195</c:v>
                </c:pt>
                <c:pt idx="6">
                  <c:v>71730.968581048073</c:v>
                </c:pt>
                <c:pt idx="7">
                  <c:v>553.36653273761794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37757.431566701867</c:v>
                </c:pt>
                <c:pt idx="2">
                  <c:v>21016.263729371771</c:v>
                </c:pt>
                <c:pt idx="3">
                  <c:v>303.33689483195485</c:v>
                </c:pt>
                <c:pt idx="4">
                  <c:v>305.13562558982062</c:v>
                </c:pt>
                <c:pt idx="5">
                  <c:v>58142.957749019195</c:v>
                </c:pt>
                <c:pt idx="6">
                  <c:v>71730.968581048073</c:v>
                </c:pt>
                <c:pt idx="7">
                  <c:v>553.36653273761794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12040</v>
      </c>
      <c r="B6" s="383"/>
      <c r="C6" s="384"/>
    </row>
    <row r="7" spans="1:7" s="381" customFormat="1" ht="15.75" customHeight="1">
      <c r="A7" s="385" t="str">
        <f>txtMunicipality</f>
        <v>WILLEBROEK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58303.409500000002</v>
      </c>
      <c r="D10" s="983">
        <f ca="1">tertiair!C16</f>
        <v>0</v>
      </c>
      <c r="E10" s="983">
        <f ca="1">tertiair!D16</f>
        <v>39651.216708360953</v>
      </c>
      <c r="F10" s="983">
        <f>tertiair!E16</f>
        <v>444.76670161331492</v>
      </c>
      <c r="G10" s="983">
        <f ca="1">tertiair!F16</f>
        <v>7683.6298204552395</v>
      </c>
      <c r="H10" s="983">
        <f>tertiair!G16</f>
        <v>0</v>
      </c>
      <c r="I10" s="983">
        <f>tertiair!H16</f>
        <v>0</v>
      </c>
      <c r="J10" s="983">
        <f>tertiair!I16</f>
        <v>0</v>
      </c>
      <c r="K10" s="983">
        <f>tertiair!J16</f>
        <v>0</v>
      </c>
      <c r="L10" s="983">
        <f>tertiair!K16</f>
        <v>0</v>
      </c>
      <c r="M10" s="983">
        <f ca="1">tertiair!L16</f>
        <v>0</v>
      </c>
      <c r="N10" s="983">
        <f>tertiair!M16</f>
        <v>0</v>
      </c>
      <c r="O10" s="983">
        <f ca="1">tertiair!N16</f>
        <v>3568.8773645170168</v>
      </c>
      <c r="P10" s="983">
        <f>tertiair!O16</f>
        <v>1.5633333333333335</v>
      </c>
      <c r="Q10" s="984">
        <f>tertiair!P16</f>
        <v>19.066666666666666</v>
      </c>
      <c r="R10" s="667">
        <f ca="1">SUM(C10:Q10)</f>
        <v>109672.53009494653</v>
      </c>
      <c r="S10" s="67"/>
    </row>
    <row r="11" spans="1:19" s="440" customFormat="1">
      <c r="A11" s="776" t="s">
        <v>214</v>
      </c>
      <c r="B11" s="781"/>
      <c r="C11" s="983">
        <f>huishoudens!B8</f>
        <v>37317.056274865223</v>
      </c>
      <c r="D11" s="983">
        <f>huishoudens!C8</f>
        <v>0</v>
      </c>
      <c r="E11" s="983">
        <f>huishoudens!D8</f>
        <v>108344.21734818626</v>
      </c>
      <c r="F11" s="983">
        <f>huishoudens!E8</f>
        <v>979.80616810174752</v>
      </c>
      <c r="G11" s="983">
        <f>huishoudens!F8</f>
        <v>30909.827799148203</v>
      </c>
      <c r="H11" s="983">
        <f>huishoudens!G8</f>
        <v>0</v>
      </c>
      <c r="I11" s="983">
        <f>huishoudens!H8</f>
        <v>0</v>
      </c>
      <c r="J11" s="983">
        <f>huishoudens!I8</f>
        <v>0</v>
      </c>
      <c r="K11" s="983">
        <f>huishoudens!J8</f>
        <v>720.81601661372861</v>
      </c>
      <c r="L11" s="983">
        <f>huishoudens!K8</f>
        <v>0</v>
      </c>
      <c r="M11" s="983">
        <f>huishoudens!L8</f>
        <v>0</v>
      </c>
      <c r="N11" s="983">
        <f>huishoudens!M8</f>
        <v>0</v>
      </c>
      <c r="O11" s="983">
        <f>huishoudens!N8</f>
        <v>11081.687251697382</v>
      </c>
      <c r="P11" s="983">
        <f>huishoudens!O8</f>
        <v>142.26333333333332</v>
      </c>
      <c r="Q11" s="984">
        <f>huishoudens!P8</f>
        <v>1353.7333333333333</v>
      </c>
      <c r="R11" s="667">
        <f>SUM(C11:Q11)</f>
        <v>190849.40752527921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72868.474499999997</v>
      </c>
      <c r="D13" s="983">
        <f>industrie!C18</f>
        <v>0</v>
      </c>
      <c r="E13" s="983">
        <f>industrie!D18</f>
        <v>187802.85843303319</v>
      </c>
      <c r="F13" s="983">
        <f>industrie!E18</f>
        <v>4250.0179241035812</v>
      </c>
      <c r="G13" s="983">
        <f>industrie!F18</f>
        <v>19448.307834352196</v>
      </c>
      <c r="H13" s="983">
        <f>industrie!G18</f>
        <v>0</v>
      </c>
      <c r="I13" s="983">
        <f>industrie!H18</f>
        <v>0</v>
      </c>
      <c r="J13" s="983">
        <f>industrie!I18</f>
        <v>0</v>
      </c>
      <c r="K13" s="983">
        <f>industrie!J18</f>
        <v>295.02235919533871</v>
      </c>
      <c r="L13" s="983">
        <f>industrie!K18</f>
        <v>0</v>
      </c>
      <c r="M13" s="983">
        <f>industrie!L18</f>
        <v>0</v>
      </c>
      <c r="N13" s="983">
        <f>industrie!M18</f>
        <v>0</v>
      </c>
      <c r="O13" s="983">
        <f>industrie!N18</f>
        <v>4258.7881854157586</v>
      </c>
      <c r="P13" s="983">
        <f>industrie!O18</f>
        <v>0</v>
      </c>
      <c r="Q13" s="984">
        <f>industrie!P18</f>
        <v>0</v>
      </c>
      <c r="R13" s="667">
        <f>SUM(C13:Q13)</f>
        <v>288923.46923610003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168488.94027486522</v>
      </c>
      <c r="D16" s="699">
        <f t="shared" ref="D16:R16" ca="1" si="0">SUM(D9:D15)</f>
        <v>0</v>
      </c>
      <c r="E16" s="699">
        <f t="shared" ca="1" si="0"/>
        <v>335798.2924895804</v>
      </c>
      <c r="F16" s="699">
        <f t="shared" si="0"/>
        <v>5674.5907938186438</v>
      </c>
      <c r="G16" s="699">
        <f t="shared" ca="1" si="0"/>
        <v>58041.765453955639</v>
      </c>
      <c r="H16" s="699">
        <f t="shared" si="0"/>
        <v>0</v>
      </c>
      <c r="I16" s="699">
        <f t="shared" si="0"/>
        <v>0</v>
      </c>
      <c r="J16" s="699">
        <f t="shared" si="0"/>
        <v>0</v>
      </c>
      <c r="K16" s="699">
        <f t="shared" si="0"/>
        <v>1015.8383758090673</v>
      </c>
      <c r="L16" s="699">
        <f t="shared" si="0"/>
        <v>0</v>
      </c>
      <c r="M16" s="699">
        <f t="shared" ca="1" si="0"/>
        <v>0</v>
      </c>
      <c r="N16" s="699">
        <f t="shared" si="0"/>
        <v>0</v>
      </c>
      <c r="O16" s="699">
        <f t="shared" ca="1" si="0"/>
        <v>18909.352801630157</v>
      </c>
      <c r="P16" s="699">
        <f t="shared" si="0"/>
        <v>143.82666666666665</v>
      </c>
      <c r="Q16" s="699">
        <f t="shared" si="0"/>
        <v>1372.8</v>
      </c>
      <c r="R16" s="699">
        <f t="shared" ca="1" si="0"/>
        <v>589445.40685632569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10.896399352911414</v>
      </c>
      <c r="D19" s="983">
        <f>transport!C54</f>
        <v>0</v>
      </c>
      <c r="E19" s="983">
        <f>transport!D54</f>
        <v>0</v>
      </c>
      <c r="F19" s="983">
        <f>transport!E54</f>
        <v>0</v>
      </c>
      <c r="G19" s="983">
        <f>transport!F54</f>
        <v>0</v>
      </c>
      <c r="H19" s="983">
        <f>transport!G54</f>
        <v>2064.7238999478304</v>
      </c>
      <c r="I19" s="983">
        <f>transport!H54</f>
        <v>0</v>
      </c>
      <c r="J19" s="983">
        <f>transport!I54</f>
        <v>0</v>
      </c>
      <c r="K19" s="983">
        <f>transport!J54</f>
        <v>0</v>
      </c>
      <c r="L19" s="983">
        <f>transport!K54</f>
        <v>0</v>
      </c>
      <c r="M19" s="983">
        <f>transport!L54</f>
        <v>0</v>
      </c>
      <c r="N19" s="983">
        <f>transport!M54</f>
        <v>118.86209984092041</v>
      </c>
      <c r="O19" s="983">
        <f>transport!N54</f>
        <v>0</v>
      </c>
      <c r="P19" s="983">
        <f>transport!O54</f>
        <v>0</v>
      </c>
      <c r="Q19" s="984">
        <f>transport!P54</f>
        <v>0</v>
      </c>
      <c r="R19" s="667">
        <f>SUM(C19:Q19)</f>
        <v>2194.4823991416624</v>
      </c>
      <c r="S19" s="67"/>
    </row>
    <row r="20" spans="1:19" s="440" customFormat="1">
      <c r="A20" s="776" t="s">
        <v>296</v>
      </c>
      <c r="B20" s="781"/>
      <c r="C20" s="983">
        <f>transport!B14</f>
        <v>36.689231276418916</v>
      </c>
      <c r="D20" s="983">
        <f>transport!C14</f>
        <v>0</v>
      </c>
      <c r="E20" s="983">
        <f>transport!D14</f>
        <v>55.14398597517615</v>
      </c>
      <c r="F20" s="983">
        <f>transport!E14</f>
        <v>561.10980895790658</v>
      </c>
      <c r="G20" s="983">
        <f>transport!F14</f>
        <v>0</v>
      </c>
      <c r="H20" s="983">
        <f>transport!G14</f>
        <v>238201.90050320415</v>
      </c>
      <c r="I20" s="983">
        <f>transport!H14</f>
        <v>32070.397154316015</v>
      </c>
      <c r="J20" s="983">
        <f>transport!I14</f>
        <v>0</v>
      </c>
      <c r="K20" s="983">
        <f>transport!J14</f>
        <v>0</v>
      </c>
      <c r="L20" s="983">
        <f>transport!K14</f>
        <v>0</v>
      </c>
      <c r="M20" s="983">
        <f>transport!L14</f>
        <v>0</v>
      </c>
      <c r="N20" s="983">
        <f>transport!M14</f>
        <v>14788.506415762506</v>
      </c>
      <c r="O20" s="983">
        <f>transport!N14</f>
        <v>0</v>
      </c>
      <c r="P20" s="983">
        <f>transport!O14</f>
        <v>0</v>
      </c>
      <c r="Q20" s="984">
        <f>transport!P14</f>
        <v>0</v>
      </c>
      <c r="R20" s="667">
        <f>SUM(C20:Q20)</f>
        <v>285713.74709949218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47.585630629330332</v>
      </c>
      <c r="D22" s="779">
        <f t="shared" ref="D22:R22" si="1">SUM(D18:D21)</f>
        <v>0</v>
      </c>
      <c r="E22" s="779">
        <f t="shared" si="1"/>
        <v>55.14398597517615</v>
      </c>
      <c r="F22" s="779">
        <f t="shared" si="1"/>
        <v>561.10980895790658</v>
      </c>
      <c r="G22" s="779">
        <f t="shared" si="1"/>
        <v>0</v>
      </c>
      <c r="H22" s="779">
        <f t="shared" si="1"/>
        <v>240266.62440315197</v>
      </c>
      <c r="I22" s="779">
        <f t="shared" si="1"/>
        <v>32070.397154316015</v>
      </c>
      <c r="J22" s="779">
        <f t="shared" si="1"/>
        <v>0</v>
      </c>
      <c r="K22" s="779">
        <f t="shared" si="1"/>
        <v>0</v>
      </c>
      <c r="L22" s="779">
        <f t="shared" si="1"/>
        <v>0</v>
      </c>
      <c r="M22" s="779">
        <f t="shared" si="1"/>
        <v>0</v>
      </c>
      <c r="N22" s="779">
        <f t="shared" si="1"/>
        <v>14907.368515603426</v>
      </c>
      <c r="O22" s="779">
        <f t="shared" si="1"/>
        <v>0</v>
      </c>
      <c r="P22" s="779">
        <f t="shared" si="1"/>
        <v>0</v>
      </c>
      <c r="Q22" s="779">
        <f t="shared" si="1"/>
        <v>0</v>
      </c>
      <c r="R22" s="779">
        <f t="shared" si="1"/>
        <v>287908.22949863382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300.16378000000003</v>
      </c>
      <c r="D24" s="983">
        <f>+landbouw!C8</f>
        <v>0</v>
      </c>
      <c r="E24" s="983">
        <f>+landbouw!D8</f>
        <v>135.79959771097359</v>
      </c>
      <c r="F24" s="983">
        <f>+landbouw!E8</f>
        <v>2.780242650507502</v>
      </c>
      <c r="G24" s="983">
        <f>+landbouw!F8</f>
        <v>761.57269100140968</v>
      </c>
      <c r="H24" s="983">
        <f>+landbouw!G8</f>
        <v>0</v>
      </c>
      <c r="I24" s="983">
        <f>+landbouw!H8</f>
        <v>0</v>
      </c>
      <c r="J24" s="983">
        <f>+landbouw!I8</f>
        <v>0</v>
      </c>
      <c r="K24" s="983">
        <f>+landbouw!J8</f>
        <v>46.018457311561633</v>
      </c>
      <c r="L24" s="983">
        <f>+landbouw!K8</f>
        <v>0</v>
      </c>
      <c r="M24" s="983">
        <f>+landbouw!L8</f>
        <v>0</v>
      </c>
      <c r="N24" s="983">
        <f>+landbouw!M8</f>
        <v>0</v>
      </c>
      <c r="O24" s="983">
        <f>+landbouw!N8</f>
        <v>0</v>
      </c>
      <c r="P24" s="983">
        <f>+landbouw!O8</f>
        <v>0</v>
      </c>
      <c r="Q24" s="984">
        <f>+landbouw!P8</f>
        <v>0</v>
      </c>
      <c r="R24" s="667">
        <f>SUM(C24:Q24)</f>
        <v>1246.3347686744523</v>
      </c>
      <c r="S24" s="67"/>
    </row>
    <row r="25" spans="1:19" s="440" customFormat="1" ht="15" thickBot="1">
      <c r="A25" s="798" t="s">
        <v>829</v>
      </c>
      <c r="B25" s="986"/>
      <c r="C25" s="987">
        <f>IF(Onbekend_ele_kWh="---",0,Onbekend_ele_kWh)/1000+IF(REST_rest_ele_kWh="---",0,REST_rest_ele_kWh)/1000</f>
        <v>1380.7909999999999</v>
      </c>
      <c r="D25" s="987"/>
      <c r="E25" s="987">
        <f>IF(onbekend_gas_kWh="---",0,onbekend_gas_kWh)/1000+IF(REST_rest_gas_kWh="---",0,REST_rest_gas_kWh)/1000</f>
        <v>5577.26229110443</v>
      </c>
      <c r="F25" s="987"/>
      <c r="G25" s="987"/>
      <c r="H25" s="987"/>
      <c r="I25" s="987"/>
      <c r="J25" s="987"/>
      <c r="K25" s="987"/>
      <c r="L25" s="987"/>
      <c r="M25" s="987"/>
      <c r="N25" s="987"/>
      <c r="O25" s="987"/>
      <c r="P25" s="987"/>
      <c r="Q25" s="988"/>
      <c r="R25" s="667">
        <f>SUM(C25:Q25)</f>
        <v>6958.0532911044302</v>
      </c>
      <c r="S25" s="67"/>
    </row>
    <row r="26" spans="1:19" s="440" customFormat="1" ht="15.75" thickBot="1">
      <c r="A26" s="672" t="s">
        <v>830</v>
      </c>
      <c r="B26" s="784"/>
      <c r="C26" s="779">
        <f>SUM(C24:C25)</f>
        <v>1680.95478</v>
      </c>
      <c r="D26" s="779">
        <f t="shared" ref="D26:R26" si="2">SUM(D24:D25)</f>
        <v>0</v>
      </c>
      <c r="E26" s="779">
        <f t="shared" si="2"/>
        <v>5713.061888815404</v>
      </c>
      <c r="F26" s="779">
        <f t="shared" si="2"/>
        <v>2.780242650507502</v>
      </c>
      <c r="G26" s="779">
        <f t="shared" si="2"/>
        <v>761.57269100140968</v>
      </c>
      <c r="H26" s="779">
        <f t="shared" si="2"/>
        <v>0</v>
      </c>
      <c r="I26" s="779">
        <f t="shared" si="2"/>
        <v>0</v>
      </c>
      <c r="J26" s="779">
        <f t="shared" si="2"/>
        <v>0</v>
      </c>
      <c r="K26" s="779">
        <f t="shared" si="2"/>
        <v>46.018457311561633</v>
      </c>
      <c r="L26" s="779">
        <f t="shared" si="2"/>
        <v>0</v>
      </c>
      <c r="M26" s="779">
        <f t="shared" si="2"/>
        <v>0</v>
      </c>
      <c r="N26" s="779">
        <f t="shared" si="2"/>
        <v>0</v>
      </c>
      <c r="O26" s="779">
        <f t="shared" si="2"/>
        <v>0</v>
      </c>
      <c r="P26" s="779">
        <f t="shared" si="2"/>
        <v>0</v>
      </c>
      <c r="Q26" s="779">
        <f t="shared" si="2"/>
        <v>0</v>
      </c>
      <c r="R26" s="779">
        <f t="shared" si="2"/>
        <v>8204.388059778883</v>
      </c>
      <c r="S26" s="67"/>
    </row>
    <row r="27" spans="1:19" s="440" customFormat="1" ht="17.25" thickTop="1" thickBot="1">
      <c r="A27" s="673" t="s">
        <v>109</v>
      </c>
      <c r="B27" s="772"/>
      <c r="C27" s="674">
        <f ca="1">C22+C16+C26</f>
        <v>170217.48068549455</v>
      </c>
      <c r="D27" s="674">
        <f t="shared" ref="D27:R27" ca="1" si="3">D22+D16+D26</f>
        <v>0</v>
      </c>
      <c r="E27" s="674">
        <f t="shared" ca="1" si="3"/>
        <v>341566.49836437101</v>
      </c>
      <c r="F27" s="674">
        <f t="shared" si="3"/>
        <v>6238.4808454270578</v>
      </c>
      <c r="G27" s="674">
        <f t="shared" ca="1" si="3"/>
        <v>58803.338144957052</v>
      </c>
      <c r="H27" s="674">
        <f t="shared" si="3"/>
        <v>240266.62440315197</v>
      </c>
      <c r="I27" s="674">
        <f t="shared" si="3"/>
        <v>32070.397154316015</v>
      </c>
      <c r="J27" s="674">
        <f t="shared" si="3"/>
        <v>0</v>
      </c>
      <c r="K27" s="674">
        <f t="shared" si="3"/>
        <v>1061.8568331206288</v>
      </c>
      <c r="L27" s="674">
        <f t="shared" si="3"/>
        <v>0</v>
      </c>
      <c r="M27" s="674">
        <f t="shared" ca="1" si="3"/>
        <v>0</v>
      </c>
      <c r="N27" s="674">
        <f t="shared" si="3"/>
        <v>14907.368515603426</v>
      </c>
      <c r="O27" s="674">
        <f t="shared" ca="1" si="3"/>
        <v>18909.352801630157</v>
      </c>
      <c r="P27" s="674">
        <f t="shared" si="3"/>
        <v>143.82666666666665</v>
      </c>
      <c r="Q27" s="674">
        <f t="shared" si="3"/>
        <v>1372.8</v>
      </c>
      <c r="R27" s="674">
        <f t="shared" ca="1" si="3"/>
        <v>885558.02441473841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11157.563645787042</v>
      </c>
      <c r="D40" s="983">
        <f ca="1">tertiair!C20</f>
        <v>0</v>
      </c>
      <c r="E40" s="983">
        <f ca="1">tertiair!D20</f>
        <v>8009.5457750889127</v>
      </c>
      <c r="F40" s="983">
        <f>tertiair!E20</f>
        <v>100.96204126622249</v>
      </c>
      <c r="G40" s="983">
        <f ca="1">tertiair!F20</f>
        <v>2051.529162061549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21319.600624203726</v>
      </c>
    </row>
    <row r="41" spans="1:18">
      <c r="A41" s="789" t="s">
        <v>214</v>
      </c>
      <c r="B41" s="796"/>
      <c r="C41" s="983">
        <f ca="1">huishoudens!B12</f>
        <v>7141.390769955322</v>
      </c>
      <c r="D41" s="983">
        <f ca="1">huishoudens!C12</f>
        <v>0</v>
      </c>
      <c r="E41" s="983">
        <f>huishoudens!D12</f>
        <v>21885.531904333624</v>
      </c>
      <c r="F41" s="983">
        <f>huishoudens!E12</f>
        <v>222.41600015909668</v>
      </c>
      <c r="G41" s="983">
        <f>huishoudens!F12</f>
        <v>8252.9240223725701</v>
      </c>
      <c r="H41" s="983">
        <f>huishoudens!G12</f>
        <v>0</v>
      </c>
      <c r="I41" s="983">
        <f>huishoudens!H12</f>
        <v>0</v>
      </c>
      <c r="J41" s="983">
        <f>huishoudens!I12</f>
        <v>0</v>
      </c>
      <c r="K41" s="983">
        <f>huishoudens!J12</f>
        <v>255.16886988125992</v>
      </c>
      <c r="L41" s="983">
        <f>huishoudens!K12</f>
        <v>0</v>
      </c>
      <c r="M41" s="983">
        <f>huishoudens!L12</f>
        <v>0</v>
      </c>
      <c r="N41" s="983">
        <f>huishoudens!M12</f>
        <v>0</v>
      </c>
      <c r="O41" s="983">
        <f>huishoudens!N12</f>
        <v>0</v>
      </c>
      <c r="P41" s="983">
        <f>huishoudens!O12</f>
        <v>0</v>
      </c>
      <c r="Q41" s="741">
        <f>huishoudens!P12</f>
        <v>0</v>
      </c>
      <c r="R41" s="817">
        <f t="shared" ca="1" si="4"/>
        <v>37757.431566701867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13944.890169847788</v>
      </c>
      <c r="D43" s="983">
        <f ca="1">industrie!C22</f>
        <v>0</v>
      </c>
      <c r="E43" s="983">
        <f>industrie!D22</f>
        <v>37936.177403472706</v>
      </c>
      <c r="F43" s="983">
        <f>industrie!E22</f>
        <v>964.75406877151295</v>
      </c>
      <c r="G43" s="983">
        <f>industrie!F22</f>
        <v>5192.6981917720368</v>
      </c>
      <c r="H43" s="983">
        <f>industrie!G22</f>
        <v>0</v>
      </c>
      <c r="I43" s="983">
        <f>industrie!H22</f>
        <v>0</v>
      </c>
      <c r="J43" s="983">
        <f>industrie!I22</f>
        <v>0</v>
      </c>
      <c r="K43" s="983">
        <f>industrie!J22</f>
        <v>104.43791515514989</v>
      </c>
      <c r="L43" s="983">
        <f>industrie!K22</f>
        <v>0</v>
      </c>
      <c r="M43" s="983">
        <f>industrie!L22</f>
        <v>0</v>
      </c>
      <c r="N43" s="983">
        <f>industrie!M22</f>
        <v>0</v>
      </c>
      <c r="O43" s="983">
        <f>industrie!N22</f>
        <v>0</v>
      </c>
      <c r="P43" s="983">
        <f>industrie!O22</f>
        <v>0</v>
      </c>
      <c r="Q43" s="741">
        <f>industrie!P22</f>
        <v>0</v>
      </c>
      <c r="R43" s="816">
        <f t="shared" ca="1" si="4"/>
        <v>58142.957749019195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32243.844585590152</v>
      </c>
      <c r="D46" s="699">
        <f t="shared" ref="D46:Q46" ca="1" si="5">SUM(D39:D45)</f>
        <v>0</v>
      </c>
      <c r="E46" s="699">
        <f t="shared" ca="1" si="5"/>
        <v>67831.255082895252</v>
      </c>
      <c r="F46" s="699">
        <f t="shared" si="5"/>
        <v>1288.1321101968322</v>
      </c>
      <c r="G46" s="699">
        <f t="shared" ca="1" si="5"/>
        <v>15497.151376206155</v>
      </c>
      <c r="H46" s="699">
        <f t="shared" si="5"/>
        <v>0</v>
      </c>
      <c r="I46" s="699">
        <f t="shared" si="5"/>
        <v>0</v>
      </c>
      <c r="J46" s="699">
        <f t="shared" si="5"/>
        <v>0</v>
      </c>
      <c r="K46" s="699">
        <f t="shared" si="5"/>
        <v>359.6067850364098</v>
      </c>
      <c r="L46" s="699">
        <f t="shared" si="5"/>
        <v>0</v>
      </c>
      <c r="M46" s="699">
        <f t="shared" ca="1" si="5"/>
        <v>0</v>
      </c>
      <c r="N46" s="699">
        <f t="shared" si="5"/>
        <v>0</v>
      </c>
      <c r="O46" s="699">
        <f t="shared" ca="1" si="5"/>
        <v>0</v>
      </c>
      <c r="P46" s="699">
        <f t="shared" si="5"/>
        <v>0</v>
      </c>
      <c r="Q46" s="699">
        <f t="shared" si="5"/>
        <v>0</v>
      </c>
      <c r="R46" s="699">
        <f ca="1">SUM(R39:R45)</f>
        <v>117219.9899399248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2.0852514515471321</v>
      </c>
      <c r="D49" s="983">
        <f ca="1">transport!C58</f>
        <v>0</v>
      </c>
      <c r="E49" s="983">
        <f>transport!D58</f>
        <v>0</v>
      </c>
      <c r="F49" s="983">
        <f>transport!E58</f>
        <v>0</v>
      </c>
      <c r="G49" s="983">
        <f>transport!F58</f>
        <v>0</v>
      </c>
      <c r="H49" s="983">
        <f>transport!G58</f>
        <v>551.28128128607079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553.36653273761794</v>
      </c>
    </row>
    <row r="50" spans="1:18">
      <c r="A50" s="792" t="s">
        <v>296</v>
      </c>
      <c r="B50" s="802"/>
      <c r="C50" s="670">
        <f ca="1">transport!B18</f>
        <v>7.0212434674449806</v>
      </c>
      <c r="D50" s="670">
        <f>transport!C18</f>
        <v>0</v>
      </c>
      <c r="E50" s="670">
        <f>transport!D18</f>
        <v>11.139085166985582</v>
      </c>
      <c r="F50" s="670">
        <f>transport!E18</f>
        <v>127.3719266334448</v>
      </c>
      <c r="G50" s="670">
        <f>transport!F18</f>
        <v>0</v>
      </c>
      <c r="H50" s="670">
        <f>transport!G18</f>
        <v>63599.907434355511</v>
      </c>
      <c r="I50" s="670">
        <f>transport!H18</f>
        <v>7985.5288914246876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71730.968581048073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9.1064949189921123</v>
      </c>
      <c r="D52" s="699">
        <f t="shared" ref="D52:Q52" ca="1" si="6">SUM(D48:D51)</f>
        <v>0</v>
      </c>
      <c r="E52" s="699">
        <f t="shared" si="6"/>
        <v>11.139085166985582</v>
      </c>
      <c r="F52" s="699">
        <f t="shared" si="6"/>
        <v>127.3719266334448</v>
      </c>
      <c r="G52" s="699">
        <f t="shared" si="6"/>
        <v>0</v>
      </c>
      <c r="H52" s="699">
        <f t="shared" si="6"/>
        <v>64151.188715641583</v>
      </c>
      <c r="I52" s="699">
        <f t="shared" si="6"/>
        <v>7985.5288914246876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72284.335113785695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57.442549384869508</v>
      </c>
      <c r="D54" s="670">
        <f ca="1">+landbouw!C12</f>
        <v>0</v>
      </c>
      <c r="E54" s="670">
        <f>+landbouw!D12</f>
        <v>27.431518737616667</v>
      </c>
      <c r="F54" s="670">
        <f>+landbouw!E12</f>
        <v>0.63111508166520291</v>
      </c>
      <c r="G54" s="670">
        <f>+landbouw!F12</f>
        <v>203.3399084973764</v>
      </c>
      <c r="H54" s="670">
        <f>+landbouw!G12</f>
        <v>0</v>
      </c>
      <c r="I54" s="670">
        <f>+landbouw!H12</f>
        <v>0</v>
      </c>
      <c r="J54" s="670">
        <f>+landbouw!I12</f>
        <v>0</v>
      </c>
      <c r="K54" s="670">
        <f>+landbouw!J12</f>
        <v>16.290533888292817</v>
      </c>
      <c r="L54" s="670">
        <f>+landbouw!K12</f>
        <v>0</v>
      </c>
      <c r="M54" s="670">
        <f>+landbouw!L12</f>
        <v>0</v>
      </c>
      <c r="N54" s="670">
        <f>+landbouw!M12</f>
        <v>0</v>
      </c>
      <c r="O54" s="670">
        <f>+landbouw!N12</f>
        <v>0</v>
      </c>
      <c r="P54" s="670">
        <f>+landbouw!O12</f>
        <v>0</v>
      </c>
      <c r="Q54" s="671">
        <f>+landbouw!P12</f>
        <v>0</v>
      </c>
      <c r="R54" s="698">
        <f ca="1">SUM(C54:Q54)</f>
        <v>305.13562558982062</v>
      </c>
    </row>
    <row r="55" spans="1:18" ht="15" thickBot="1">
      <c r="A55" s="792" t="s">
        <v>829</v>
      </c>
      <c r="B55" s="802"/>
      <c r="C55" s="670">
        <f ca="1">C25*'EF ele_warmte'!B12</f>
        <v>264.24292500475354</v>
      </c>
      <c r="D55" s="670"/>
      <c r="E55" s="670">
        <f>E25*EF_CO2_aardgas</f>
        <v>1126.606982803095</v>
      </c>
      <c r="F55" s="670"/>
      <c r="G55" s="670"/>
      <c r="H55" s="670"/>
      <c r="I55" s="670"/>
      <c r="J55" s="670"/>
      <c r="K55" s="670"/>
      <c r="L55" s="670"/>
      <c r="M55" s="670"/>
      <c r="N55" s="670"/>
      <c r="O55" s="670"/>
      <c r="P55" s="670"/>
      <c r="Q55" s="671"/>
      <c r="R55" s="698">
        <f ca="1">SUM(C55:Q55)</f>
        <v>1390.8499078078485</v>
      </c>
    </row>
    <row r="56" spans="1:18" ht="15.75" thickBot="1">
      <c r="A56" s="790" t="s">
        <v>830</v>
      </c>
      <c r="B56" s="803"/>
      <c r="C56" s="699">
        <f ca="1">SUM(C54:C55)</f>
        <v>321.68547438962304</v>
      </c>
      <c r="D56" s="699">
        <f t="shared" ref="D56:Q56" ca="1" si="7">SUM(D54:D55)</f>
        <v>0</v>
      </c>
      <c r="E56" s="699">
        <f t="shared" si="7"/>
        <v>1154.0385015407116</v>
      </c>
      <c r="F56" s="699">
        <f t="shared" si="7"/>
        <v>0.63111508166520291</v>
      </c>
      <c r="G56" s="699">
        <f t="shared" si="7"/>
        <v>203.3399084973764</v>
      </c>
      <c r="H56" s="699">
        <f t="shared" si="7"/>
        <v>0</v>
      </c>
      <c r="I56" s="699">
        <f t="shared" si="7"/>
        <v>0</v>
      </c>
      <c r="J56" s="699">
        <f t="shared" si="7"/>
        <v>0</v>
      </c>
      <c r="K56" s="699">
        <f t="shared" si="7"/>
        <v>16.290533888292817</v>
      </c>
      <c r="L56" s="699">
        <f t="shared" si="7"/>
        <v>0</v>
      </c>
      <c r="M56" s="699">
        <f t="shared" si="7"/>
        <v>0</v>
      </c>
      <c r="N56" s="699">
        <f t="shared" si="7"/>
        <v>0</v>
      </c>
      <c r="O56" s="699">
        <f t="shared" si="7"/>
        <v>0</v>
      </c>
      <c r="P56" s="699">
        <f t="shared" si="7"/>
        <v>0</v>
      </c>
      <c r="Q56" s="700">
        <f t="shared" si="7"/>
        <v>0</v>
      </c>
      <c r="R56" s="701">
        <f ca="1">SUM(R54:R55)</f>
        <v>1695.9855333976691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32574.636554898767</v>
      </c>
      <c r="D61" s="707">
        <f t="shared" ref="D61:Q61" ca="1" si="8">D46+D52+D56</f>
        <v>0</v>
      </c>
      <c r="E61" s="707">
        <f t="shared" ca="1" si="8"/>
        <v>68996.432669602946</v>
      </c>
      <c r="F61" s="707">
        <f t="shared" si="8"/>
        <v>1416.1351519119423</v>
      </c>
      <c r="G61" s="707">
        <f t="shared" ca="1" si="8"/>
        <v>15700.491284703532</v>
      </c>
      <c r="H61" s="707">
        <f t="shared" si="8"/>
        <v>64151.188715641583</v>
      </c>
      <c r="I61" s="707">
        <f t="shared" si="8"/>
        <v>7985.5288914246876</v>
      </c>
      <c r="J61" s="707">
        <f t="shared" si="8"/>
        <v>0</v>
      </c>
      <c r="K61" s="707">
        <f t="shared" si="8"/>
        <v>375.89731892470263</v>
      </c>
      <c r="L61" s="707">
        <f t="shared" si="8"/>
        <v>0</v>
      </c>
      <c r="M61" s="707">
        <f t="shared" ca="1" si="8"/>
        <v>0</v>
      </c>
      <c r="N61" s="707">
        <f t="shared" si="8"/>
        <v>0</v>
      </c>
      <c r="O61" s="707">
        <f t="shared" ca="1" si="8"/>
        <v>0</v>
      </c>
      <c r="P61" s="707">
        <f t="shared" si="8"/>
        <v>0</v>
      </c>
      <c r="Q61" s="707">
        <f t="shared" si="8"/>
        <v>0</v>
      </c>
      <c r="R61" s="707">
        <f ca="1">R46+R52+R56</f>
        <v>191200.31058710816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0.19137068897809556</v>
      </c>
      <c r="D63" s="748">
        <f t="shared" ca="1" si="9"/>
        <v>0</v>
      </c>
      <c r="E63" s="994">
        <f t="shared" ca="1" si="9"/>
        <v>0.20200000000000001</v>
      </c>
      <c r="F63" s="748">
        <f t="shared" si="9"/>
        <v>0.22700000000000004</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7007.7625118730321</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15813.172676342045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22820.935188215077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37317.056274865223</v>
      </c>
      <c r="C4" s="444">
        <f>huishoudens!C8</f>
        <v>0</v>
      </c>
      <c r="D4" s="444">
        <f>huishoudens!D8</f>
        <v>108344.21734818626</v>
      </c>
      <c r="E4" s="444">
        <f>huishoudens!E8</f>
        <v>979.80616810174752</v>
      </c>
      <c r="F4" s="444">
        <f>huishoudens!F8</f>
        <v>30909.827799148203</v>
      </c>
      <c r="G4" s="444">
        <f>huishoudens!G8</f>
        <v>0</v>
      </c>
      <c r="H4" s="444">
        <f>huishoudens!H8</f>
        <v>0</v>
      </c>
      <c r="I4" s="444">
        <f>huishoudens!I8</f>
        <v>0</v>
      </c>
      <c r="J4" s="444">
        <f>huishoudens!J8</f>
        <v>720.81601661372861</v>
      </c>
      <c r="K4" s="444">
        <f>huishoudens!K8</f>
        <v>0</v>
      </c>
      <c r="L4" s="444">
        <f>huishoudens!L8</f>
        <v>0</v>
      </c>
      <c r="M4" s="444">
        <f>huishoudens!M8</f>
        <v>0</v>
      </c>
      <c r="N4" s="444">
        <f>huishoudens!N8</f>
        <v>11081.687251697382</v>
      </c>
      <c r="O4" s="444">
        <f>huishoudens!O8</f>
        <v>142.26333333333332</v>
      </c>
      <c r="P4" s="445">
        <f>huishoudens!P8</f>
        <v>1353.7333333333333</v>
      </c>
      <c r="Q4" s="446">
        <f>SUM(B4:P4)</f>
        <v>190849.40752527921</v>
      </c>
    </row>
    <row r="5" spans="1:17">
      <c r="A5" s="443" t="s">
        <v>149</v>
      </c>
      <c r="B5" s="444">
        <f ca="1">tertiair!B16</f>
        <v>56718.334500000004</v>
      </c>
      <c r="C5" s="444">
        <f ca="1">tertiair!C16</f>
        <v>0</v>
      </c>
      <c r="D5" s="444">
        <f ca="1">tertiair!D16</f>
        <v>39651.216708360953</v>
      </c>
      <c r="E5" s="444">
        <f>tertiair!E16</f>
        <v>444.76670161331492</v>
      </c>
      <c r="F5" s="444">
        <f ca="1">tertiair!F16</f>
        <v>7683.6298204552395</v>
      </c>
      <c r="G5" s="444">
        <f>tertiair!G16</f>
        <v>0</v>
      </c>
      <c r="H5" s="444">
        <f>tertiair!H16</f>
        <v>0</v>
      </c>
      <c r="I5" s="444">
        <f>tertiair!I16</f>
        <v>0</v>
      </c>
      <c r="J5" s="444">
        <f>tertiair!J16</f>
        <v>0</v>
      </c>
      <c r="K5" s="444">
        <f>tertiair!K16</f>
        <v>0</v>
      </c>
      <c r="L5" s="444">
        <f ca="1">tertiair!L16</f>
        <v>0</v>
      </c>
      <c r="M5" s="444">
        <f>tertiair!M16</f>
        <v>0</v>
      </c>
      <c r="N5" s="444">
        <f ca="1">tertiair!N16</f>
        <v>3568.8773645170168</v>
      </c>
      <c r="O5" s="444">
        <f>tertiair!O16</f>
        <v>1.5633333333333335</v>
      </c>
      <c r="P5" s="445">
        <f>tertiair!P16</f>
        <v>19.066666666666666</v>
      </c>
      <c r="Q5" s="443">
        <f t="shared" ref="Q5:Q14" ca="1" si="0">SUM(B5:P5)</f>
        <v>108087.45509494655</v>
      </c>
    </row>
    <row r="6" spans="1:17">
      <c r="A6" s="443" t="s">
        <v>187</v>
      </c>
      <c r="B6" s="444">
        <f>'openbare verlichting'!B8</f>
        <v>1585.075</v>
      </c>
      <c r="C6" s="444"/>
      <c r="D6" s="444"/>
      <c r="E6" s="444"/>
      <c r="F6" s="444"/>
      <c r="G6" s="444"/>
      <c r="H6" s="444"/>
      <c r="I6" s="444"/>
      <c r="J6" s="444"/>
      <c r="K6" s="444"/>
      <c r="L6" s="444"/>
      <c r="M6" s="444"/>
      <c r="N6" s="444"/>
      <c r="O6" s="444"/>
      <c r="P6" s="445"/>
      <c r="Q6" s="443">
        <f t="shared" si="0"/>
        <v>1585.075</v>
      </c>
    </row>
    <row r="7" spans="1:17">
      <c r="A7" s="443" t="s">
        <v>105</v>
      </c>
      <c r="B7" s="444">
        <f>landbouw!B8</f>
        <v>300.16378000000003</v>
      </c>
      <c r="C7" s="444">
        <f>landbouw!C8</f>
        <v>0</v>
      </c>
      <c r="D7" s="444">
        <f>landbouw!D8</f>
        <v>135.79959771097359</v>
      </c>
      <c r="E7" s="444">
        <f>landbouw!E8</f>
        <v>2.780242650507502</v>
      </c>
      <c r="F7" s="444">
        <f>landbouw!F8</f>
        <v>761.57269100140968</v>
      </c>
      <c r="G7" s="444">
        <f>landbouw!G8</f>
        <v>0</v>
      </c>
      <c r="H7" s="444">
        <f>landbouw!H8</f>
        <v>0</v>
      </c>
      <c r="I7" s="444">
        <f>landbouw!I8</f>
        <v>0</v>
      </c>
      <c r="J7" s="444">
        <f>landbouw!J8</f>
        <v>46.018457311561633</v>
      </c>
      <c r="K7" s="444">
        <f>landbouw!K8</f>
        <v>0</v>
      </c>
      <c r="L7" s="444">
        <f>landbouw!L8</f>
        <v>0</v>
      </c>
      <c r="M7" s="444">
        <f>landbouw!M8</f>
        <v>0</v>
      </c>
      <c r="N7" s="444">
        <f>landbouw!N8</f>
        <v>0</v>
      </c>
      <c r="O7" s="444">
        <f>landbouw!O8</f>
        <v>0</v>
      </c>
      <c r="P7" s="445">
        <f>landbouw!P8</f>
        <v>0</v>
      </c>
      <c r="Q7" s="443">
        <f t="shared" si="0"/>
        <v>1246.3347686744523</v>
      </c>
    </row>
    <row r="8" spans="1:17">
      <c r="A8" s="443" t="s">
        <v>637</v>
      </c>
      <c r="B8" s="444">
        <f>industrie!B18</f>
        <v>72868.474499999997</v>
      </c>
      <c r="C8" s="444">
        <f>industrie!C18</f>
        <v>0</v>
      </c>
      <c r="D8" s="444">
        <f>industrie!D18</f>
        <v>187802.85843303319</v>
      </c>
      <c r="E8" s="444">
        <f>industrie!E18</f>
        <v>4250.0179241035812</v>
      </c>
      <c r="F8" s="444">
        <f>industrie!F18</f>
        <v>19448.307834352196</v>
      </c>
      <c r="G8" s="444">
        <f>industrie!G18</f>
        <v>0</v>
      </c>
      <c r="H8" s="444">
        <f>industrie!H18</f>
        <v>0</v>
      </c>
      <c r="I8" s="444">
        <f>industrie!I18</f>
        <v>0</v>
      </c>
      <c r="J8" s="444">
        <f>industrie!J18</f>
        <v>295.02235919533871</v>
      </c>
      <c r="K8" s="444">
        <f>industrie!K18</f>
        <v>0</v>
      </c>
      <c r="L8" s="444">
        <f>industrie!L18</f>
        <v>0</v>
      </c>
      <c r="M8" s="444">
        <f>industrie!M18</f>
        <v>0</v>
      </c>
      <c r="N8" s="444">
        <f>industrie!N18</f>
        <v>4258.7881854157586</v>
      </c>
      <c r="O8" s="444">
        <f>industrie!O18</f>
        <v>0</v>
      </c>
      <c r="P8" s="445">
        <f>industrie!P18</f>
        <v>0</v>
      </c>
      <c r="Q8" s="443">
        <f t="shared" si="0"/>
        <v>288923.46923610003</v>
      </c>
    </row>
    <row r="9" spans="1:17" s="449" customFormat="1">
      <c r="A9" s="447" t="s">
        <v>558</v>
      </c>
      <c r="B9" s="448">
        <f>transport!B14</f>
        <v>36.689231276418916</v>
      </c>
      <c r="C9" s="448">
        <f>transport!C14</f>
        <v>0</v>
      </c>
      <c r="D9" s="448">
        <f>transport!D14</f>
        <v>55.14398597517615</v>
      </c>
      <c r="E9" s="448">
        <f>transport!E14</f>
        <v>561.10980895790658</v>
      </c>
      <c r="F9" s="448">
        <f>transport!F14</f>
        <v>0</v>
      </c>
      <c r="G9" s="448">
        <f>transport!G14</f>
        <v>238201.90050320415</v>
      </c>
      <c r="H9" s="448">
        <f>transport!H14</f>
        <v>32070.397154316015</v>
      </c>
      <c r="I9" s="448">
        <f>transport!I14</f>
        <v>0</v>
      </c>
      <c r="J9" s="448">
        <f>transport!J14</f>
        <v>0</v>
      </c>
      <c r="K9" s="448">
        <f>transport!K14</f>
        <v>0</v>
      </c>
      <c r="L9" s="448">
        <f>transport!L14</f>
        <v>0</v>
      </c>
      <c r="M9" s="448">
        <f>transport!M14</f>
        <v>14788.506415762506</v>
      </c>
      <c r="N9" s="448">
        <f>transport!N14</f>
        <v>0</v>
      </c>
      <c r="O9" s="448">
        <f>transport!O14</f>
        <v>0</v>
      </c>
      <c r="P9" s="448">
        <f>transport!P14</f>
        <v>0</v>
      </c>
      <c r="Q9" s="447">
        <f>SUM(B9:P9)</f>
        <v>285713.74709949218</v>
      </c>
    </row>
    <row r="10" spans="1:17">
      <c r="A10" s="443" t="s">
        <v>548</v>
      </c>
      <c r="B10" s="444">
        <f>transport!B54</f>
        <v>10.896399352911414</v>
      </c>
      <c r="C10" s="444">
        <f>transport!C54</f>
        <v>0</v>
      </c>
      <c r="D10" s="444">
        <f>transport!D54</f>
        <v>0</v>
      </c>
      <c r="E10" s="444">
        <f>transport!E54</f>
        <v>0</v>
      </c>
      <c r="F10" s="444">
        <f>transport!F54</f>
        <v>0</v>
      </c>
      <c r="G10" s="444">
        <f>transport!G54</f>
        <v>2064.7238999478304</v>
      </c>
      <c r="H10" s="444">
        <f>transport!H54</f>
        <v>0</v>
      </c>
      <c r="I10" s="444">
        <f>transport!I54</f>
        <v>0</v>
      </c>
      <c r="J10" s="444">
        <f>transport!J54</f>
        <v>0</v>
      </c>
      <c r="K10" s="444">
        <f>transport!K54</f>
        <v>0</v>
      </c>
      <c r="L10" s="444">
        <f>transport!L54</f>
        <v>0</v>
      </c>
      <c r="M10" s="444">
        <f>transport!M54</f>
        <v>118.86209984092041</v>
      </c>
      <c r="N10" s="444">
        <f>transport!N54</f>
        <v>0</v>
      </c>
      <c r="O10" s="444">
        <f>transport!O54</f>
        <v>0</v>
      </c>
      <c r="P10" s="445">
        <f>transport!P54</f>
        <v>0</v>
      </c>
      <c r="Q10" s="443">
        <f t="shared" si="0"/>
        <v>2194.4823991416624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1380.7909999999999</v>
      </c>
      <c r="C14" s="451"/>
      <c r="D14" s="451">
        <f>'SEAP template'!E25</f>
        <v>5577.26229110443</v>
      </c>
      <c r="E14" s="451"/>
      <c r="F14" s="451"/>
      <c r="G14" s="451"/>
      <c r="H14" s="451"/>
      <c r="I14" s="451"/>
      <c r="J14" s="451"/>
      <c r="K14" s="451"/>
      <c r="L14" s="451"/>
      <c r="M14" s="451"/>
      <c r="N14" s="451"/>
      <c r="O14" s="451"/>
      <c r="P14" s="452"/>
      <c r="Q14" s="443">
        <f t="shared" si="0"/>
        <v>6958.0532911044302</v>
      </c>
    </row>
    <row r="15" spans="1:17" s="453" customFormat="1">
      <c r="A15" s="1009" t="s">
        <v>552</v>
      </c>
      <c r="B15" s="949">
        <f ca="1">SUM(B4:B14)</f>
        <v>170217.48068549455</v>
      </c>
      <c r="C15" s="949">
        <f t="shared" ref="C15:Q15" ca="1" si="1">SUM(C4:C14)</f>
        <v>0</v>
      </c>
      <c r="D15" s="949">
        <f t="shared" ca="1" si="1"/>
        <v>341566.49836437101</v>
      </c>
      <c r="E15" s="949">
        <f t="shared" si="1"/>
        <v>6238.4808454270578</v>
      </c>
      <c r="F15" s="949">
        <f t="shared" ca="1" si="1"/>
        <v>58803.338144957044</v>
      </c>
      <c r="G15" s="949">
        <f t="shared" si="1"/>
        <v>240266.62440315197</v>
      </c>
      <c r="H15" s="949">
        <f t="shared" si="1"/>
        <v>32070.397154316015</v>
      </c>
      <c r="I15" s="949">
        <f t="shared" si="1"/>
        <v>0</v>
      </c>
      <c r="J15" s="949">
        <f t="shared" si="1"/>
        <v>1061.8568331206288</v>
      </c>
      <c r="K15" s="949">
        <f t="shared" si="1"/>
        <v>0</v>
      </c>
      <c r="L15" s="949">
        <f t="shared" ca="1" si="1"/>
        <v>0</v>
      </c>
      <c r="M15" s="949">
        <f t="shared" si="1"/>
        <v>14907.368515603426</v>
      </c>
      <c r="N15" s="949">
        <f t="shared" ca="1" si="1"/>
        <v>18909.352801630157</v>
      </c>
      <c r="O15" s="949">
        <f t="shared" si="1"/>
        <v>143.82666666666665</v>
      </c>
      <c r="P15" s="949">
        <f t="shared" si="1"/>
        <v>1372.8</v>
      </c>
      <c r="Q15" s="949">
        <f t="shared" ca="1" si="1"/>
        <v>885558.02441473852</v>
      </c>
    </row>
    <row r="17" spans="1:17">
      <c r="A17" s="454" t="s">
        <v>553</v>
      </c>
      <c r="B17" s="753">
        <f ca="1">huishoudens!B10</f>
        <v>0.19137068897809556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7141.390769955322</v>
      </c>
      <c r="C22" s="444">
        <f t="shared" ref="C22:C32" ca="1" si="3">C4*$C$17</f>
        <v>0</v>
      </c>
      <c r="D22" s="444">
        <f t="shared" ref="D22:D32" si="4">D4*$D$17</f>
        <v>21885.531904333624</v>
      </c>
      <c r="E22" s="444">
        <f t="shared" ref="E22:E32" si="5">E4*$E$17</f>
        <v>222.41600015909668</v>
      </c>
      <c r="F22" s="444">
        <f t="shared" ref="F22:F32" si="6">F4*$F$17</f>
        <v>8252.9240223725701</v>
      </c>
      <c r="G22" s="444">
        <f t="shared" ref="G22:G32" si="7">G4*$G$17</f>
        <v>0</v>
      </c>
      <c r="H22" s="444">
        <f t="shared" ref="H22:H32" si="8">H4*$H$17</f>
        <v>0</v>
      </c>
      <c r="I22" s="444">
        <f t="shared" ref="I22:I32" si="9">I4*$I$17</f>
        <v>0</v>
      </c>
      <c r="J22" s="444">
        <f t="shared" ref="J22:J32" si="10">J4*$J$17</f>
        <v>255.16886988125992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37757.431566701867</v>
      </c>
    </row>
    <row r="23" spans="1:17">
      <c r="A23" s="443" t="s">
        <v>149</v>
      </c>
      <c r="B23" s="444">
        <f t="shared" ca="1" si="2"/>
        <v>10854.226750955087</v>
      </c>
      <c r="C23" s="444">
        <f t="shared" ca="1" si="3"/>
        <v>0</v>
      </c>
      <c r="D23" s="444">
        <f t="shared" ca="1" si="4"/>
        <v>8009.5457750889127</v>
      </c>
      <c r="E23" s="444">
        <f t="shared" si="5"/>
        <v>100.96204126622249</v>
      </c>
      <c r="F23" s="444">
        <f t="shared" ca="1" si="6"/>
        <v>2051.529162061549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21016.263729371771</v>
      </c>
    </row>
    <row r="24" spans="1:17">
      <c r="A24" s="443" t="s">
        <v>187</v>
      </c>
      <c r="B24" s="444">
        <f t="shared" ca="1" si="2"/>
        <v>303.33689483195485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303.33689483195485</v>
      </c>
    </row>
    <row r="25" spans="1:17">
      <c r="A25" s="443" t="s">
        <v>105</v>
      </c>
      <c r="B25" s="444">
        <f t="shared" ca="1" si="2"/>
        <v>57.442549384869508</v>
      </c>
      <c r="C25" s="444">
        <f t="shared" ca="1" si="3"/>
        <v>0</v>
      </c>
      <c r="D25" s="444">
        <f t="shared" si="4"/>
        <v>27.431518737616667</v>
      </c>
      <c r="E25" s="444">
        <f t="shared" si="5"/>
        <v>0.63111508166520291</v>
      </c>
      <c r="F25" s="444">
        <f t="shared" si="6"/>
        <v>203.3399084973764</v>
      </c>
      <c r="G25" s="444">
        <f t="shared" si="7"/>
        <v>0</v>
      </c>
      <c r="H25" s="444">
        <f t="shared" si="8"/>
        <v>0</v>
      </c>
      <c r="I25" s="444">
        <f t="shared" si="9"/>
        <v>0</v>
      </c>
      <c r="J25" s="444">
        <f t="shared" si="10"/>
        <v>16.290533888292817</v>
      </c>
      <c r="K25" s="444">
        <f t="shared" si="11"/>
        <v>0</v>
      </c>
      <c r="L25" s="444">
        <f t="shared" si="12"/>
        <v>0</v>
      </c>
      <c r="M25" s="444">
        <f t="shared" si="13"/>
        <v>0</v>
      </c>
      <c r="N25" s="444">
        <f t="shared" si="14"/>
        <v>0</v>
      </c>
      <c r="O25" s="444">
        <f t="shared" si="15"/>
        <v>0</v>
      </c>
      <c r="P25" s="445">
        <f t="shared" si="16"/>
        <v>0</v>
      </c>
      <c r="Q25" s="443">
        <f t="shared" ca="1" si="17"/>
        <v>305.13562558982062</v>
      </c>
    </row>
    <row r="26" spans="1:17">
      <c r="A26" s="443" t="s">
        <v>637</v>
      </c>
      <c r="B26" s="444">
        <f t="shared" ca="1" si="2"/>
        <v>13944.890169847788</v>
      </c>
      <c r="C26" s="444">
        <f t="shared" ca="1" si="3"/>
        <v>0</v>
      </c>
      <c r="D26" s="444">
        <f t="shared" si="4"/>
        <v>37936.177403472706</v>
      </c>
      <c r="E26" s="444">
        <f t="shared" si="5"/>
        <v>964.75406877151295</v>
      </c>
      <c r="F26" s="444">
        <f t="shared" si="6"/>
        <v>5192.6981917720368</v>
      </c>
      <c r="G26" s="444">
        <f t="shared" si="7"/>
        <v>0</v>
      </c>
      <c r="H26" s="444">
        <f t="shared" si="8"/>
        <v>0</v>
      </c>
      <c r="I26" s="444">
        <f t="shared" si="9"/>
        <v>0</v>
      </c>
      <c r="J26" s="444">
        <f t="shared" si="10"/>
        <v>104.43791515514989</v>
      </c>
      <c r="K26" s="444">
        <f t="shared" si="11"/>
        <v>0</v>
      </c>
      <c r="L26" s="444">
        <f t="shared" si="12"/>
        <v>0</v>
      </c>
      <c r="M26" s="444">
        <f t="shared" si="13"/>
        <v>0</v>
      </c>
      <c r="N26" s="444">
        <f t="shared" si="14"/>
        <v>0</v>
      </c>
      <c r="O26" s="444">
        <f t="shared" si="15"/>
        <v>0</v>
      </c>
      <c r="P26" s="445">
        <f t="shared" si="16"/>
        <v>0</v>
      </c>
      <c r="Q26" s="443">
        <f t="shared" ca="1" si="17"/>
        <v>58142.957749019195</v>
      </c>
    </row>
    <row r="27" spans="1:17" s="449" customFormat="1">
      <c r="A27" s="447" t="s">
        <v>558</v>
      </c>
      <c r="B27" s="747">
        <f t="shared" ca="1" si="2"/>
        <v>7.0212434674449806</v>
      </c>
      <c r="C27" s="448">
        <f t="shared" ca="1" si="3"/>
        <v>0</v>
      </c>
      <c r="D27" s="448">
        <f t="shared" si="4"/>
        <v>11.139085166985582</v>
      </c>
      <c r="E27" s="448">
        <f t="shared" si="5"/>
        <v>127.3719266334448</v>
      </c>
      <c r="F27" s="448">
        <f t="shared" si="6"/>
        <v>0</v>
      </c>
      <c r="G27" s="448">
        <f t="shared" si="7"/>
        <v>63599.907434355511</v>
      </c>
      <c r="H27" s="448">
        <f t="shared" si="8"/>
        <v>7985.5288914246876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71730.968581048073</v>
      </c>
    </row>
    <row r="28" spans="1:17">
      <c r="A28" s="443" t="s">
        <v>548</v>
      </c>
      <c r="B28" s="444">
        <f t="shared" ca="1" si="2"/>
        <v>2.0852514515471321</v>
      </c>
      <c r="C28" s="444">
        <f t="shared" ca="1" si="3"/>
        <v>0</v>
      </c>
      <c r="D28" s="444">
        <f t="shared" si="4"/>
        <v>0</v>
      </c>
      <c r="E28" s="444">
        <f t="shared" si="5"/>
        <v>0</v>
      </c>
      <c r="F28" s="444">
        <f t="shared" si="6"/>
        <v>0</v>
      </c>
      <c r="G28" s="444">
        <f t="shared" si="7"/>
        <v>551.28128128607079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553.36653273761794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264.24292500475354</v>
      </c>
      <c r="C32" s="444">
        <f t="shared" ca="1" si="3"/>
        <v>0</v>
      </c>
      <c r="D32" s="444">
        <f t="shared" si="4"/>
        <v>1126.606982803095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1390.8499078078485</v>
      </c>
    </row>
    <row r="33" spans="1:17" s="453" customFormat="1">
      <c r="A33" s="1009" t="s">
        <v>552</v>
      </c>
      <c r="B33" s="949">
        <f ca="1">SUM(B22:B32)</f>
        <v>32574.636554898767</v>
      </c>
      <c r="C33" s="949">
        <f t="shared" ref="C33:Q33" ca="1" si="18">SUM(C22:C32)</f>
        <v>0</v>
      </c>
      <c r="D33" s="949">
        <f t="shared" ca="1" si="18"/>
        <v>68996.432669602931</v>
      </c>
      <c r="E33" s="949">
        <f t="shared" si="18"/>
        <v>1416.1351519119423</v>
      </c>
      <c r="F33" s="949">
        <f t="shared" ca="1" si="18"/>
        <v>15700.491284703532</v>
      </c>
      <c r="G33" s="949">
        <f t="shared" si="18"/>
        <v>64151.188715641583</v>
      </c>
      <c r="H33" s="949">
        <f t="shared" si="18"/>
        <v>7985.5288914246876</v>
      </c>
      <c r="I33" s="949">
        <f t="shared" si="18"/>
        <v>0</v>
      </c>
      <c r="J33" s="949">
        <f t="shared" si="18"/>
        <v>375.89731892470263</v>
      </c>
      <c r="K33" s="949">
        <f t="shared" si="18"/>
        <v>0</v>
      </c>
      <c r="L33" s="949">
        <f t="shared" ca="1" si="18"/>
        <v>0</v>
      </c>
      <c r="M33" s="949">
        <f t="shared" si="18"/>
        <v>0</v>
      </c>
      <c r="N33" s="949">
        <f t="shared" ca="1" si="18"/>
        <v>0</v>
      </c>
      <c r="O33" s="949">
        <f t="shared" si="18"/>
        <v>0</v>
      </c>
      <c r="P33" s="949">
        <f t="shared" si="18"/>
        <v>0</v>
      </c>
      <c r="Q33" s="949">
        <f t="shared" ca="1" si="18"/>
        <v>191200.31058710816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7007.7625118730321</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15813.172676342045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22820.935188215077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0.19137068897809556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0.19137068897809556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0.19137068897809556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0.19137068897809556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10295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668</v>
      </c>
      <c r="C14" s="324"/>
      <c r="D14" s="324"/>
      <c r="E14" s="324"/>
      <c r="F14" s="324"/>
    </row>
    <row r="15" spans="1:6">
      <c r="A15" s="1302" t="s">
        <v>177</v>
      </c>
      <c r="B15" s="1303">
        <v>2</v>
      </c>
      <c r="C15" s="324"/>
      <c r="D15" s="324"/>
      <c r="E15" s="324"/>
      <c r="F15" s="324"/>
    </row>
    <row r="16" spans="1:6">
      <c r="A16" s="1302" t="s">
        <v>6</v>
      </c>
      <c r="B16" s="1303">
        <v>209</v>
      </c>
      <c r="C16" s="324"/>
      <c r="D16" s="324"/>
      <c r="E16" s="324"/>
      <c r="F16" s="324"/>
    </row>
    <row r="17" spans="1:6">
      <c r="A17" s="1302" t="s">
        <v>7</v>
      </c>
      <c r="B17" s="1303">
        <v>143</v>
      </c>
      <c r="C17" s="324"/>
      <c r="D17" s="324"/>
      <c r="E17" s="324"/>
      <c r="F17" s="324"/>
    </row>
    <row r="18" spans="1:6">
      <c r="A18" s="1302" t="s">
        <v>8</v>
      </c>
      <c r="B18" s="1303">
        <v>259</v>
      </c>
      <c r="C18" s="324"/>
      <c r="D18" s="324"/>
      <c r="E18" s="324"/>
      <c r="F18" s="324"/>
    </row>
    <row r="19" spans="1:6">
      <c r="A19" s="1302" t="s">
        <v>9</v>
      </c>
      <c r="B19" s="1303">
        <v>244</v>
      </c>
      <c r="C19" s="324"/>
      <c r="D19" s="324"/>
      <c r="E19" s="324"/>
      <c r="F19" s="324"/>
    </row>
    <row r="20" spans="1:6">
      <c r="A20" s="1302" t="s">
        <v>10</v>
      </c>
      <c r="B20" s="1303">
        <v>265</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5</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2</v>
      </c>
      <c r="C29" s="324"/>
      <c r="D29" s="324"/>
      <c r="E29" s="324"/>
      <c r="F29" s="324"/>
    </row>
    <row r="30" spans="1:6">
      <c r="A30" s="1297" t="s">
        <v>919</v>
      </c>
      <c r="B30" s="1305">
        <v>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5</v>
      </c>
      <c r="F36" s="1303">
        <v>6693.8149999999996</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46010.77</v>
      </c>
    </row>
    <row r="39" spans="1:6">
      <c r="A39" s="1302" t="s">
        <v>29</v>
      </c>
      <c r="B39" s="1302" t="s">
        <v>30</v>
      </c>
      <c r="C39" s="1303">
        <v>8713</v>
      </c>
      <c r="D39" s="1303">
        <v>120115540.297324</v>
      </c>
      <c r="E39" s="1303">
        <v>10304</v>
      </c>
      <c r="F39" s="1303">
        <v>34762312</v>
      </c>
    </row>
    <row r="40" spans="1:6">
      <c r="A40" s="1302" t="s">
        <v>29</v>
      </c>
      <c r="B40" s="1302" t="s">
        <v>28</v>
      </c>
      <c r="C40" s="1303">
        <v>0</v>
      </c>
      <c r="D40" s="1303">
        <v>0</v>
      </c>
      <c r="E40" s="1303">
        <v>0</v>
      </c>
      <c r="F40" s="1303">
        <v>0</v>
      </c>
    </row>
    <row r="41" spans="1:6">
      <c r="A41" s="1302" t="s">
        <v>31</v>
      </c>
      <c r="B41" s="1302" t="s">
        <v>32</v>
      </c>
      <c r="C41" s="1303">
        <v>59</v>
      </c>
      <c r="D41" s="1303">
        <v>1714616.1795361899</v>
      </c>
      <c r="E41" s="1303">
        <v>272</v>
      </c>
      <c r="F41" s="1303">
        <v>2836892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8</v>
      </c>
      <c r="D44" s="1303">
        <v>8024151.6724257702</v>
      </c>
      <c r="E44" s="1303">
        <v>22</v>
      </c>
      <c r="F44" s="1303">
        <v>2615836</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33</v>
      </c>
      <c r="D48" s="1303">
        <v>197810461.39823499</v>
      </c>
      <c r="E48" s="1303">
        <v>45</v>
      </c>
      <c r="F48" s="1303">
        <v>66798102</v>
      </c>
    </row>
    <row r="49" spans="1:6">
      <c r="A49" s="1302" t="s">
        <v>31</v>
      </c>
      <c r="B49" s="1302" t="s">
        <v>39</v>
      </c>
      <c r="C49" s="1303">
        <v>0</v>
      </c>
      <c r="D49" s="1303">
        <v>0</v>
      </c>
      <c r="E49" s="1303">
        <v>0</v>
      </c>
      <c r="F49" s="1303">
        <v>0</v>
      </c>
    </row>
    <row r="50" spans="1:6">
      <c r="A50" s="1302" t="s">
        <v>31</v>
      </c>
      <c r="B50" s="1302" t="s">
        <v>40</v>
      </c>
      <c r="C50" s="1303">
        <v>11</v>
      </c>
      <c r="D50" s="1303">
        <v>657930.87511699297</v>
      </c>
      <c r="E50" s="1303">
        <v>15</v>
      </c>
      <c r="F50" s="1303">
        <v>617644.5</v>
      </c>
    </row>
    <row r="51" spans="1:6">
      <c r="A51" s="1302" t="s">
        <v>41</v>
      </c>
      <c r="B51" s="1302" t="s">
        <v>42</v>
      </c>
      <c r="C51" s="1303">
        <v>3</v>
      </c>
      <c r="D51" s="1303">
        <v>21699.867396612099</v>
      </c>
      <c r="E51" s="1303">
        <v>26</v>
      </c>
      <c r="F51" s="1303">
        <v>239606.2</v>
      </c>
    </row>
    <row r="52" spans="1:6">
      <c r="A52" s="1302" t="s">
        <v>41</v>
      </c>
      <c r="B52" s="1302" t="s">
        <v>28</v>
      </c>
      <c r="C52" s="1303">
        <v>6</v>
      </c>
      <c r="D52" s="1303">
        <v>128854.01033174001</v>
      </c>
      <c r="E52" s="1303">
        <v>5</v>
      </c>
      <c r="F52" s="1303">
        <v>60557.58</v>
      </c>
    </row>
    <row r="53" spans="1:6">
      <c r="A53" s="1302" t="s">
        <v>43</v>
      </c>
      <c r="B53" s="1302" t="s">
        <v>44</v>
      </c>
      <c r="C53" s="1303">
        <v>217</v>
      </c>
      <c r="D53" s="1303">
        <v>5577262.2911044303</v>
      </c>
      <c r="E53" s="1303">
        <v>357</v>
      </c>
      <c r="F53" s="1303">
        <v>1380791</v>
      </c>
    </row>
    <row r="54" spans="1:6">
      <c r="A54" s="1302" t="s">
        <v>45</v>
      </c>
      <c r="B54" s="1302" t="s">
        <v>46</v>
      </c>
      <c r="C54" s="1303">
        <v>0</v>
      </c>
      <c r="D54" s="1303">
        <v>0</v>
      </c>
      <c r="E54" s="1303">
        <v>1</v>
      </c>
      <c r="F54" s="1303">
        <v>1585075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50</v>
      </c>
      <c r="D57" s="1303">
        <v>1186833.7435177199</v>
      </c>
      <c r="E57" s="1303">
        <v>114</v>
      </c>
      <c r="F57" s="1303">
        <v>3875743</v>
      </c>
    </row>
    <row r="58" spans="1:6">
      <c r="A58" s="1302" t="s">
        <v>48</v>
      </c>
      <c r="B58" s="1302" t="s">
        <v>50</v>
      </c>
      <c r="C58" s="1303">
        <v>33</v>
      </c>
      <c r="D58" s="1303">
        <v>3688450.0920166899</v>
      </c>
      <c r="E58" s="1303">
        <v>48</v>
      </c>
      <c r="F58" s="1303">
        <v>2440735</v>
      </c>
    </row>
    <row r="59" spans="1:6">
      <c r="A59" s="1302" t="s">
        <v>48</v>
      </c>
      <c r="B59" s="1302" t="s">
        <v>51</v>
      </c>
      <c r="C59" s="1303">
        <v>134</v>
      </c>
      <c r="D59" s="1303">
        <v>10417662.683413301</v>
      </c>
      <c r="E59" s="1303">
        <v>241</v>
      </c>
      <c r="F59" s="1303">
        <v>21383194</v>
      </c>
    </row>
    <row r="60" spans="1:6">
      <c r="A60" s="1302" t="s">
        <v>48</v>
      </c>
      <c r="B60" s="1302" t="s">
        <v>52</v>
      </c>
      <c r="C60" s="1303">
        <v>68</v>
      </c>
      <c r="D60" s="1303">
        <v>2239440.6292429999</v>
      </c>
      <c r="E60" s="1303">
        <v>86</v>
      </c>
      <c r="F60" s="1303">
        <v>2194941</v>
      </c>
    </row>
    <row r="61" spans="1:6">
      <c r="A61" s="1302" t="s">
        <v>48</v>
      </c>
      <c r="B61" s="1302" t="s">
        <v>53</v>
      </c>
      <c r="C61" s="1303">
        <v>270</v>
      </c>
      <c r="D61" s="1303">
        <v>17744895.425326701</v>
      </c>
      <c r="E61" s="1303">
        <v>411</v>
      </c>
      <c r="F61" s="1303">
        <v>21276631</v>
      </c>
    </row>
    <row r="62" spans="1:6">
      <c r="A62" s="1302" t="s">
        <v>48</v>
      </c>
      <c r="B62" s="1302" t="s">
        <v>54</v>
      </c>
      <c r="C62" s="1303">
        <v>6</v>
      </c>
      <c r="D62" s="1303">
        <v>706909.06148454198</v>
      </c>
      <c r="E62" s="1303">
        <v>24</v>
      </c>
      <c r="F62" s="1303">
        <v>486599.5</v>
      </c>
    </row>
    <row r="63" spans="1:6">
      <c r="A63" s="1302" t="s">
        <v>48</v>
      </c>
      <c r="B63" s="1302" t="s">
        <v>28</v>
      </c>
      <c r="C63" s="1303">
        <v>102</v>
      </c>
      <c r="D63" s="1303">
        <v>7975028.6625157297</v>
      </c>
      <c r="E63" s="1303">
        <v>100</v>
      </c>
      <c r="F63" s="1303">
        <v>5060491</v>
      </c>
    </row>
    <row r="64" spans="1:6">
      <c r="A64" s="1302" t="s">
        <v>55</v>
      </c>
      <c r="B64" s="1302" t="s">
        <v>56</v>
      </c>
      <c r="C64" s="1303">
        <v>0</v>
      </c>
      <c r="D64" s="1303">
        <v>0</v>
      </c>
      <c r="E64" s="1303">
        <v>0</v>
      </c>
      <c r="F64" s="1303">
        <v>0</v>
      </c>
    </row>
    <row r="65" spans="1:6">
      <c r="A65" s="1302" t="s">
        <v>55</v>
      </c>
      <c r="B65" s="1302" t="s">
        <v>28</v>
      </c>
      <c r="C65" s="1303">
        <v>5</v>
      </c>
      <c r="D65" s="1303">
        <v>91212.442442479398</v>
      </c>
      <c r="E65" s="1303">
        <v>2</v>
      </c>
      <c r="F65" s="1303">
        <v>3145.9009999999998</v>
      </c>
    </row>
    <row r="66" spans="1:6">
      <c r="A66" s="1302" t="s">
        <v>55</v>
      </c>
      <c r="B66" s="1302" t="s">
        <v>57</v>
      </c>
      <c r="C66" s="1303">
        <v>0</v>
      </c>
      <c r="D66" s="1303">
        <v>0</v>
      </c>
      <c r="E66" s="1303">
        <v>8</v>
      </c>
      <c r="F66" s="1303">
        <v>122951.9</v>
      </c>
    </row>
    <row r="67" spans="1:6">
      <c r="A67" s="1302" t="s">
        <v>55</v>
      </c>
      <c r="B67" s="1302" t="s">
        <v>58</v>
      </c>
      <c r="C67" s="1303">
        <v>0</v>
      </c>
      <c r="D67" s="1303">
        <v>0</v>
      </c>
      <c r="E67" s="1303">
        <v>0</v>
      </c>
      <c r="F67" s="1303">
        <v>0</v>
      </c>
    </row>
    <row r="68" spans="1:6">
      <c r="A68" s="1297" t="s">
        <v>55</v>
      </c>
      <c r="B68" s="1297" t="s">
        <v>59</v>
      </c>
      <c r="C68" s="1305">
        <v>0</v>
      </c>
      <c r="D68" s="1305">
        <v>0</v>
      </c>
      <c r="E68" s="1305">
        <v>13</v>
      </c>
      <c r="F68" s="1305">
        <v>1030508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143148750</v>
      </c>
      <c r="E73" s="442"/>
      <c r="F73" s="324"/>
    </row>
    <row r="74" spans="1:6">
      <c r="A74" s="1302" t="s">
        <v>63</v>
      </c>
      <c r="B74" s="1302" t="s">
        <v>695</v>
      </c>
      <c r="C74" s="1315" t="s">
        <v>697</v>
      </c>
      <c r="D74" s="1303">
        <v>28439563.70745451</v>
      </c>
      <c r="E74" s="442"/>
      <c r="F74" s="324"/>
    </row>
    <row r="75" spans="1:6">
      <c r="A75" s="1302" t="s">
        <v>64</v>
      </c>
      <c r="B75" s="1302" t="s">
        <v>694</v>
      </c>
      <c r="C75" s="1315" t="s">
        <v>698</v>
      </c>
      <c r="D75" s="1303">
        <v>45775359</v>
      </c>
      <c r="E75" s="442"/>
      <c r="F75" s="324"/>
    </row>
    <row r="76" spans="1:6">
      <c r="A76" s="1302" t="s">
        <v>64</v>
      </c>
      <c r="B76" s="1302" t="s">
        <v>695</v>
      </c>
      <c r="C76" s="1315" t="s">
        <v>699</v>
      </c>
      <c r="D76" s="1303">
        <v>5980095.707454511</v>
      </c>
      <c r="E76" s="442"/>
      <c r="F76" s="324"/>
    </row>
    <row r="77" spans="1:6">
      <c r="A77" s="1302" t="s">
        <v>65</v>
      </c>
      <c r="B77" s="1302" t="s">
        <v>694</v>
      </c>
      <c r="C77" s="1315" t="s">
        <v>700</v>
      </c>
      <c r="D77" s="1303">
        <v>57747871</v>
      </c>
      <c r="E77" s="442"/>
      <c r="F77" s="324"/>
    </row>
    <row r="78" spans="1:6">
      <c r="A78" s="1297" t="s">
        <v>65</v>
      </c>
      <c r="B78" s="1297" t="s">
        <v>695</v>
      </c>
      <c r="C78" s="1297" t="s">
        <v>701</v>
      </c>
      <c r="D78" s="1305">
        <v>8435744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589400.58509097854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7007.7625118730321</v>
      </c>
      <c r="C90" s="324"/>
      <c r="D90" s="324"/>
      <c r="E90" s="324"/>
      <c r="F90" s="324"/>
    </row>
    <row r="91" spans="1:6">
      <c r="A91" s="1302" t="s">
        <v>67</v>
      </c>
      <c r="B91" s="1303">
        <v>2554.7442748652225</v>
      </c>
      <c r="C91" s="324"/>
      <c r="D91" s="324"/>
      <c r="E91" s="324"/>
      <c r="F91" s="324"/>
    </row>
    <row r="92" spans="1:6">
      <c r="A92" s="1297" t="s">
        <v>68</v>
      </c>
      <c r="B92" s="1298">
        <v>13258.428401476822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6495</v>
      </c>
      <c r="C97" s="324"/>
      <c r="D97" s="324"/>
      <c r="E97" s="324"/>
      <c r="F97" s="324"/>
    </row>
    <row r="98" spans="1:6">
      <c r="A98" s="1302" t="s">
        <v>71</v>
      </c>
      <c r="B98" s="1303">
        <v>10</v>
      </c>
      <c r="C98" s="324"/>
      <c r="D98" s="324"/>
      <c r="E98" s="324"/>
      <c r="F98" s="324"/>
    </row>
    <row r="99" spans="1:6">
      <c r="A99" s="1302" t="s">
        <v>72</v>
      </c>
      <c r="B99" s="1303">
        <v>27</v>
      </c>
      <c r="C99" s="324"/>
      <c r="D99" s="324"/>
      <c r="E99" s="324"/>
      <c r="F99" s="324"/>
    </row>
    <row r="100" spans="1:6">
      <c r="A100" s="1302" t="s">
        <v>73</v>
      </c>
      <c r="B100" s="1303">
        <v>410</v>
      </c>
      <c r="C100" s="324"/>
      <c r="D100" s="324"/>
      <c r="E100" s="324"/>
      <c r="F100" s="324"/>
    </row>
    <row r="101" spans="1:6">
      <c r="A101" s="1302" t="s">
        <v>74</v>
      </c>
      <c r="B101" s="1303">
        <v>70</v>
      </c>
      <c r="C101" s="324"/>
      <c r="D101" s="324"/>
      <c r="E101" s="324"/>
      <c r="F101" s="324"/>
    </row>
    <row r="102" spans="1:6">
      <c r="A102" s="1302" t="s">
        <v>75</v>
      </c>
      <c r="B102" s="1303">
        <v>123</v>
      </c>
      <c r="C102" s="324"/>
      <c r="D102" s="324"/>
      <c r="E102" s="324"/>
      <c r="F102" s="324"/>
    </row>
    <row r="103" spans="1:6">
      <c r="A103" s="1302" t="s">
        <v>76</v>
      </c>
      <c r="B103" s="1303">
        <v>180</v>
      </c>
      <c r="C103" s="324"/>
      <c r="D103" s="324"/>
      <c r="E103" s="324"/>
      <c r="F103" s="324"/>
    </row>
    <row r="104" spans="1:6">
      <c r="A104" s="1302" t="s">
        <v>77</v>
      </c>
      <c r="B104" s="1303">
        <v>1800</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64</v>
      </c>
      <c r="C123" s="1303">
        <v>13</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78</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170217.48068549455</v>
      </c>
      <c r="C3" s="43" t="s">
        <v>163</v>
      </c>
      <c r="D3" s="43"/>
      <c r="E3" s="154"/>
      <c r="F3" s="43"/>
      <c r="G3" s="43"/>
      <c r="H3" s="43"/>
      <c r="I3" s="43"/>
      <c r="J3" s="43"/>
      <c r="K3" s="96"/>
    </row>
    <row r="4" spans="1:11">
      <c r="A4" s="351" t="s">
        <v>164</v>
      </c>
      <c r="B4" s="49">
        <f>IF(ISERROR('SEAP template'!B78+'SEAP template'!C78),0,'SEAP template'!B78+'SEAP template'!C78)</f>
        <v>22820.935188215077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0.19137068897809556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1585.075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1585.075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0.19137068897809556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303.33689483195485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34762.311999999998</v>
      </c>
      <c r="C5" s="17">
        <f>IF(ISERROR('Eigen informatie GS &amp; warmtenet'!B57),0,'Eigen informatie GS &amp; warmtenet'!B57)</f>
        <v>0</v>
      </c>
      <c r="D5" s="30">
        <f>(SUM(HH_hh_gas_kWh,HH_rest_gas_kWh)/1000)*0.902</f>
        <v>108344.21734818626</v>
      </c>
      <c r="E5" s="17">
        <f>B32*B41</f>
        <v>979.80616810174752</v>
      </c>
      <c r="F5" s="17">
        <f>B36*B45</f>
        <v>30909.827799148203</v>
      </c>
      <c r="G5" s="18"/>
      <c r="H5" s="17"/>
      <c r="I5" s="17"/>
      <c r="J5" s="17">
        <f>B35*B44+C35*C44</f>
        <v>720.81601661372861</v>
      </c>
      <c r="K5" s="17"/>
      <c r="L5" s="17"/>
      <c r="M5" s="17"/>
      <c r="N5" s="17">
        <f>B34*B43+C34*C43</f>
        <v>11081.687251697382</v>
      </c>
      <c r="O5" s="17">
        <f>B52*B53*B54</f>
        <v>142.26333333333332</v>
      </c>
      <c r="P5" s="17">
        <f>B60*B61*B62/1000-B60*B61*B62/1000/B63</f>
        <v>1353.7333333333333</v>
      </c>
    </row>
    <row r="6" spans="1:16">
      <c r="A6" s="16" t="s">
        <v>618</v>
      </c>
      <c r="B6" s="755">
        <f>kWh_PV_kleiner_dan_10kW</f>
        <v>2554.7442748652225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37317.056274865223</v>
      </c>
      <c r="C8" s="21">
        <f>C5</f>
        <v>0</v>
      </c>
      <c r="D8" s="21">
        <f>D5</f>
        <v>108344.21734818626</v>
      </c>
      <c r="E8" s="21">
        <f>E5</f>
        <v>979.80616810174752</v>
      </c>
      <c r="F8" s="21">
        <f>F5</f>
        <v>30909.827799148203</v>
      </c>
      <c r="G8" s="21"/>
      <c r="H8" s="21"/>
      <c r="I8" s="21"/>
      <c r="J8" s="21">
        <f>J5</f>
        <v>720.81601661372861</v>
      </c>
      <c r="K8" s="21"/>
      <c r="L8" s="21">
        <f>L5</f>
        <v>0</v>
      </c>
      <c r="M8" s="21">
        <f>M5</f>
        <v>0</v>
      </c>
      <c r="N8" s="21">
        <f>N5</f>
        <v>11081.687251697382</v>
      </c>
      <c r="O8" s="21">
        <f>O5</f>
        <v>142.26333333333332</v>
      </c>
      <c r="P8" s="21">
        <f>P5</f>
        <v>1353.7333333333333</v>
      </c>
    </row>
    <row r="9" spans="1:16">
      <c r="B9" s="19"/>
      <c r="C9" s="19"/>
      <c r="D9" s="254"/>
      <c r="E9" s="19"/>
      <c r="F9" s="19"/>
      <c r="G9" s="19"/>
      <c r="H9" s="19"/>
      <c r="I9" s="19"/>
      <c r="J9" s="19"/>
      <c r="K9" s="19"/>
      <c r="L9" s="19"/>
      <c r="M9" s="19"/>
      <c r="N9" s="19"/>
      <c r="O9" s="19"/>
      <c r="P9" s="19"/>
    </row>
    <row r="10" spans="1:16">
      <c r="A10" s="24" t="s">
        <v>207</v>
      </c>
      <c r="B10" s="25">
        <f ca="1">'EF ele_warmte'!B12</f>
        <v>0.19137068897809556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7141.390769955322</v>
      </c>
      <c r="C12" s="23">
        <f ca="1">C10*C8</f>
        <v>0</v>
      </c>
      <c r="D12" s="23">
        <f>D8*D10</f>
        <v>21885.531904333624</v>
      </c>
      <c r="E12" s="23">
        <f>E10*E8</f>
        <v>222.41600015909668</v>
      </c>
      <c r="F12" s="23">
        <f>F10*F8</f>
        <v>8252.9240223725701</v>
      </c>
      <c r="G12" s="23"/>
      <c r="H12" s="23"/>
      <c r="I12" s="23"/>
      <c r="J12" s="23">
        <f>J10*J8</f>
        <v>255.16886988125992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10295</v>
      </c>
      <c r="C26" s="36"/>
      <c r="D26" s="225"/>
    </row>
    <row r="27" spans="1:5" s="15" customFormat="1">
      <c r="A27" s="227" t="s">
        <v>721</v>
      </c>
      <c r="B27" s="37">
        <f>SUM(HH_hh_gas_aantal,HH_rest_gas_aantal)</f>
        <v>8713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8277.35</v>
      </c>
      <c r="C31" s="34" t="s">
        <v>104</v>
      </c>
      <c r="D31" s="171"/>
    </row>
    <row r="32" spans="1:5">
      <c r="A32" s="168" t="s">
        <v>72</v>
      </c>
      <c r="B32" s="33">
        <f>IF((B21*($B$26-($B$27-0.05*$B$27)-$B$60))&lt;0,0,B21*($B$26-($B$27-0.05*$B$27)-$B$60))</f>
        <v>12.274057388222992</v>
      </c>
      <c r="C32" s="34" t="s">
        <v>104</v>
      </c>
      <c r="D32" s="171"/>
    </row>
    <row r="33" spans="1:6">
      <c r="A33" s="168" t="s">
        <v>73</v>
      </c>
      <c r="B33" s="33">
        <f>IF((B22*($B$26-($B$27-0.05*$B$27)-$B$60))&lt;0,0,B22*($B$26-($B$27-0.05*$B$27)-$B$60))</f>
        <v>427.42726640418186</v>
      </c>
      <c r="C33" s="34" t="s">
        <v>104</v>
      </c>
      <c r="D33" s="171"/>
    </row>
    <row r="34" spans="1:6">
      <c r="A34" s="168" t="s">
        <v>74</v>
      </c>
      <c r="B34" s="33">
        <f>IF((B24*($B$26-($B$27-0.05*$B$27)-$B$60))&lt;0,0,B24*($B$26-($B$27-0.05*$B$27)-$B$60))</f>
        <v>84.842421474769012</v>
      </c>
      <c r="C34" s="33">
        <f>B26*C24</f>
        <v>2106.3537305602167</v>
      </c>
      <c r="D34" s="230"/>
    </row>
    <row r="35" spans="1:6">
      <c r="A35" s="168" t="s">
        <v>76</v>
      </c>
      <c r="B35" s="33">
        <f>IF((B19*($B$26-($B$27-0.05*$B$27)-$B$60))&lt;0,0,B19*($B$26-($B$27-0.05*$B$27)-$B$60))</f>
        <v>41.450347843168515</v>
      </c>
      <c r="C35" s="33">
        <f>B35/2</f>
        <v>20.725173921584258</v>
      </c>
      <c r="D35" s="230"/>
    </row>
    <row r="36" spans="1:6">
      <c r="A36" s="168" t="s">
        <v>77</v>
      </c>
      <c r="B36" s="33">
        <f>IF((B18*($B$26-($B$27-0.05*$B$27)-$B$60))&lt;0,0,B18*($B$26-($B$27-0.05*$B$27)-$B$60))</f>
        <v>1380.6559068896579</v>
      </c>
      <c r="C36" s="34" t="s">
        <v>104</v>
      </c>
      <c r="D36" s="171"/>
    </row>
    <row r="37" spans="1:6">
      <c r="A37" s="168" t="s">
        <v>78</v>
      </c>
      <c r="B37" s="33">
        <f>B60</f>
        <v>71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71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56718.334500000004</v>
      </c>
      <c r="C5" s="17">
        <f>IF(ISERROR('Eigen informatie GS &amp; warmtenet'!B58),0,'Eigen informatie GS &amp; warmtenet'!B58)</f>
        <v>0</v>
      </c>
      <c r="D5" s="30">
        <f>SUM(D6:D12)</f>
        <v>39651.216708360953</v>
      </c>
      <c r="E5" s="17">
        <f>SUM(E6:E12)</f>
        <v>444.76670161331492</v>
      </c>
      <c r="F5" s="17">
        <f>SUM(F6:F12)</f>
        <v>7683.6298204552395</v>
      </c>
      <c r="G5" s="18"/>
      <c r="H5" s="17"/>
      <c r="I5" s="17"/>
      <c r="J5" s="17">
        <f>SUM(J6:J12)</f>
        <v>0</v>
      </c>
      <c r="K5" s="17"/>
      <c r="L5" s="17"/>
      <c r="M5" s="17"/>
      <c r="N5" s="17">
        <f>SUM(N6:N12)</f>
        <v>3568.8773645170168</v>
      </c>
      <c r="O5" s="17">
        <f>B38*B39*B40</f>
        <v>1.5633333333333335</v>
      </c>
      <c r="P5" s="17">
        <f>B46*B47*B48/1000-B46*B47*B48/1000/B49</f>
        <v>19.066666666666666</v>
      </c>
      <c r="R5" s="32"/>
    </row>
    <row r="6" spans="1:18">
      <c r="A6" s="32" t="s">
        <v>53</v>
      </c>
      <c r="B6" s="37">
        <f>B26</f>
        <v>21276.631000000001</v>
      </c>
      <c r="C6" s="33"/>
      <c r="D6" s="37">
        <f>IF(ISERROR(TER_kantoor_gas_kWh/1000),0,TER_kantoor_gas_kWh/1000)*0.902</f>
        <v>16005.895673644683</v>
      </c>
      <c r="E6" s="33">
        <f>$C$26*'E Balans VL '!I12/100/3.6*1000000</f>
        <v>61.64152173140512</v>
      </c>
      <c r="F6" s="33">
        <f>$C$26*('E Balans VL '!L12+'E Balans VL '!N12)/100/3.6*1000000</f>
        <v>2408.0458686749676</v>
      </c>
      <c r="G6" s="34"/>
      <c r="H6" s="33"/>
      <c r="I6" s="33"/>
      <c r="J6" s="33">
        <f>$C$26*('E Balans VL '!D12+'E Balans VL '!E12)/100/3.6*1000000</f>
        <v>0</v>
      </c>
      <c r="K6" s="33"/>
      <c r="L6" s="33"/>
      <c r="M6" s="33"/>
      <c r="N6" s="33">
        <f>$C$26*'E Balans VL '!Y12/100/3.6*1000000</f>
        <v>212.96339898830615</v>
      </c>
      <c r="O6" s="33"/>
      <c r="P6" s="33"/>
      <c r="R6" s="32"/>
    </row>
    <row r="7" spans="1:18">
      <c r="A7" s="32" t="s">
        <v>52</v>
      </c>
      <c r="B7" s="37">
        <f t="shared" ref="B7:B12" si="0">B27</f>
        <v>2194.9409999999998</v>
      </c>
      <c r="C7" s="33"/>
      <c r="D7" s="37">
        <f>IF(ISERROR(TER_horeca_gas_kWh/1000),0,TER_horeca_gas_kWh/1000)*0.902</f>
        <v>2019.9754475771858</v>
      </c>
      <c r="E7" s="33">
        <f>$C$27*'E Balans VL '!I9/100/3.6*1000000</f>
        <v>92.137490636048568</v>
      </c>
      <c r="F7" s="33">
        <f>$C$27*('E Balans VL '!L9+'E Balans VL '!N9)/100/3.6*1000000</f>
        <v>471.62808535452109</v>
      </c>
      <c r="G7" s="34"/>
      <c r="H7" s="33"/>
      <c r="I7" s="33"/>
      <c r="J7" s="33">
        <f>$C$27*('E Balans VL '!D9+'E Balans VL '!E9)/100/3.6*1000000</f>
        <v>0</v>
      </c>
      <c r="K7" s="33"/>
      <c r="L7" s="33"/>
      <c r="M7" s="33"/>
      <c r="N7" s="33">
        <f>$C$27*'E Balans VL '!Y9/100/3.6*1000000</f>
        <v>0.56561710024459544</v>
      </c>
      <c r="O7" s="33"/>
      <c r="P7" s="33"/>
      <c r="R7" s="32"/>
    </row>
    <row r="8" spans="1:18">
      <c r="A8" s="6" t="s">
        <v>51</v>
      </c>
      <c r="B8" s="37">
        <f t="shared" si="0"/>
        <v>21383.194</v>
      </c>
      <c r="C8" s="33"/>
      <c r="D8" s="37">
        <f>IF(ISERROR(TER_handel_gas_kWh/1000),0,TER_handel_gas_kWh/1000)*0.902</f>
        <v>9396.7317404387977</v>
      </c>
      <c r="E8" s="33">
        <f>$C$28*'E Balans VL '!I13/100/3.6*1000000</f>
        <v>229.67330028646595</v>
      </c>
      <c r="F8" s="33">
        <f>$C$28*('E Balans VL '!L13+'E Balans VL '!N13)/100/3.6*1000000</f>
        <v>2768.2310420759168</v>
      </c>
      <c r="G8" s="34"/>
      <c r="H8" s="33"/>
      <c r="I8" s="33"/>
      <c r="J8" s="33">
        <f>$C$28*('E Balans VL '!D13+'E Balans VL '!E13)/100/3.6*1000000</f>
        <v>0</v>
      </c>
      <c r="K8" s="33"/>
      <c r="L8" s="33"/>
      <c r="M8" s="33"/>
      <c r="N8" s="33">
        <f>$C$28*'E Balans VL '!Y13/100/3.6*1000000</f>
        <v>173.46163730115794</v>
      </c>
      <c r="O8" s="33"/>
      <c r="P8" s="33"/>
      <c r="R8" s="32"/>
    </row>
    <row r="9" spans="1:18">
      <c r="A9" s="32" t="s">
        <v>50</v>
      </c>
      <c r="B9" s="37">
        <f t="shared" si="0"/>
        <v>2440.7350000000001</v>
      </c>
      <c r="C9" s="33"/>
      <c r="D9" s="37">
        <f>IF(ISERROR(TER_gezond_gas_kWh/1000),0,TER_gezond_gas_kWh/1000)*0.902</f>
        <v>3326.9819829990543</v>
      </c>
      <c r="E9" s="33">
        <f>$C$29*'E Balans VL '!I10/100/3.6*1000000</f>
        <v>1.9429829225105384</v>
      </c>
      <c r="F9" s="33">
        <f>$C$29*('E Balans VL '!L10+'E Balans VL '!N10)/100/3.6*1000000</f>
        <v>296.70661104769505</v>
      </c>
      <c r="G9" s="34"/>
      <c r="H9" s="33"/>
      <c r="I9" s="33"/>
      <c r="J9" s="33">
        <f>$C$29*('E Balans VL '!D10+'E Balans VL '!E10)/100/3.6*1000000</f>
        <v>0</v>
      </c>
      <c r="K9" s="33"/>
      <c r="L9" s="33"/>
      <c r="M9" s="33"/>
      <c r="N9" s="33">
        <f>$C$29*'E Balans VL '!Y10/100/3.6*1000000</f>
        <v>19.715610699747753</v>
      </c>
      <c r="O9" s="33"/>
      <c r="P9" s="33"/>
      <c r="R9" s="32"/>
    </row>
    <row r="10" spans="1:18">
      <c r="A10" s="32" t="s">
        <v>49</v>
      </c>
      <c r="B10" s="37">
        <f t="shared" si="0"/>
        <v>3875.7429999999999</v>
      </c>
      <c r="C10" s="33"/>
      <c r="D10" s="37">
        <f>IF(ISERROR(TER_ander_gas_kWh/1000),0,TER_ander_gas_kWh/1000)*0.902</f>
        <v>1070.5240366529836</v>
      </c>
      <c r="E10" s="33">
        <f>$C$30*'E Balans VL '!I14/100/3.6*1000000</f>
        <v>13.282374866437864</v>
      </c>
      <c r="F10" s="33">
        <f>$C$30*('E Balans VL '!L14+'E Balans VL '!N14)/100/3.6*1000000</f>
        <v>865.68349455644477</v>
      </c>
      <c r="G10" s="34"/>
      <c r="H10" s="33"/>
      <c r="I10" s="33"/>
      <c r="J10" s="33">
        <f>$C$30*('E Balans VL '!D14+'E Balans VL '!E14)/100/3.6*1000000</f>
        <v>0</v>
      </c>
      <c r="K10" s="33"/>
      <c r="L10" s="33"/>
      <c r="M10" s="33"/>
      <c r="N10" s="33">
        <f>$C$30*'E Balans VL '!Y14/100/3.6*1000000</f>
        <v>2730.0945419701393</v>
      </c>
      <c r="O10" s="33"/>
      <c r="P10" s="33"/>
      <c r="R10" s="32"/>
    </row>
    <row r="11" spans="1:18">
      <c r="A11" s="32" t="s">
        <v>54</v>
      </c>
      <c r="B11" s="37">
        <f t="shared" si="0"/>
        <v>486.59949999999998</v>
      </c>
      <c r="C11" s="33"/>
      <c r="D11" s="37">
        <f>IF(ISERROR(TER_onderwijs_gas_kWh/1000),0,TER_onderwijs_gas_kWh/1000)*0.902</f>
        <v>637.63197345905689</v>
      </c>
      <c r="E11" s="33">
        <f>$C$31*'E Balans VL '!I11/100/3.6*1000000</f>
        <v>0.33637124826482356</v>
      </c>
      <c r="F11" s="33">
        <f>$C$31*('E Balans VL '!L11+'E Balans VL '!N11)/100/3.6*1000000</f>
        <v>127.37761434359126</v>
      </c>
      <c r="G11" s="34"/>
      <c r="H11" s="33"/>
      <c r="I11" s="33"/>
      <c r="J11" s="33">
        <f>$C$31*('E Balans VL '!D11+'E Balans VL '!E11)/100/3.6*1000000</f>
        <v>0</v>
      </c>
      <c r="K11" s="33"/>
      <c r="L11" s="33"/>
      <c r="M11" s="33"/>
      <c r="N11" s="33">
        <f>$C$31*'E Balans VL '!Y11/100/3.6*1000000</f>
        <v>0.48436835693766678</v>
      </c>
      <c r="O11" s="33"/>
      <c r="P11" s="33"/>
      <c r="R11" s="32"/>
    </row>
    <row r="12" spans="1:18">
      <c r="A12" s="32" t="s">
        <v>249</v>
      </c>
      <c r="B12" s="37">
        <f t="shared" si="0"/>
        <v>5060.491</v>
      </c>
      <c r="C12" s="33"/>
      <c r="D12" s="37">
        <f>IF(ISERROR(TER_rest_gas_kWh/1000),0,TER_rest_gas_kWh/1000)*0.902</f>
        <v>7193.4758535891879</v>
      </c>
      <c r="E12" s="33">
        <f>$C$32*'E Balans VL '!I8/100/3.6*1000000</f>
        <v>45.752659922182005</v>
      </c>
      <c r="F12" s="33">
        <f>$C$32*('E Balans VL '!L8+'E Balans VL '!N8)/100/3.6*1000000</f>
        <v>745.95710440210235</v>
      </c>
      <c r="G12" s="34"/>
      <c r="H12" s="33"/>
      <c r="I12" s="33"/>
      <c r="J12" s="33">
        <f>$C$32*('E Balans VL '!D8+'E Balans VL '!E8)/100/3.6*1000000</f>
        <v>0</v>
      </c>
      <c r="K12" s="33"/>
      <c r="L12" s="33"/>
      <c r="M12" s="33"/>
      <c r="N12" s="33">
        <f>$C$32*'E Balans VL '!Y8/100/3.6*1000000</f>
        <v>431.59219010048338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56718.334500000004</v>
      </c>
      <c r="C16" s="21">
        <f t="shared" ca="1" si="1"/>
        <v>0</v>
      </c>
      <c r="D16" s="21">
        <f t="shared" ca="1" si="1"/>
        <v>39651.216708360953</v>
      </c>
      <c r="E16" s="21">
        <f t="shared" si="1"/>
        <v>444.76670161331492</v>
      </c>
      <c r="F16" s="21">
        <f t="shared" ca="1" si="1"/>
        <v>7683.6298204552395</v>
      </c>
      <c r="G16" s="21">
        <f t="shared" si="1"/>
        <v>0</v>
      </c>
      <c r="H16" s="21">
        <f t="shared" si="1"/>
        <v>0</v>
      </c>
      <c r="I16" s="21">
        <f t="shared" si="1"/>
        <v>0</v>
      </c>
      <c r="J16" s="21">
        <f t="shared" si="1"/>
        <v>0</v>
      </c>
      <c r="K16" s="21">
        <f t="shared" si="1"/>
        <v>0</v>
      </c>
      <c r="L16" s="21">
        <f t="shared" ca="1" si="1"/>
        <v>0</v>
      </c>
      <c r="M16" s="21">
        <f t="shared" si="1"/>
        <v>0</v>
      </c>
      <c r="N16" s="21">
        <f t="shared" ca="1" si="1"/>
        <v>3568.8773645170168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0.19137068897809556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10854.226750955087</v>
      </c>
      <c r="C20" s="23">
        <f t="shared" ref="C20:P20" ca="1" si="2">C16*C18</f>
        <v>0</v>
      </c>
      <c r="D20" s="23">
        <f t="shared" ca="1" si="2"/>
        <v>8009.5457750889127</v>
      </c>
      <c r="E20" s="23">
        <f t="shared" si="2"/>
        <v>100.96204126622249</v>
      </c>
      <c r="F20" s="23">
        <f t="shared" ca="1" si="2"/>
        <v>2051.529162061549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21276.631000000001</v>
      </c>
      <c r="C26" s="39">
        <f>IF(ISERROR(B26*3.6/1000000/'E Balans VL '!Z12*100),0,B26*3.6/1000000/'E Balans VL '!Z12*100)</f>
        <v>0.46736579816363688</v>
      </c>
      <c r="D26" s="233" t="s">
        <v>676</v>
      </c>
      <c r="F26" s="6"/>
    </row>
    <row r="27" spans="1:18">
      <c r="A27" s="228" t="s">
        <v>52</v>
      </c>
      <c r="B27" s="33">
        <f>IF(ISERROR(TER_horeca_ele_kWh/1000),0,TER_horeca_ele_kWh/1000)</f>
        <v>2194.9409999999998</v>
      </c>
      <c r="C27" s="39">
        <f>IF(ISERROR(B27*3.6/1000000/'E Balans VL '!Z9*100),0,B27*3.6/1000000/'E Balans VL '!Z9*100)</f>
        <v>0.17638538878030768</v>
      </c>
      <c r="D27" s="233" t="s">
        <v>676</v>
      </c>
      <c r="F27" s="6"/>
    </row>
    <row r="28" spans="1:18">
      <c r="A28" s="168" t="s">
        <v>51</v>
      </c>
      <c r="B28" s="33">
        <f>IF(ISERROR(TER_handel_ele_kWh/1000),0,TER_handel_ele_kWh/1000)</f>
        <v>21383.194</v>
      </c>
      <c r="C28" s="39">
        <f>IF(ISERROR(B28*3.6/1000000/'E Balans VL '!Z13*100),0,B28*3.6/1000000/'E Balans VL '!Z13*100)</f>
        <v>0.6322861079670119</v>
      </c>
      <c r="D28" s="233" t="s">
        <v>676</v>
      </c>
      <c r="F28" s="6"/>
    </row>
    <row r="29" spans="1:18">
      <c r="A29" s="228" t="s">
        <v>50</v>
      </c>
      <c r="B29" s="33">
        <f>IF(ISERROR(TER_gezond_ele_kWh/1000),0,TER_gezond_ele_kWh/1000)</f>
        <v>2440.7350000000001</v>
      </c>
      <c r="C29" s="39">
        <f>IF(ISERROR(B29*3.6/1000000/'E Balans VL '!Z10*100),0,B29*3.6/1000000/'E Balans VL '!Z10*100)</f>
        <v>0.27500782027701781</v>
      </c>
      <c r="D29" s="233" t="s">
        <v>676</v>
      </c>
      <c r="F29" s="6"/>
    </row>
    <row r="30" spans="1:18">
      <c r="A30" s="228" t="s">
        <v>49</v>
      </c>
      <c r="B30" s="33">
        <f>IF(ISERROR(TER_ander_ele_kWh/1000),0,TER_ander_ele_kWh/1000)</f>
        <v>3875.7429999999999</v>
      </c>
      <c r="C30" s="39">
        <f>IF(ISERROR(B30*3.6/1000000/'E Balans VL '!Z14*100),0,B30*3.6/1000000/'E Balans VL '!Z14*100)</f>
        <v>0.293115817806606</v>
      </c>
      <c r="D30" s="233" t="s">
        <v>676</v>
      </c>
      <c r="F30" s="6"/>
    </row>
    <row r="31" spans="1:18">
      <c r="A31" s="228" t="s">
        <v>54</v>
      </c>
      <c r="B31" s="33">
        <f>IF(ISERROR(TER_onderwijs_ele_kWh/1000),0,TER_onderwijs_ele_kWh/1000)</f>
        <v>486.59949999999998</v>
      </c>
      <c r="C31" s="39">
        <f>IF(ISERROR(B31*3.6/1000000/'E Balans VL '!Z11*100),0,B31*3.6/1000000/'E Balans VL '!Z11*100)</f>
        <v>0.10100676027754625</v>
      </c>
      <c r="D31" s="233" t="s">
        <v>676</v>
      </c>
    </row>
    <row r="32" spans="1:18">
      <c r="A32" s="228" t="s">
        <v>249</v>
      </c>
      <c r="B32" s="33">
        <f>IF(ISERROR(TER_rest_ele_kWh/1000),0,TER_rest_ele_kWh/1000)</f>
        <v>5060.491</v>
      </c>
      <c r="C32" s="39">
        <f>IF(ISERROR(B32*3.6/1000000/'E Balans VL '!Z8*100),0,B32*3.6/1000000/'E Balans VL '!Z8*100)</f>
        <v>4.2631659688959267E-2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72868.474499999997</v>
      </c>
      <c r="C5" s="17">
        <f>IF(ISERROR('Eigen informatie GS &amp; warmtenet'!B59),0,'Eigen informatie GS &amp; warmtenet'!B59)</f>
        <v>0</v>
      </c>
      <c r="D5" s="30">
        <f>SUM(D6:D15)</f>
        <v>187802.85843303319</v>
      </c>
      <c r="E5" s="17">
        <f>SUM(E6:E15)</f>
        <v>4250.0179241035812</v>
      </c>
      <c r="F5" s="17">
        <f>SUM(F6:F15)</f>
        <v>19448.307834352196</v>
      </c>
      <c r="G5" s="18"/>
      <c r="H5" s="17"/>
      <c r="I5" s="17"/>
      <c r="J5" s="17">
        <f>SUM(J6:J15)</f>
        <v>295.02235919533871</v>
      </c>
      <c r="K5" s="17"/>
      <c r="L5" s="17"/>
      <c r="M5" s="17"/>
      <c r="N5" s="17">
        <f>SUM(N6:N15)</f>
        <v>4258.7881854157586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2615.8359999999998</v>
      </c>
      <c r="C8" s="33"/>
      <c r="D8" s="37">
        <f>IF( ISERROR(IND_metaal_Gas_kWH/1000),0,IND_metaal_Gas_kWH/1000)*0.902</f>
        <v>7237.7848085280448</v>
      </c>
      <c r="E8" s="33">
        <f>C30*'E Balans VL '!I18/100/3.6*1000000</f>
        <v>65.465219850137998</v>
      </c>
      <c r="F8" s="33">
        <f>C30*'E Balans VL '!L18/100/3.6*1000000+C30*'E Balans VL '!N18/100/3.6*1000000</f>
        <v>819.81601423743621</v>
      </c>
      <c r="G8" s="34"/>
      <c r="H8" s="33"/>
      <c r="I8" s="33"/>
      <c r="J8" s="40">
        <f>C30*'E Balans VL '!D18/100/3.6*1000000+C30*'E Balans VL '!E18/100/3.6*1000000</f>
        <v>0</v>
      </c>
      <c r="K8" s="33"/>
      <c r="L8" s="33"/>
      <c r="M8" s="33"/>
      <c r="N8" s="33">
        <f>C30*'E Balans VL '!Y18/100/3.6*1000000</f>
        <v>65.71658900639801</v>
      </c>
      <c r="O8" s="33"/>
      <c r="P8" s="33"/>
      <c r="R8" s="32"/>
    </row>
    <row r="9" spans="1:18">
      <c r="A9" s="6" t="s">
        <v>32</v>
      </c>
      <c r="B9" s="37">
        <f t="shared" si="0"/>
        <v>2836.8919999999998</v>
      </c>
      <c r="C9" s="33"/>
      <c r="D9" s="37">
        <f>IF( ISERROR(IND_andere_gas_kWh/1000),0,IND_andere_gas_kWh/1000)*0.902</f>
        <v>1546.5837939416433</v>
      </c>
      <c r="E9" s="33">
        <f>C31*'E Balans VL '!I19/100/3.6*1000000</f>
        <v>780.02894471690513</v>
      </c>
      <c r="F9" s="33">
        <f>C31*'E Balans VL '!L19/100/3.6*1000000+C31*'E Balans VL '!N19/100/3.6*1000000</f>
        <v>2235.9645506513966</v>
      </c>
      <c r="G9" s="34"/>
      <c r="H9" s="33"/>
      <c r="I9" s="33"/>
      <c r="J9" s="40">
        <f>C31*'E Balans VL '!D19/100/3.6*1000000+C31*'E Balans VL '!E19/100/3.6*1000000</f>
        <v>0</v>
      </c>
      <c r="K9" s="33"/>
      <c r="L9" s="33"/>
      <c r="M9" s="33"/>
      <c r="N9" s="33">
        <f>C31*'E Balans VL '!Y19/100/3.6*1000000</f>
        <v>228.54180720302034</v>
      </c>
      <c r="O9" s="33"/>
      <c r="P9" s="33"/>
      <c r="R9" s="32"/>
    </row>
    <row r="10" spans="1:18">
      <c r="A10" s="6" t="s">
        <v>40</v>
      </c>
      <c r="B10" s="37">
        <f t="shared" si="0"/>
        <v>617.64449999999999</v>
      </c>
      <c r="C10" s="33"/>
      <c r="D10" s="37">
        <f>IF( ISERROR(IND_voed_gas_kWh/1000),0,IND_voed_gas_kWh/1000)*0.902</f>
        <v>593.45364935552766</v>
      </c>
      <c r="E10" s="33">
        <f>C32*'E Balans VL '!I20/100/3.6*1000000</f>
        <v>6.2965454152034042</v>
      </c>
      <c r="F10" s="33">
        <f>C32*'E Balans VL '!L20/100/3.6*1000000+C32*'E Balans VL '!N20/100/3.6*1000000</f>
        <v>1166.7265975065507</v>
      </c>
      <c r="G10" s="34"/>
      <c r="H10" s="33"/>
      <c r="I10" s="33"/>
      <c r="J10" s="40">
        <f>C32*'E Balans VL '!D20/100/3.6*1000000+C32*'E Balans VL '!E20/100/3.6*1000000</f>
        <v>14.782253826953609</v>
      </c>
      <c r="K10" s="33"/>
      <c r="L10" s="33"/>
      <c r="M10" s="33"/>
      <c r="N10" s="33">
        <f>C32*'E Balans VL '!Y20/100/3.6*1000000</f>
        <v>325.56979542247853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66798.101999999999</v>
      </c>
      <c r="C15" s="33"/>
      <c r="D15" s="37">
        <f>IF( ISERROR(IND_rest_gas_kWh/1000),0,IND_rest_gas_kWh/1000)*0.902</f>
        <v>178425.03618120798</v>
      </c>
      <c r="E15" s="33">
        <f>C37*'E Balans VL '!I15/100/3.6*1000000</f>
        <v>3398.2272141213348</v>
      </c>
      <c r="F15" s="33">
        <f>C37*'E Balans VL '!L15/100/3.6*1000000+C37*'E Balans VL '!N15/100/3.6*1000000</f>
        <v>15225.800671956813</v>
      </c>
      <c r="G15" s="34"/>
      <c r="H15" s="33"/>
      <c r="I15" s="33"/>
      <c r="J15" s="40">
        <f>C37*'E Balans VL '!D15/100/3.6*1000000+C37*'E Balans VL '!E15/100/3.6*1000000</f>
        <v>280.24010536838512</v>
      </c>
      <c r="K15" s="33"/>
      <c r="L15" s="33"/>
      <c r="M15" s="33"/>
      <c r="N15" s="33">
        <f>C37*'E Balans VL '!Y15/100/3.6*1000000</f>
        <v>3638.9599937838611</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72868.474499999997</v>
      </c>
      <c r="C18" s="21">
        <f>C5+C16</f>
        <v>0</v>
      </c>
      <c r="D18" s="21">
        <f>MAX((D5+D16),0)</f>
        <v>187802.85843303319</v>
      </c>
      <c r="E18" s="21">
        <f>MAX((E5+E16),0)</f>
        <v>4250.0179241035812</v>
      </c>
      <c r="F18" s="21">
        <f>MAX((F5+F16),0)</f>
        <v>19448.307834352196</v>
      </c>
      <c r="G18" s="21"/>
      <c r="H18" s="21"/>
      <c r="I18" s="21"/>
      <c r="J18" s="21">
        <f>MAX((J5+J16),0)</f>
        <v>295.02235919533871</v>
      </c>
      <c r="K18" s="21"/>
      <c r="L18" s="21">
        <f>MAX((L5+L16),0)</f>
        <v>0</v>
      </c>
      <c r="M18" s="21"/>
      <c r="N18" s="21">
        <f>MAX((N5+N16),0)</f>
        <v>4258.7881854157586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0.19137068897809556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13944.890169847788</v>
      </c>
      <c r="C22" s="23">
        <f ca="1">C18*C20</f>
        <v>0</v>
      </c>
      <c r="D22" s="23">
        <f>D18*D20</f>
        <v>37936.177403472706</v>
      </c>
      <c r="E22" s="23">
        <f>E18*E20</f>
        <v>964.75406877151295</v>
      </c>
      <c r="F22" s="23">
        <f>F18*F20</f>
        <v>5192.6981917720368</v>
      </c>
      <c r="G22" s="23"/>
      <c r="H22" s="23"/>
      <c r="I22" s="23"/>
      <c r="J22" s="23">
        <f>J18*J20</f>
        <v>104.43791515514989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2615.8359999999998</v>
      </c>
      <c r="C30" s="39">
        <f>IF(ISERROR(B30*3.6/1000000/'E Balans VL '!Z18*100),0,B30*3.6/1000000/'E Balans VL '!Z18*100)</f>
        <v>0.36612986630226552</v>
      </c>
      <c r="D30" s="233" t="s">
        <v>676</v>
      </c>
    </row>
    <row r="31" spans="1:18">
      <c r="A31" s="6" t="s">
        <v>32</v>
      </c>
      <c r="B31" s="37">
        <f>IF( ISERROR(IND_ander_ele_kWh/1000),0,IND_ander_ele_kWh/1000)</f>
        <v>2836.8919999999998</v>
      </c>
      <c r="C31" s="39">
        <f>IF(ISERROR(B31*3.6/1000000/'E Balans VL '!Z19*100),0,B31*3.6/1000000/'E Balans VL '!Z19*100)</f>
        <v>0.12417030263073366</v>
      </c>
      <c r="D31" s="233" t="s">
        <v>676</v>
      </c>
    </row>
    <row r="32" spans="1:18">
      <c r="A32" s="168" t="s">
        <v>40</v>
      </c>
      <c r="B32" s="37">
        <f>IF( ISERROR(IND_voed_ele_kWh/1000),0,IND_voed_ele_kWh/1000)</f>
        <v>617.64449999999999</v>
      </c>
      <c r="C32" s="39">
        <f>IF(ISERROR(B32*3.6/1000000/'E Balans VL '!Z20*100),0,B32*3.6/1000000/'E Balans VL '!Z20*100)</f>
        <v>0.15290826723786805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66798.101999999999</v>
      </c>
      <c r="C37" s="39">
        <f>IF(ISERROR(B37*3.6/1000000/'E Balans VL '!Z15*100),0,B37*3.6/1000000/'E Balans VL '!Z15*100)</f>
        <v>0.49529649001099324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300.16378000000003</v>
      </c>
      <c r="C5" s="17">
        <f>'Eigen informatie GS &amp; warmtenet'!B60</f>
        <v>0</v>
      </c>
      <c r="D5" s="30">
        <f>IF(ISERROR(SUM(LB_lb_gas_kWh,LB_rest_gas_kWh)/1000),0,SUM(LB_lb_gas_kWh,LB_rest_gas_kWh)/1000)*0.902</f>
        <v>135.79959771097359</v>
      </c>
      <c r="E5" s="17">
        <f>B17*'E Balans VL '!I25/3.6*1000000/100</f>
        <v>2.780242650507502</v>
      </c>
      <c r="F5" s="17">
        <f>B17*('E Balans VL '!L25/3.6*1000000+'E Balans VL '!N25/3.6*1000000)/100</f>
        <v>761.57269100140968</v>
      </c>
      <c r="G5" s="18"/>
      <c r="H5" s="17"/>
      <c r="I5" s="17"/>
      <c r="J5" s="17">
        <f>('E Balans VL '!D25+'E Balans VL '!E25)/3.6*1000000*landbouw!B17/100</f>
        <v>46.018457311561633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300.16378000000003</v>
      </c>
      <c r="C8" s="21">
        <f>C5+C6</f>
        <v>0</v>
      </c>
      <c r="D8" s="21">
        <f>MAX((D5+D6),0)</f>
        <v>135.79959771097359</v>
      </c>
      <c r="E8" s="21">
        <f>MAX((E5+E6),0)</f>
        <v>2.780242650507502</v>
      </c>
      <c r="F8" s="21">
        <f>MAX((F5+F6),0)</f>
        <v>761.57269100140968</v>
      </c>
      <c r="G8" s="21"/>
      <c r="H8" s="21"/>
      <c r="I8" s="21"/>
      <c r="J8" s="21">
        <f>MAX((J5+J6),0)</f>
        <v>46.018457311561633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0.19137068897809556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57.442549384869508</v>
      </c>
      <c r="C12" s="23">
        <f ca="1">C8*C10</f>
        <v>0</v>
      </c>
      <c r="D12" s="23">
        <f>D8*D10</f>
        <v>27.431518737616667</v>
      </c>
      <c r="E12" s="23">
        <f>E8*E10</f>
        <v>0.63111508166520291</v>
      </c>
      <c r="F12" s="23">
        <f>F8*F10</f>
        <v>203.3399084973764</v>
      </c>
      <c r="G12" s="23"/>
      <c r="H12" s="23"/>
      <c r="I12" s="23"/>
      <c r="J12" s="23">
        <f>J8*J10</f>
        <v>16.290533888292817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4.2676924943753615E-2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66.358842490656556</v>
      </c>
      <c r="C26" s="243">
        <f>B26*'GWP N2O_CH4'!B5</f>
        <v>1393.5356923037878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9.0186716909076345</v>
      </c>
      <c r="C27" s="243">
        <f>B27*'GWP N2O_CH4'!B5</f>
        <v>189.39210550906031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1.0191428491094159</v>
      </c>
      <c r="C28" s="243">
        <f>B28*'GWP N2O_CH4'!B4</f>
        <v>315.9342832239189</v>
      </c>
      <c r="D28" s="50"/>
    </row>
    <row r="29" spans="1:4">
      <c r="A29" s="41" t="s">
        <v>266</v>
      </c>
      <c r="B29" s="243">
        <f>B34*'ha_N2O bodem landbouw'!B4</f>
        <v>4.4220178145897044</v>
      </c>
      <c r="C29" s="243">
        <f>B29*'GWP N2O_CH4'!B4</f>
        <v>1370.8255225228083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9.9178069175218553E-4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1.3208123259510809E-4</v>
      </c>
      <c r="C5" s="430" t="s">
        <v>204</v>
      </c>
      <c r="D5" s="415">
        <f>SUM(D6:D11)</f>
        <v>1.9851834951063415E-4</v>
      </c>
      <c r="E5" s="415">
        <f>SUM(E6:E11)</f>
        <v>2.0199953122484638E-3</v>
      </c>
      <c r="F5" s="428" t="s">
        <v>204</v>
      </c>
      <c r="G5" s="415">
        <f>SUM(G6:G11)</f>
        <v>0.85752684181153482</v>
      </c>
      <c r="H5" s="415">
        <f>SUM(H6:H11)</f>
        <v>0.11545342975553766</v>
      </c>
      <c r="I5" s="430" t="s">
        <v>204</v>
      </c>
      <c r="J5" s="430" t="s">
        <v>204</v>
      </c>
      <c r="K5" s="430" t="s">
        <v>204</v>
      </c>
      <c r="L5" s="430" t="s">
        <v>204</v>
      </c>
      <c r="M5" s="415">
        <f>SUM(M6:M11)</f>
        <v>5.3238623096745021E-2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6.7143825876744275E-5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1.0140987702957869E-4</v>
      </c>
      <c r="E6" s="858">
        <f>vkm_GW_PW*SUMIFS(TableVerdeelsleutelVkm[LPG],TableVerdeelsleutelVkm[Voertuigtype],"Lichte voertuigen")*SUMIFS(TableECFTransport[EnergieConsumptieFactor (PJ per km)],TableECFTransport[Index],CONCATENATE($A6,"_LPG_LPG"))</f>
        <v>9.9883755183688937E-4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0.2285130492506337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5.8970705998234903E-2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1.5047311493818809E-2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6.932496503968964E-6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0.26607210367598461</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5.0310053701826936E-6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1.5426255112152317E-2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2.4461120973741226E-5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5.5730343428308181E-5</v>
      </c>
      <c r="E8" s="418">
        <f>vkm_NGW_PW*SUMIFS(TableVerdeelsleutelVkm[LPG],TableVerdeelsleutelVkm[Voertuigtype],"Lichte voertuigen")*SUMIFS(TableECFTransport[EnergieConsumptieFactor (PJ per km)],TableECFTransport[Index],CONCATENATE($A8,"_LPG_LPG"))</f>
        <v>5.235104229802573E-4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0.11115975185816201</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3.1306210298823252E-2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7.3996550963719102E-3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1.4577225238677485E-6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7.1882785086070128E-2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1.2768986628919291E-6</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4.1675977966566932E-3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3.0029749454329142E-5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4.1378129052747292E-5</v>
      </c>
      <c r="E10" s="418">
        <f>vkm_SW_PW*SUMIFS(TableVerdeelsleutelVkm[LPG],TableVerdeelsleutelVkm[Voertuigtype],"Lichte voertuigen")*SUMIFS(TableECFTransport[EnergieConsumptieFactor (PJ per km)],TableECFTransport[Index],CONCATENATE($A10,"_LPG_LPG"))</f>
        <v>4.9764733743131709E-4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0.10466840984767818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2.516866957401636E-2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6.836092900484151E-3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2.0563172624567488E-6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7.5230742093006148E-2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1.5359804300708871E-6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4.3617106972611338E-3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36.689231276418916</v>
      </c>
      <c r="C14" s="21"/>
      <c r="D14" s="21">
        <f t="shared" ref="D14:M14" si="0">((D5)*10^9/3600)+D12</f>
        <v>55.14398597517615</v>
      </c>
      <c r="E14" s="21">
        <f t="shared" si="0"/>
        <v>561.10980895790658</v>
      </c>
      <c r="F14" s="21"/>
      <c r="G14" s="21">
        <f t="shared" si="0"/>
        <v>238201.90050320415</v>
      </c>
      <c r="H14" s="21">
        <f t="shared" si="0"/>
        <v>32070.397154316015</v>
      </c>
      <c r="I14" s="21"/>
      <c r="J14" s="21"/>
      <c r="K14" s="21"/>
      <c r="L14" s="21"/>
      <c r="M14" s="21">
        <f t="shared" si="0"/>
        <v>14788.506415762506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0.19137068897809556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7.0212434674449806</v>
      </c>
      <c r="C18" s="23"/>
      <c r="D18" s="23">
        <f t="shared" ref="D18:M18" si="1">D14*D16</f>
        <v>11.139085166985582</v>
      </c>
      <c r="E18" s="23">
        <f t="shared" si="1"/>
        <v>127.3719266334448</v>
      </c>
      <c r="F18" s="23"/>
      <c r="G18" s="23">
        <f t="shared" si="1"/>
        <v>63599.907434355511</v>
      </c>
      <c r="H18" s="23">
        <f t="shared" si="1"/>
        <v>7985.5288914246876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3.922703767048109E-5</v>
      </c>
      <c r="C50" s="313">
        <f t="shared" ref="C50:P50" si="2">SUM(C51:C52)</f>
        <v>0</v>
      </c>
      <c r="D50" s="313">
        <f t="shared" si="2"/>
        <v>0</v>
      </c>
      <c r="E50" s="313">
        <f t="shared" si="2"/>
        <v>0</v>
      </c>
      <c r="F50" s="313">
        <f t="shared" si="2"/>
        <v>0</v>
      </c>
      <c r="G50" s="313">
        <f t="shared" si="2"/>
        <v>7.4330060398121898E-3</v>
      </c>
      <c r="H50" s="313">
        <f t="shared" si="2"/>
        <v>0</v>
      </c>
      <c r="I50" s="313">
        <f t="shared" si="2"/>
        <v>0</v>
      </c>
      <c r="J50" s="313">
        <f t="shared" si="2"/>
        <v>0</v>
      </c>
      <c r="K50" s="313">
        <f t="shared" si="2"/>
        <v>0</v>
      </c>
      <c r="L50" s="313">
        <f t="shared" si="2"/>
        <v>0</v>
      </c>
      <c r="M50" s="313">
        <f t="shared" si="2"/>
        <v>4.2790355942731343E-4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3.922703767048109E-5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7.4330060398121898E-3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4.2790355942731343E-4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10.896399352911414</v>
      </c>
      <c r="C54" s="21">
        <f t="shared" ref="C54:P54" si="3">(C50)*10^9/3600</f>
        <v>0</v>
      </c>
      <c r="D54" s="21">
        <f t="shared" si="3"/>
        <v>0</v>
      </c>
      <c r="E54" s="21">
        <f t="shared" si="3"/>
        <v>0</v>
      </c>
      <c r="F54" s="21">
        <f t="shared" si="3"/>
        <v>0</v>
      </c>
      <c r="G54" s="21">
        <f t="shared" si="3"/>
        <v>2064.7238999478304</v>
      </c>
      <c r="H54" s="21">
        <f t="shared" si="3"/>
        <v>0</v>
      </c>
      <c r="I54" s="21">
        <f t="shared" si="3"/>
        <v>0</v>
      </c>
      <c r="J54" s="21">
        <f t="shared" si="3"/>
        <v>0</v>
      </c>
      <c r="K54" s="21">
        <f t="shared" si="3"/>
        <v>0</v>
      </c>
      <c r="L54" s="21">
        <f t="shared" si="3"/>
        <v>0</v>
      </c>
      <c r="M54" s="21">
        <f t="shared" si="3"/>
        <v>118.86209984092041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0.19137068897809556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2.0852514515471321</v>
      </c>
      <c r="C58" s="23">
        <f t="shared" ref="C58:P58" ca="1" si="4">C54*C56</f>
        <v>0</v>
      </c>
      <c r="D58" s="23">
        <f t="shared" si="4"/>
        <v>0</v>
      </c>
      <c r="E58" s="23">
        <f t="shared" si="4"/>
        <v>0</v>
      </c>
      <c r="F58" s="23">
        <f t="shared" si="4"/>
        <v>0</v>
      </c>
      <c r="G58" s="23">
        <f t="shared" si="4"/>
        <v>551.28128128607079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7007.7625118730321</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15813.172676342045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22820.935188215077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2021-11-11T13:07:47Z</dcterms:modified>
</cp:coreProperties>
</file>