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C98056E-36D6-4651-B9E9-4FEBA43FA0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<sst xmlns="http://schemas.openxmlformats.org/spreadsheetml/2006/main" count="2516" uniqueCount="925">
  <si>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</si>
  <si>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</si>
  <si>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</si>
  <si>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</si>
  <si>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</si>
  <si>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</si>
  <si>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</si>
  <si>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</si>
  <si>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</si>
  <si>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</si>
  <si>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</si>
  <si>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</si>
  <si>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</si>
  <si>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</si>
  <si>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</si>
  <si>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</si>
  <si>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</si>
  <si>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</si>
  <si>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</si>
  <si>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</si>
  <si>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</si>
  <si>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</si>
  <si>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</si>
  <si>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</si>
  <si>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</si>
  <si>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</si>
  <si>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</si>
  <si>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</si>
  <si>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</si>
  <si>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</si>
  <si>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</si>
  <si>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</si>
  <si>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</si>
  <si>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</si>
  <si>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</si>
  <si>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</si>
  <si>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</si>
  <si>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</si>
  <si>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</si>
  <si>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</si>
  <si>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</si>
  <si>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</si>
  <si>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</si>
  <si>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</si>
  <si>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</si>
  <si>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</si>
  <si>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</si>
  <si>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</si>
  <si>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</si>
  <si>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</si>
  <si>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</si>
  <si>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</si>
  <si>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</si>
  <si>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</si>
  <si>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</si>
  <si>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</si>
  <si>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</si>
  <si>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</si>
  <si>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</si>
  <si>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</si>
  <si>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</si>
  <si>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</si>
  <si>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</si>
  <si>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</si>
  <si>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</si>
  <si>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</si>
  <si>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</si>
  <si>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</si>
  <si>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</si>
  <si>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</si>
  <si>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</si>
  <si>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</si>
  <si>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</si>
  <si>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</si>
  <si>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</si>
  <si>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</si>
  <si>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</si>
  <si>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</si>
  <si>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</si>
  <si>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</si>
  <si>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</si>
  <si>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</si>
  <si>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</si>
  <si>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</si>
  <si>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</si>
  <si>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</si>
  <si>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</si>
  <si>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</si>
  <si>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</si>
  <si>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</si>
  <si>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</si>
  <si>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</si>
  <si>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</si>
  <si>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</si>
  <si>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</si>
  <si>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</si>
  <si>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</si>
  <si>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</si>
  <si>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</si>
  <si>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</si>
  <si>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</si>
  <si>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</si>
  <si>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</si>
  <si>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</si>
  <si>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</si>
  <si>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</si>
  <si>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</si>
  <si>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</si>
  <si>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</si>
  <si>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</si>
  <si>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</si>
  <si>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</si>
  <si>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</si>
  <si>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</si>
  <si>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</si>
  <si>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</si>
  <si>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</si>
  <si>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</si>
  <si>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</si>
  <si>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</si>
  <si>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</si>
  <si>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</si>
  <si>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</si>
  <si>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</si>
  <si>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</si>
  <si>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</si>
  <si>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</si>
  <si>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</si>
  <si>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</si>
  <si>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</si>
  <si>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</si>
  <si>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</si>
  <si>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</si>
  <si>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</si>
  <si>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</si>
  <si>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</si>
  <si>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</si>
  <si>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</si>
  <si>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</si>
  <si>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</si>
  <si>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</si>
  <si>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</si>
  <si>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</si>
  <si>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</si>
  <si>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</si>
  <si>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</si>
  <si>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</si>
  <si>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</si>
  <si>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</si>
  <si>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</si>
  <si>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</si>
  <si>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</si>
  <si>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</si>
  <si>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</si>
  <si>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</si>
  <si>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</si>
  <si>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</si>
  <si>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</si>
  <si>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</si>
  <si>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</si>
  <si>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</si>
  <si>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</si>
  <si>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</si>
  <si>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</si>
  <si>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</si>
  <si>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</si>
  <si>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</si>
  <si>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</si>
  <si>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</si>
  <si>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</si>
  <si>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</si>
  <si>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</si>
  <si>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</si>
  <si>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</si>
  <si>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</si>
  <si>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</si>
  <si>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</si>
  <si>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</si>
  <si>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</si>
  <si>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</si>
  <si>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</si>
  <si>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</si>
  <si>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</si>
  <si>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</si>
  <si>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</si>
  <si>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</si>
  <si>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</si>
  <si>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</si>
  <si>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</si>
  <si>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</si>
  <si>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</si>
  <si>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</si>
  <si>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</si>
  <si>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</si>
  <si>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</si>
  <si>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</si>
  <si>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</si>
  <si>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</si>
  <si>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</si>
  <si>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</si>
  <si>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</si>
  <si>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</si>
  <si>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</si>
  <si>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</si>
  <si>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</si>
  <si>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</si>
  <si>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</si>
  <si>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</si>
  <si>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</si>
  <si>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</si>
  <si>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</si>
  <si>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</si>
  <si>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</si>
  <si>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</si>
  <si>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</si>
  <si>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</si>
  <si>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</si>
  <si>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</si>
  <si>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</si>
  <si>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</si>
  <si>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</si>
  <si>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</si>
  <si>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</si>
  <si>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</si>
  <si>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</si>
  <si>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</si>
  <si>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</si>
  <si>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</si>
  <si>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</si>
  <si>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</si>
  <si>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</si>
  <si>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</si>
  <si>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</si>
  <si>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</si>
  <si>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</si>
  <si>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</si>
  <si>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</si>
  <si>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</si>
  <si>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</si>
  <si>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</si>
  <si>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</si>
  <si>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</si>
  <si>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</si>
  <si>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</si>
  <si>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</si>
  <si>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</si>
  <si>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</si>
  <si>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</si>
  <si>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</si>
  <si>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</si>
  <si>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</si>
  <si>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</si>
  <si>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</si>
  <si>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</si>
  <si>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</si>
  <si>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</si>
  <si>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</si>
  <si>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</si>
  <si>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</si>
  <si>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</si>
  <si>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</si>
  <si>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</si>
  <si>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</si>
  <si>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</si>
  <si>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</si>
  <si>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</si>
  <si>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</si>
  <si>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</si>
  <si>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</si>
  <si>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</si>
  <si>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</si>
  <si>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</si>
  <si>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</si>
  <si>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</si>
  <si>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</si>
  <si>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</si>
  <si>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</si>
  <si>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</si>
  <si>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</si>
  <si>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</si>
  <si>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</si>
  <si>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</si>
  <si>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</si>
  <si>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</si>
  <si>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</si>
  <si>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</si>
  <si>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</si>
  <si>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</si>
  <si>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</si>
  <si>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</si>
  <si>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</si>
  <si>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</si>
  <si>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</si>
  <si>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</si>
  <si>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</si>
  <si>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</si>
  <si>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</si>
  <si>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</si>
  <si>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</si>
  <si>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</si>
  <si>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</si>
  <si>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</si>
  <si>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</si>
  <si>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</si>
  <si>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</si>
  <si>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</si>
  <si>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</si>
  <si>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</si>
  <si>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</si>
  <si>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</si>
  <si>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</si>
  <si>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</si>
  <si>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</si>
  <si>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</si>
  <si>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</si>
  <si>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</si>
  <si>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</si>
  <si>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</si>
  <si>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</si>
  <si>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</si>
  <si>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</si>
  <si>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</si>
  <si>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</si>
  <si>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</si>
  <si>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</si>
  <si>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</si>
  <si>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</si>
  <si>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</si>
  <si>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</si>
  <si>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</si>
  <si>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</si>
  <si>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</si>
  <si>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</si>
  <si>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</si>
  <si>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</si>
  <si>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</si>
  <si>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</si>
  <si>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</si>
  <si>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</si>
  <si>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</si>
  <si>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</si>
  <si>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</si>
  <si>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</si>
  <si>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</si>
  <si>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</si>
  <si>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</si>
  <si>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</si>
  <si>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</si>
  <si>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</si>
  <si>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</si>
  <si>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</si>
  <si>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</si>
  <si>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</si>
  <si>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</si>
  <si>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</si>
  <si>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</si>
  <si>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</si>
  <si>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</si>
  <si>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</si>
  <si>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</si>
  <si>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</si>
  <si>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</si>
  <si>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</si>
  <si>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</si>
  <si>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</si>
  <si>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</si>
  <si>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</si>
  <si>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</si>
  <si>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</si>
  <si>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</si>
  <si>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</si>
  <si>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</si>
  <si>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</si>
  <si>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</si>
  <si>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</si>
  <si>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</si>
  <si>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</si>
  <si>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</si>
  <si>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</si>
  <si>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</si>
  <si>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</si>
  <si>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</si>
  <si>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</si>
  <si>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</si>
  <si>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</si>
  <si>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</si>
  <si>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</si>
  <si>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</si>
  <si>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</si>
  <si>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</si>
  <si>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</si>
  <si>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</si>
  <si>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</si>
  <si>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</si>
  <si>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</si>
  <si>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</si>
  <si>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</si>
  <si>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</si>
  <si>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</si>
  <si>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</si>
  <si>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</si>
  <si>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</si>
  <si>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</si>
  <si>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</si>
  <si>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</si>
  <si>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</si>
  <si>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</si>
  <si>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</si>
  <si>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</si>
  <si>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</si>
  <si>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</si>
  <si>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</si>
  <si>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</si>
  <si>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</si>
  <si>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</si>
  <si>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</si>
  <si>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</si>
  <si>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</si>
  <si>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</si>
  <si>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</si>
  <si>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</si>
  <si>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</si>
  <si>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</si>
  <si>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</si>
  <si>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</si>
  <si>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</si>
  <si>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</si>
  <si>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</si>
  <si>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</si>
  <si>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</si>
  <si>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</si>
  <si>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</si>
  <si>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</si>
  <si>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</si>
  <si>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</si>
  <si>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</si>
  <si>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</si>
  <si>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</si>
  <si>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</si>
  <si>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</si>
  <si>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</si>
  <si>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</si>
  <si>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</si>
  <si>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</si>
  <si>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</si>
  <si>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</si>
  <si>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</si>
  <si>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</si>
  <si>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</si>
  <si>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</si>
  <si>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</si>
  <si>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</si>
  <si>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</si>
  <si>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</si>
  <si>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</si>
  <si>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</si>
  <si>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</si>
  <si>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</si>
  <si>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</si>
  <si>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</si>
  <si>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</si>
  <si>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</si>
  <si>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</si>
  <si>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</si>
  <si>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</si>
  <si>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</si>
  <si>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</si>
  <si>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</si>
  <si>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</si>
  <si>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</si>
  <si>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</si>
  <si>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</si>
  <si>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</si>
  <si>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</si>
  <si>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</si>
  <si>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</si>
  <si>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</si>
  <si>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</si>
  <si>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</si>
  <si>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</si>
  <si>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</si>
  <si>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</si>
  <si>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</si>
  <si>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</si>
  <si>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</si>
  <si>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</si>
  <si>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</si>
  <si>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</si>
  <si>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</si>
  <si>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</si>
  <si>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</si>
  <si>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</si>
  <si>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</si>
  <si>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</si>
  <si>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</si>
  <si>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</si>
  <si>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</si>
  <si>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</si>
  <si>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</si>
  <si>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</si>
  <si>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</si>
  <si>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</si>
  <si>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</si>
  <si>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</si>
  <si>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</si>
  <si>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</si>
  <si>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</si>
  <si>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</si>
  <si>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</si>
  <si>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</si>
  <si>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</si>
  <si>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</si>
  <si>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</si>
  <si>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</si>
  <si>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</si>
  <si>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</si>
  <si>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</si>
  <si>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</si>
  <si>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</si>
  <si>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</si>
  <si>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</si>
  <si>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</si>
  <si>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</si>
  <si>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</si>
  <si>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</si>
  <si>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</si>
  <si>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</si>
  <si>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</si>
  <si>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</si>
  <si>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</si>
  <si>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</si>
  <si>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</si>
  <si>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</si>
  <si>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</si>
  <si>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</si>
  <si>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</si>
  <si>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</si>
  <si>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</si>
  <si>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</si>
  <si>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</si>
  <si>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</si>
  <si>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</si>
  <si>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</si>
  <si>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</si>
  <si>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</si>
  <si>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</si>
  <si>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</si>
  <si>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</si>
  <si>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</si>
  <si>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</si>
  <si>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</si>
  <si>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</si>
  <si>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</si>
  <si>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</si>
  <si>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</si>
  <si>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</si>
  <si>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</si>
  <si>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</si>
  <si>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</si>
  <si>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</si>
  <si>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</si>
  <si>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</si>
  <si>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</si>
  <si>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</si>
  <si>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</si>
  <si>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</si>
  <si>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</si>
  <si>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</si>
  <si>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</si>
  <si>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</si>
  <si>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</si>
  <si>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</si>
  <si>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</si>
  <si>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</si>
  <si>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</si>
  <si>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</si>
  <si>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</si>
  <si>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</si>
  <si>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</si>
  <si>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</si>
  <si>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</si>
  <si>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</si>
  <si>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</si>
  <si>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</si>
  <si>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</si>
  <si>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</si>
  <si>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</si>
  <si>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</si>
  <si>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</si>
  <si>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</si>
  <si>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</si>
  <si>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</si>
  <si>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</si>
  <si>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</si>
  <si>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</si>
  <si>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</si>
  <si>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</si>
  <si>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</si>
  <si>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</si>
  <si>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</si>
  <si>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</si>
  <si>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</si>
  <si>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</si>
  <si>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</si>
  <si>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</si>
  <si>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</si>
  <si>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</si>
  <si>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</si>
  <si>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</si>
  <si>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</si>
  <si>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</si>
  <si>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</si>
  <si>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</si>
  <si>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</si>
  <si>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</si>
  <si>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</si>
  <si>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</si>
  <si>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</si>
  <si>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</si>
  <si>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</si>
  <si>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</si>
  <si>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</si>
  <si>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</si>
  <si>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</si>
  <si>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</si>
  <si>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</si>
  <si>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</si>
  <si>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</si>
  <si>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</si>
  <si>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</si>
  <si>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</si>
  <si>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</si>
  <si>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</si>
  <si>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</si>
  <si>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</si>
  <si>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</si>
  <si>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</si>
  <si>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</si>
  <si>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</si>
  <si>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</si>
  <si>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</si>
  <si>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</si>
  <si>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</si>
  <si>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</si>
  <si>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</si>
  <si>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</si>
  <si>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</si>
  <si>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</si>
  <si>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</si>
  <si>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</si>
  <si>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</si>
  <si>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</si>
  <si>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</si>
  <si>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</si>
  <si>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</si>
  <si>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</si>
  <si>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</si>
  <si>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</si>
  <si>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</si>
  <si>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</si>
  <si>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</si>
  <si>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</si>
  <si>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</si>
  <si>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</si>
  <si>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</si>
  <si>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</si>
  <si>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</si>
  <si>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</si>
  <si>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</si>
  <si>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</si>
  <si>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</si>
  <si>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</si>
  <si>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</si>
  <si>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</si>
  <si>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</si>
  <si>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</si>
  <si>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</si>
  <si>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</si>
  <si>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</si>
  <si>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</si>
  <si>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</si>
  <si>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</si>
  <si>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</si>
  <si>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</si>
  <si>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</si>
  <si>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</si>
  <si>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</si>
  <si>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</si>
  <si>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</si>
  <si>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</si>
  <si>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</si>
  <si>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</si>
  <si>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</si>
  <si>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</si>
  <si>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</si>
  <si>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</si>
  <si>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</si>
  <si>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</si>
  <si>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</si>
  <si>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</si>
  <si>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</si>
  <si>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</si>
  <si>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</si>
  <si>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</si>
  <si>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</si>
  <si>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</si>
  <si>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</si>
  <si>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</si>
  <si>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</si>
  <si>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</si>
  <si>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</si>
  <si>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</si>
  <si>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</si>
  <si>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</si>
  <si>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</si>
  <si>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</si>
  <si>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</si>
  <si>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</si>
  <si>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</si>
  <si>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</si>
  <si>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</si>
  <si>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</si>
  <si>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</si>
  <si>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</si>
  <si>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</si>
  <si>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</si>
  <si>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</si>
  <si>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</si>
  <si>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</si>
  <si>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</si>
  <si>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</si>
  <si>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</si>
  <si>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</si>
  <si>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</si>
  <si>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</si>
  <si>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</si>
  <si>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</si>
  <si>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</si>
  <si>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</si>
  <si>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</si>
  <si>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</si>
  <si>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</si>
  <si>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</si>
  <si>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</si>
  <si>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</si>
  <si>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</si>
  <si>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</si>
  <si>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</si>
  <si>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</si>
  <si>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</si>
  <si>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</si>
  <si>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</si>
  <si>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</si>
  <si>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</si>
  <si>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</si>
  <si>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</si>
  <si>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</si>
  <si>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</si>
  <si>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</si>
  <si>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</si>
  <si>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</si>
  <si>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</si>
  <si>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</si>
  <si>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</si>
  <si>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</si>
  <si>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</si>
  <si>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</si>
  <si>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</si>
  <si>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</si>
  <si>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</si>
  <si>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</si>
  <si>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</si>
  <si>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</si>
  <si>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</si>
  <si>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</si>
  <si>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</si>
  <si>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</si>
  <si>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</si>
  <si>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</si>
  <si>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</si>
  <si>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</si>
  <si>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</si>
  <si>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</si>
  <si>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</si>
  <si>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</si>
  <si>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</si>
  <si>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</si>
  <si>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</si>
  <si>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</si>
  <si>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</si>
  <si>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</si>
  <si>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</si>
  <si>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</si>
  <si>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</si>
  <si>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</si>
  <si>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</si>
  <si>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</si>
  <si>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</si>
  <si>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</si>
  <si>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</si>
  <si>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</si>
  <si>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</si>
  <si>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</si>
  <si>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</si>
  <si>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</si>
  <si>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</si>
  <si>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</si>
  <si>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</si>
  <si>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</si>
  <si>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</si>
  <si>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</si>
  <si>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</si>
  <si>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</si>
  <si>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</si>
  <si>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</si>
  <si>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</si>
  <si>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</si>
  <si>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</si>
  <si>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</si>
  <si>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</si>
  <si>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</si>
  <si>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</si>
  <si>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</si>
  <si>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</si>
  <si>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</si>
  <si>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</si>
  <si>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</si>
  <si>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</si>
  <si>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</si>
  <si>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</si>
  <si>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</si>
  <si>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</si>
  <si>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</si>
  <si>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</si>
  <si>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</si>
  <si>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</si>
  <si>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</si>
  <si>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</si>
  <si>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</si>
  <si>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</si>
  <si>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</si>
  <si>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</si>
  <si>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</si>
  <si>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</si>
  <si>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</si>
  <si>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</si>
  <si>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</si>
  <si>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</si>
  <si>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</si>
  <si>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</si>
  <si>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</si>
  <si>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</si>
  <si>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</si>
  <si>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</si>
  <si>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</si>
  <si>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</si>
  <si>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</si>
  <si>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</si>
  <si>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</si>
  <si>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</si>
  <si>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</si>
  <si>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</si>
  <si>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</si>
  <si>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</si>
  <si>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</si>
  <si>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</si>
  <si>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</si>
  <si>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</si>
  <si>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</si>
  <si>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</si>
  <si>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</si>
  <si>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</si>
  <si>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</si>
  <si>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</si>
  <si>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</si>
  <si>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</si>
  <si>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</si>
  <si>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</si>
  <si>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</si>
  <si>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</si>
  <si>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</si>
  <si>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</si>
  <si>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</si>
  <si>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</si>
  <si>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</si>
  <si>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</si>
  <si>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</si>
  <si>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</si>
  <si>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</si>
  <si>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</si>
  <si>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</si>
  <si>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</si>
  <si>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</si>
  <si>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</si>
  <si>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</si>
  <si>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</si>
  <si>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</si>
  <si>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</si>
  <si>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</si>
  <si>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</si>
  <si>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</si>
  <si>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</si>
  <si>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</si>
  <si>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</si>
  <si>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</si>
  <si>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</si>
  <si>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</si>
  <si>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</si>
  <si>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</si>
  <si>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</si>
  <si>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</si>
  <si>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</si>
  <si>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</si>
  <si>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</si>
  <si>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</si>
  <si>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</si>
  <si>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12002</t>
  </si>
  <si>
    <t>BERLAAR</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</si>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</sst>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8758732-3888-43DF-9D6B-3B1961732C7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95848.696129443415</c:v>
                </c:pt>
                <c:pt idx="1">
                  <c:v>22455.697627287245</c:v>
                </c:pt>
                <c:pt idx="2">
                  <c:v>611.63800000000003</c:v>
                </c:pt>
                <c:pt idx="3">
                  <c:v>36275.252551492755</c:v>
                </c:pt>
                <c:pt idx="4">
                  <c:v>5455.8834469737649</c:v>
                </c:pt>
                <c:pt idx="5">
                  <c:v>40427.615501703862</c:v>
                </c:pt>
                <c:pt idx="6">
                  <c:v>505.97849006593498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95848.696129443415</c:v>
                </c:pt>
                <c:pt idx="1">
                  <c:v>22455.697627287245</c:v>
                </c:pt>
                <c:pt idx="2">
                  <c:v>611.63800000000003</c:v>
                </c:pt>
                <c:pt idx="3">
                  <c:v>36275.252551492755</c:v>
                </c:pt>
                <c:pt idx="4">
                  <c:v>5455.8834469737649</c:v>
                </c:pt>
                <c:pt idx="5">
                  <c:v>40427.615501703862</c:v>
                </c:pt>
                <c:pt idx="6">
                  <c:v>505.97849006593498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20251.490655441325</c:v>
                </c:pt>
                <c:pt idx="2">
                  <c:v>4521.1531776239444</c:v>
                </c:pt>
                <c:pt idx="3">
                  <c:v>132.88344114910728</c:v>
                </c:pt>
                <c:pt idx="4">
                  <c:v>8689.948336155614</c:v>
                </c:pt>
                <c:pt idx="5">
                  <c:v>1181.9335544091107</c:v>
                </c:pt>
                <c:pt idx="6">
                  <c:v>10130.465218486606</c:v>
                </c:pt>
                <c:pt idx="7">
                  <c:v>127.65392430383785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20251.490655441325</c:v>
                </c:pt>
                <c:pt idx="2">
                  <c:v>4521.1531776239444</c:v>
                </c:pt>
                <c:pt idx="3">
                  <c:v>132.88344114910728</c:v>
                </c:pt>
                <c:pt idx="4">
                  <c:v>8689.948336155614</c:v>
                </c:pt>
                <c:pt idx="5">
                  <c:v>1181.9335544091107</c:v>
                </c:pt>
                <c:pt idx="6">
                  <c:v>10130.465218486606</c:v>
                </c:pt>
                <c:pt idx="7">
                  <c:v>127.65392430383785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12002</v>
      </c>
      <c r="B6" s="383"/>
      <c r="C6" s="384"/>
    </row>
    <row r="7" spans="1:7" s="381" customFormat="1" ht="15.75" customHeight="1">
      <c r="A7" s="385" t="str">
        <f>txtMunicipality</f>
        <v>BERLAAR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10550.58187</v>
      </c>
      <c r="D10" s="983">
        <f ca="1">tertiair!C16</f>
        <v>0</v>
      </c>
      <c r="E10" s="983">
        <f ca="1">tertiair!D16</f>
        <v>9557.0354969711752</v>
      </c>
      <c r="F10" s="983">
        <f>tertiair!E16</f>
        <v>105.06177604577398</v>
      </c>
      <c r="G10" s="983">
        <f ca="1">tertiair!F16</f>
        <v>1526.0853481707184</v>
      </c>
      <c r="H10" s="983">
        <f>tertiair!G16</f>
        <v>0</v>
      </c>
      <c r="I10" s="983">
        <f>tertiair!H16</f>
        <v>0</v>
      </c>
      <c r="J10" s="983">
        <f>tertiair!I16</f>
        <v>0</v>
      </c>
      <c r="K10" s="983">
        <f>tertiair!J16</f>
        <v>0</v>
      </c>
      <c r="L10" s="983">
        <f>tertiair!K16</f>
        <v>0</v>
      </c>
      <c r="M10" s="983">
        <f ca="1">tertiair!L16</f>
        <v>0</v>
      </c>
      <c r="N10" s="983">
        <f>tertiair!M16</f>
        <v>0</v>
      </c>
      <c r="O10" s="983">
        <f ca="1">tertiair!N16</f>
        <v>1328.5711360995767</v>
      </c>
      <c r="P10" s="983">
        <f>tertiair!O16</f>
        <v>0</v>
      </c>
      <c r="Q10" s="984">
        <f>tertiair!P16</f>
        <v>0</v>
      </c>
      <c r="R10" s="667">
        <f ca="1">SUM(C10:Q10)</f>
        <v>23067.335627287248</v>
      </c>
      <c r="S10" s="67"/>
    </row>
    <row r="11" spans="1:19" s="440" customFormat="1">
      <c r="A11" s="776" t="s">
        <v>214</v>
      </c>
      <c r="B11" s="781"/>
      <c r="C11" s="983">
        <f>huishoudens!B8</f>
        <v>18762.527394787616</v>
      </c>
      <c r="D11" s="983">
        <f>huishoudens!C8</f>
        <v>0</v>
      </c>
      <c r="E11" s="983">
        <f>huishoudens!D8</f>
        <v>44827.674594827236</v>
      </c>
      <c r="F11" s="983">
        <f>huishoudens!E8</f>
        <v>799.06058211282448</v>
      </c>
      <c r="G11" s="983">
        <f>huishoudens!F8</f>
        <v>25207.86845223216</v>
      </c>
      <c r="H11" s="983">
        <f>huishoudens!G8</f>
        <v>0</v>
      </c>
      <c r="I11" s="983">
        <f>huishoudens!H8</f>
        <v>0</v>
      </c>
      <c r="J11" s="983">
        <f>huishoudens!I8</f>
        <v>0</v>
      </c>
      <c r="K11" s="983">
        <f>huishoudens!J8</f>
        <v>587.84654004321544</v>
      </c>
      <c r="L11" s="983">
        <f>huishoudens!K8</f>
        <v>0</v>
      </c>
      <c r="M11" s="983">
        <f>huishoudens!L8</f>
        <v>0</v>
      </c>
      <c r="N11" s="983">
        <f>huishoudens!M8</f>
        <v>0</v>
      </c>
      <c r="O11" s="983">
        <f>huishoudens!N8</f>
        <v>5135.4318987736942</v>
      </c>
      <c r="P11" s="983">
        <f>huishoudens!O8</f>
        <v>146.95333333333335</v>
      </c>
      <c r="Q11" s="984">
        <f>huishoudens!P8</f>
        <v>381.33333333333337</v>
      </c>
      <c r="R11" s="667">
        <f>SUM(C11:Q11)</f>
        <v>95848.696129443415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1845.15398</v>
      </c>
      <c r="D13" s="983">
        <f>industrie!C18</f>
        <v>0</v>
      </c>
      <c r="E13" s="983">
        <f>industrie!D18</f>
        <v>1578.7905159637924</v>
      </c>
      <c r="F13" s="983">
        <f>industrie!E18</f>
        <v>304.98932665017418</v>
      </c>
      <c r="G13" s="983">
        <f>industrie!F18</f>
        <v>1459.920236012518</v>
      </c>
      <c r="H13" s="983">
        <f>industrie!G18</f>
        <v>0</v>
      </c>
      <c r="I13" s="983">
        <f>industrie!H18</f>
        <v>0</v>
      </c>
      <c r="J13" s="983">
        <f>industrie!I18</f>
        <v>0</v>
      </c>
      <c r="K13" s="983">
        <f>industrie!J18</f>
        <v>8.7896773270077393</v>
      </c>
      <c r="L13" s="983">
        <f>industrie!K18</f>
        <v>0</v>
      </c>
      <c r="M13" s="983">
        <f>industrie!L18</f>
        <v>0</v>
      </c>
      <c r="N13" s="983">
        <f>industrie!M18</f>
        <v>0</v>
      </c>
      <c r="O13" s="983">
        <f>industrie!N18</f>
        <v>258.23971102027309</v>
      </c>
      <c r="P13" s="983">
        <f>industrie!O18</f>
        <v>0</v>
      </c>
      <c r="Q13" s="984">
        <f>industrie!P18</f>
        <v>0</v>
      </c>
      <c r="R13" s="667">
        <f>SUM(C13:Q13)</f>
        <v>5455.8834469737649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31158.263244787613</v>
      </c>
      <c r="D16" s="699">
        <f t="shared" ref="D16:R16" ca="1" si="0">SUM(D9:D15)</f>
        <v>0</v>
      </c>
      <c r="E16" s="699">
        <f t="shared" ca="1" si="0"/>
        <v>55963.500607762209</v>
      </c>
      <c r="F16" s="699">
        <f t="shared" si="0"/>
        <v>1209.1116848087727</v>
      </c>
      <c r="G16" s="699">
        <f t="shared" ca="1" si="0"/>
        <v>28193.874036415396</v>
      </c>
      <c r="H16" s="699">
        <f t="shared" si="0"/>
        <v>0</v>
      </c>
      <c r="I16" s="699">
        <f t="shared" si="0"/>
        <v>0</v>
      </c>
      <c r="J16" s="699">
        <f t="shared" si="0"/>
        <v>0</v>
      </c>
      <c r="K16" s="699">
        <f t="shared" si="0"/>
        <v>596.63621737022322</v>
      </c>
      <c r="L16" s="699">
        <f t="shared" si="0"/>
        <v>0</v>
      </c>
      <c r="M16" s="699">
        <f t="shared" ca="1" si="0"/>
        <v>0</v>
      </c>
      <c r="N16" s="699">
        <f t="shared" si="0"/>
        <v>0</v>
      </c>
      <c r="O16" s="699">
        <f t="shared" ca="1" si="0"/>
        <v>6722.2427458935435</v>
      </c>
      <c r="P16" s="699">
        <f t="shared" si="0"/>
        <v>146.95333333333335</v>
      </c>
      <c r="Q16" s="699">
        <f t="shared" si="0"/>
        <v>381.33333333333337</v>
      </c>
      <c r="R16" s="699">
        <f t="shared" ca="1" si="0"/>
        <v>124371.91520370443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2.5123663301642374</v>
      </c>
      <c r="D19" s="983">
        <f>transport!C54</f>
        <v>0</v>
      </c>
      <c r="E19" s="983">
        <f>transport!D54</f>
        <v>0</v>
      </c>
      <c r="F19" s="983">
        <f>transport!E54</f>
        <v>0</v>
      </c>
      <c r="G19" s="983">
        <f>transport!F54</f>
        <v>0</v>
      </c>
      <c r="H19" s="983">
        <f>transport!G54</f>
        <v>476.06026902164825</v>
      </c>
      <c r="I19" s="983">
        <f>transport!H54</f>
        <v>0</v>
      </c>
      <c r="J19" s="983">
        <f>transport!I54</f>
        <v>0</v>
      </c>
      <c r="K19" s="983">
        <f>transport!J54</f>
        <v>0</v>
      </c>
      <c r="L19" s="983">
        <f>transport!K54</f>
        <v>0</v>
      </c>
      <c r="M19" s="983">
        <f>transport!L54</f>
        <v>0</v>
      </c>
      <c r="N19" s="983">
        <f>transport!M54</f>
        <v>27.405854714122469</v>
      </c>
      <c r="O19" s="983">
        <f>transport!N54</f>
        <v>0</v>
      </c>
      <c r="P19" s="983">
        <f>transport!O54</f>
        <v>0</v>
      </c>
      <c r="Q19" s="984">
        <f>transport!P54</f>
        <v>0</v>
      </c>
      <c r="R19" s="667">
        <f>SUM(C19:Q19)</f>
        <v>505.97849006593498</v>
      </c>
      <c r="S19" s="67"/>
    </row>
    <row r="20" spans="1:19" s="440" customFormat="1">
      <c r="A20" s="776" t="s">
        <v>296</v>
      </c>
      <c r="B20" s="781"/>
      <c r="C20" s="983">
        <f>transport!B14</f>
        <v>6.8700681804002084</v>
      </c>
      <c r="D20" s="983">
        <f>transport!C14</f>
        <v>0</v>
      </c>
      <c r="E20" s="983">
        <f>transport!D14</f>
        <v>10.753008768917615</v>
      </c>
      <c r="F20" s="983">
        <f>transport!E14</f>
        <v>104.95853927864709</v>
      </c>
      <c r="G20" s="983">
        <f>transport!F14</f>
        <v>0</v>
      </c>
      <c r="H20" s="983">
        <f>transport!G14</f>
        <v>32045.836525765626</v>
      </c>
      <c r="I20" s="983">
        <f>transport!H14</f>
        <v>6211.7935360809552</v>
      </c>
      <c r="J20" s="983">
        <f>transport!I14</f>
        <v>0</v>
      </c>
      <c r="K20" s="983">
        <f>transport!J14</f>
        <v>0</v>
      </c>
      <c r="L20" s="983">
        <f>transport!K14</f>
        <v>0</v>
      </c>
      <c r="M20" s="983">
        <f>transport!L14</f>
        <v>0</v>
      </c>
      <c r="N20" s="983">
        <f>transport!M14</f>
        <v>2047.4038236293134</v>
      </c>
      <c r="O20" s="983">
        <f>transport!N14</f>
        <v>0</v>
      </c>
      <c r="P20" s="983">
        <f>transport!O14</f>
        <v>0</v>
      </c>
      <c r="Q20" s="984">
        <f>transport!P14</f>
        <v>0</v>
      </c>
      <c r="R20" s="667">
        <f>SUM(C20:Q20)</f>
        <v>40427.615501703862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9.3824345105644458</v>
      </c>
      <c r="D22" s="779">
        <f t="shared" ref="D22:R22" si="1">SUM(D18:D21)</f>
        <v>0</v>
      </c>
      <c r="E22" s="779">
        <f t="shared" si="1"/>
        <v>10.753008768917615</v>
      </c>
      <c r="F22" s="779">
        <f t="shared" si="1"/>
        <v>104.95853927864709</v>
      </c>
      <c r="G22" s="779">
        <f t="shared" si="1"/>
        <v>0</v>
      </c>
      <c r="H22" s="779">
        <f t="shared" si="1"/>
        <v>32521.896794787273</v>
      </c>
      <c r="I22" s="779">
        <f t="shared" si="1"/>
        <v>6211.7935360809552</v>
      </c>
      <c r="J22" s="779">
        <f t="shared" si="1"/>
        <v>0</v>
      </c>
      <c r="K22" s="779">
        <f t="shared" si="1"/>
        <v>0</v>
      </c>
      <c r="L22" s="779">
        <f t="shared" si="1"/>
        <v>0</v>
      </c>
      <c r="M22" s="779">
        <f t="shared" si="1"/>
        <v>0</v>
      </c>
      <c r="N22" s="779">
        <f t="shared" si="1"/>
        <v>2074.8096783434357</v>
      </c>
      <c r="O22" s="779">
        <f t="shared" si="1"/>
        <v>0</v>
      </c>
      <c r="P22" s="779">
        <f t="shared" si="1"/>
        <v>0</v>
      </c>
      <c r="Q22" s="779">
        <f t="shared" si="1"/>
        <v>0</v>
      </c>
      <c r="R22" s="779">
        <f t="shared" si="1"/>
        <v>40933.593991769798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964.02933999999993</v>
      </c>
      <c r="D24" s="983">
        <f>+landbouw!C8</f>
        <v>32708.571428571431</v>
      </c>
      <c r="E24" s="983">
        <f>+landbouw!D8</f>
        <v>0</v>
      </c>
      <c r="F24" s="983">
        <f>+landbouw!E8</f>
        <v>8.9292435196831441</v>
      </c>
      <c r="G24" s="983">
        <f>+landbouw!F8</f>
        <v>2445.9260829808072</v>
      </c>
      <c r="H24" s="983">
        <f>+landbouw!G8</f>
        <v>0</v>
      </c>
      <c r="I24" s="983">
        <f>+landbouw!H8</f>
        <v>0</v>
      </c>
      <c r="J24" s="983">
        <f>+landbouw!I8</f>
        <v>0</v>
      </c>
      <c r="K24" s="983">
        <f>+landbouw!J8</f>
        <v>147.79645642083437</v>
      </c>
      <c r="L24" s="983">
        <f>+landbouw!K8</f>
        <v>0</v>
      </c>
      <c r="M24" s="983">
        <f>+landbouw!L8</f>
        <v>0</v>
      </c>
      <c r="N24" s="983">
        <f>+landbouw!M8</f>
        <v>0</v>
      </c>
      <c r="O24" s="983">
        <f>+landbouw!N8</f>
        <v>0</v>
      </c>
      <c r="P24" s="983">
        <f>+landbouw!O8</f>
        <v>0</v>
      </c>
      <c r="Q24" s="984">
        <f>+landbouw!P8</f>
        <v>0</v>
      </c>
      <c r="R24" s="667">
        <f>SUM(C24:Q24)</f>
        <v>36275.252551492755</v>
      </c>
      <c r="S24" s="67"/>
    </row>
    <row r="25" spans="1:19" s="440" customFormat="1" ht="15" thickBot="1">
      <c r="A25" s="798" t="s">
        <v>829</v>
      </c>
      <c r="B25" s="986"/>
      <c r="C25" s="987">
        <f>IF(Onbekend_ele_kWh="---",0,Onbekend_ele_kWh)/1000+IF(REST_rest_ele_kWh="---",0,REST_rest_ele_kWh)/1000</f>
        <v>688.71630000000005</v>
      </c>
      <c r="D25" s="987"/>
      <c r="E25" s="987">
        <f>IF(onbekend_gas_kWh="---",0,onbekend_gas_kWh)/1000+IF(REST_rest_gas_kWh="---",0,REST_rest_gas_kWh)/1000</f>
        <v>1803.6344723407901</v>
      </c>
      <c r="F25" s="987"/>
      <c r="G25" s="987"/>
      <c r="H25" s="987"/>
      <c r="I25" s="987"/>
      <c r="J25" s="987"/>
      <c r="K25" s="987"/>
      <c r="L25" s="987"/>
      <c r="M25" s="987"/>
      <c r="N25" s="987"/>
      <c r="O25" s="987"/>
      <c r="P25" s="987"/>
      <c r="Q25" s="988"/>
      <c r="R25" s="667">
        <f>SUM(C25:Q25)</f>
        <v>2492.3507723407902</v>
      </c>
      <c r="S25" s="67"/>
    </row>
    <row r="26" spans="1:19" s="440" customFormat="1" ht="15.75" thickBot="1">
      <c r="A26" s="672" t="s">
        <v>830</v>
      </c>
      <c r="B26" s="784"/>
      <c r="C26" s="779">
        <f>SUM(C24:C25)</f>
        <v>1652.7456400000001</v>
      </c>
      <c r="D26" s="779">
        <f t="shared" ref="D26:R26" si="2">SUM(D24:D25)</f>
        <v>32708.571428571431</v>
      </c>
      <c r="E26" s="779">
        <f t="shared" si="2"/>
        <v>1803.6344723407901</v>
      </c>
      <c r="F26" s="779">
        <f t="shared" si="2"/>
        <v>8.9292435196831441</v>
      </c>
      <c r="G26" s="779">
        <f t="shared" si="2"/>
        <v>2445.9260829808072</v>
      </c>
      <c r="H26" s="779">
        <f t="shared" si="2"/>
        <v>0</v>
      </c>
      <c r="I26" s="779">
        <f t="shared" si="2"/>
        <v>0</v>
      </c>
      <c r="J26" s="779">
        <f t="shared" si="2"/>
        <v>0</v>
      </c>
      <c r="K26" s="779">
        <f t="shared" si="2"/>
        <v>147.79645642083437</v>
      </c>
      <c r="L26" s="779">
        <f t="shared" si="2"/>
        <v>0</v>
      </c>
      <c r="M26" s="779">
        <f t="shared" si="2"/>
        <v>0</v>
      </c>
      <c r="N26" s="779">
        <f t="shared" si="2"/>
        <v>0</v>
      </c>
      <c r="O26" s="779">
        <f t="shared" si="2"/>
        <v>0</v>
      </c>
      <c r="P26" s="779">
        <f t="shared" si="2"/>
        <v>0</v>
      </c>
      <c r="Q26" s="779">
        <f t="shared" si="2"/>
        <v>0</v>
      </c>
      <c r="R26" s="779">
        <f t="shared" si="2"/>
        <v>38767.603323833544</v>
      </c>
      <c r="S26" s="67"/>
    </row>
    <row r="27" spans="1:19" s="440" customFormat="1" ht="17.25" thickTop="1" thickBot="1">
      <c r="A27" s="673" t="s">
        <v>109</v>
      </c>
      <c r="B27" s="772"/>
      <c r="C27" s="674">
        <f ca="1">C22+C16+C26</f>
        <v>32820.391319298178</v>
      </c>
      <c r="D27" s="674">
        <f t="shared" ref="D27:R27" ca="1" si="3">D22+D16+D26</f>
        <v>32708.571428571431</v>
      </c>
      <c r="E27" s="674">
        <f t="shared" ca="1" si="3"/>
        <v>57777.888088871914</v>
      </c>
      <c r="F27" s="674">
        <f t="shared" si="3"/>
        <v>1322.9994676071028</v>
      </c>
      <c r="G27" s="674">
        <f t="shared" ca="1" si="3"/>
        <v>30639.800119396205</v>
      </c>
      <c r="H27" s="674">
        <f t="shared" si="3"/>
        <v>32521.896794787273</v>
      </c>
      <c r="I27" s="674">
        <f t="shared" si="3"/>
        <v>6211.7935360809552</v>
      </c>
      <c r="J27" s="674">
        <f t="shared" si="3"/>
        <v>0</v>
      </c>
      <c r="K27" s="674">
        <f t="shared" si="3"/>
        <v>744.4326737910576</v>
      </c>
      <c r="L27" s="674">
        <f t="shared" si="3"/>
        <v>0</v>
      </c>
      <c r="M27" s="674">
        <f t="shared" ca="1" si="3"/>
        <v>0</v>
      </c>
      <c r="N27" s="674">
        <f t="shared" si="3"/>
        <v>2074.8096783434357</v>
      </c>
      <c r="O27" s="674">
        <f t="shared" ca="1" si="3"/>
        <v>6722.2427458935435</v>
      </c>
      <c r="P27" s="674">
        <f t="shared" si="3"/>
        <v>146.95333333333335</v>
      </c>
      <c r="Q27" s="674">
        <f t="shared" si="3"/>
        <v>381.33333333333337</v>
      </c>
      <c r="R27" s="674">
        <f t="shared" ca="1" si="3"/>
        <v>204073.11251930776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2292.2016372609014</v>
      </c>
      <c r="D40" s="983">
        <f ca="1">tertiair!C20</f>
        <v>0</v>
      </c>
      <c r="E40" s="983">
        <f ca="1">tertiair!D20</f>
        <v>1930.5211703881776</v>
      </c>
      <c r="F40" s="983">
        <f>tertiair!E20</f>
        <v>23.849023162390694</v>
      </c>
      <c r="G40" s="983">
        <f ca="1">tertiair!F20</f>
        <v>407.46478796158181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4654.0366187730524</v>
      </c>
    </row>
    <row r="41" spans="1:18">
      <c r="A41" s="789" t="s">
        <v>214</v>
      </c>
      <c r="B41" s="796"/>
      <c r="C41" s="983">
        <f ca="1">huishoudens!B12</f>
        <v>4076.3150832253277</v>
      </c>
      <c r="D41" s="983">
        <f ca="1">huishoudens!C12</f>
        <v>0</v>
      </c>
      <c r="E41" s="983">
        <f>huishoudens!D12</f>
        <v>9055.1902681551019</v>
      </c>
      <c r="F41" s="983">
        <f>huishoudens!E12</f>
        <v>181.38675213961116</v>
      </c>
      <c r="G41" s="983">
        <f>huishoudens!F12</f>
        <v>6730.5008767459867</v>
      </c>
      <c r="H41" s="983">
        <f>huishoudens!G12</f>
        <v>0</v>
      </c>
      <c r="I41" s="983">
        <f>huishoudens!H12</f>
        <v>0</v>
      </c>
      <c r="J41" s="983">
        <f>huishoudens!I12</f>
        <v>0</v>
      </c>
      <c r="K41" s="983">
        <f>huishoudens!J12</f>
        <v>208.09767517529826</v>
      </c>
      <c r="L41" s="983">
        <f>huishoudens!K12</f>
        <v>0</v>
      </c>
      <c r="M41" s="983">
        <f>huishoudens!L12</f>
        <v>0</v>
      </c>
      <c r="N41" s="983">
        <f>huishoudens!M12</f>
        <v>0</v>
      </c>
      <c r="O41" s="983">
        <f>huishoudens!N12</f>
        <v>0</v>
      </c>
      <c r="P41" s="983">
        <f>huishoudens!O12</f>
        <v>0</v>
      </c>
      <c r="Q41" s="741">
        <f>huishoudens!P12</f>
        <v>0</v>
      </c>
      <c r="R41" s="817">
        <f t="shared" ca="1" si="4"/>
        <v>20251.490655441325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400.87504424573206</v>
      </c>
      <c r="D43" s="983">
        <f ca="1">industrie!C22</f>
        <v>0</v>
      </c>
      <c r="E43" s="983">
        <f>industrie!D22</f>
        <v>318.91568422468606</v>
      </c>
      <c r="F43" s="983">
        <f>industrie!E22</f>
        <v>69.232577149589545</v>
      </c>
      <c r="G43" s="983">
        <f>industrie!F22</f>
        <v>389.79870301534231</v>
      </c>
      <c r="H43" s="983">
        <f>industrie!G22</f>
        <v>0</v>
      </c>
      <c r="I43" s="983">
        <f>industrie!H22</f>
        <v>0</v>
      </c>
      <c r="J43" s="983">
        <f>industrie!I22</f>
        <v>0</v>
      </c>
      <c r="K43" s="983">
        <f>industrie!J22</f>
        <v>3.1115457737607395</v>
      </c>
      <c r="L43" s="983">
        <f>industrie!K22</f>
        <v>0</v>
      </c>
      <c r="M43" s="983">
        <f>industrie!L22</f>
        <v>0</v>
      </c>
      <c r="N43" s="983">
        <f>industrie!M22</f>
        <v>0</v>
      </c>
      <c r="O43" s="983">
        <f>industrie!N22</f>
        <v>0</v>
      </c>
      <c r="P43" s="983">
        <f>industrie!O22</f>
        <v>0</v>
      </c>
      <c r="Q43" s="741">
        <f>industrie!P22</f>
        <v>0</v>
      </c>
      <c r="R43" s="816">
        <f t="shared" ca="1" si="4"/>
        <v>1181.9335544091107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6769.3917647319613</v>
      </c>
      <c r="D46" s="699">
        <f t="shared" ref="D46:Q46" ca="1" si="5">SUM(D39:D45)</f>
        <v>0</v>
      </c>
      <c r="E46" s="699">
        <f t="shared" ca="1" si="5"/>
        <v>11304.627122767966</v>
      </c>
      <c r="F46" s="699">
        <f t="shared" si="5"/>
        <v>274.46835245159139</v>
      </c>
      <c r="G46" s="699">
        <f t="shared" ca="1" si="5"/>
        <v>7527.7643677229107</v>
      </c>
      <c r="H46" s="699">
        <f t="shared" si="5"/>
        <v>0</v>
      </c>
      <c r="I46" s="699">
        <f t="shared" si="5"/>
        <v>0</v>
      </c>
      <c r="J46" s="699">
        <f t="shared" si="5"/>
        <v>0</v>
      </c>
      <c r="K46" s="699">
        <f t="shared" si="5"/>
        <v>211.20922094905902</v>
      </c>
      <c r="L46" s="699">
        <f t="shared" si="5"/>
        <v>0</v>
      </c>
      <c r="M46" s="699">
        <f t="shared" ca="1" si="5"/>
        <v>0</v>
      </c>
      <c r="N46" s="699">
        <f t="shared" si="5"/>
        <v>0</v>
      </c>
      <c r="O46" s="699">
        <f t="shared" ca="1" si="5"/>
        <v>0</v>
      </c>
      <c r="P46" s="699">
        <f t="shared" si="5"/>
        <v>0</v>
      </c>
      <c r="Q46" s="699">
        <f t="shared" si="5"/>
        <v>0</v>
      </c>
      <c r="R46" s="699">
        <f ca="1">SUM(R39:R45)</f>
        <v>26087.460828623491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0.54583247505775967</v>
      </c>
      <c r="D49" s="983">
        <f ca="1">transport!C58</f>
        <v>0</v>
      </c>
      <c r="E49" s="983">
        <f>transport!D58</f>
        <v>0</v>
      </c>
      <c r="F49" s="983">
        <f>transport!E58</f>
        <v>0</v>
      </c>
      <c r="G49" s="983">
        <f>transport!F58</f>
        <v>0</v>
      </c>
      <c r="H49" s="983">
        <f>transport!G58</f>
        <v>127.10809182878009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127.65392430383785</v>
      </c>
    </row>
    <row r="50" spans="1:18">
      <c r="A50" s="792" t="s">
        <v>296</v>
      </c>
      <c r="B50" s="802"/>
      <c r="C50" s="670">
        <f ca="1">transport!B18</f>
        <v>1.4925794354513053</v>
      </c>
      <c r="D50" s="670">
        <f>transport!C18</f>
        <v>0</v>
      </c>
      <c r="E50" s="670">
        <f>transport!D18</f>
        <v>2.1721077713213583</v>
      </c>
      <c r="F50" s="670">
        <f>transport!E18</f>
        <v>23.825588416252891</v>
      </c>
      <c r="G50" s="670">
        <f>transport!F18</f>
        <v>0</v>
      </c>
      <c r="H50" s="670">
        <f>transport!G18</f>
        <v>8556.2383523794233</v>
      </c>
      <c r="I50" s="670">
        <f>transport!H18</f>
        <v>1546.7365904841579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10130.465218486606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2.038411910509065</v>
      </c>
      <c r="D52" s="699">
        <f t="shared" ref="D52:Q52" ca="1" si="6">SUM(D48:D51)</f>
        <v>0</v>
      </c>
      <c r="E52" s="699">
        <f t="shared" si="6"/>
        <v>2.1721077713213583</v>
      </c>
      <c r="F52" s="699">
        <f t="shared" si="6"/>
        <v>23.825588416252891</v>
      </c>
      <c r="G52" s="699">
        <f t="shared" si="6"/>
        <v>0</v>
      </c>
      <c r="H52" s="699">
        <f t="shared" si="6"/>
        <v>8683.346444208204</v>
      </c>
      <c r="I52" s="699">
        <f t="shared" si="6"/>
        <v>1546.7365904841579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10258.119142790445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209.44338982846506</v>
      </c>
      <c r="D54" s="670">
        <f ca="1">+landbouw!C12</f>
        <v>7773.0957983193293</v>
      </c>
      <c r="E54" s="670">
        <f>+landbouw!D12</f>
        <v>0</v>
      </c>
      <c r="F54" s="670">
        <f>+landbouw!E12</f>
        <v>2.0269382789680739</v>
      </c>
      <c r="G54" s="670">
        <f>+landbouw!F12</f>
        <v>653.0622641558756</v>
      </c>
      <c r="H54" s="670">
        <f>+landbouw!G12</f>
        <v>0</v>
      </c>
      <c r="I54" s="670">
        <f>+landbouw!H12</f>
        <v>0</v>
      </c>
      <c r="J54" s="670">
        <f>+landbouw!I12</f>
        <v>0</v>
      </c>
      <c r="K54" s="670">
        <f>+landbouw!J12</f>
        <v>52.319945572975364</v>
      </c>
      <c r="L54" s="670">
        <f>+landbouw!K12</f>
        <v>0</v>
      </c>
      <c r="M54" s="670">
        <f>+landbouw!L12</f>
        <v>0</v>
      </c>
      <c r="N54" s="670">
        <f>+landbouw!M12</f>
        <v>0</v>
      </c>
      <c r="O54" s="670">
        <f>+landbouw!N12</f>
        <v>0</v>
      </c>
      <c r="P54" s="670">
        <f>+landbouw!O12</f>
        <v>0</v>
      </c>
      <c r="Q54" s="671">
        <f>+landbouw!P12</f>
        <v>0</v>
      </c>
      <c r="R54" s="698">
        <f ca="1">SUM(C54:Q54)</f>
        <v>8689.948336155614</v>
      </c>
    </row>
    <row r="55" spans="1:18" ht="15" thickBot="1">
      <c r="A55" s="792" t="s">
        <v>829</v>
      </c>
      <c r="B55" s="802"/>
      <c r="C55" s="670">
        <f ca="1">C25*'EF ele_warmte'!B12</f>
        <v>149.62934271494072</v>
      </c>
      <c r="D55" s="670"/>
      <c r="E55" s="670">
        <f>E25*EF_CO2_aardgas</f>
        <v>364.33416341283964</v>
      </c>
      <c r="F55" s="670"/>
      <c r="G55" s="670"/>
      <c r="H55" s="670"/>
      <c r="I55" s="670"/>
      <c r="J55" s="670"/>
      <c r="K55" s="670"/>
      <c r="L55" s="670"/>
      <c r="M55" s="670"/>
      <c r="N55" s="670"/>
      <c r="O55" s="670"/>
      <c r="P55" s="670"/>
      <c r="Q55" s="671"/>
      <c r="R55" s="698">
        <f ca="1">SUM(C55:Q55)</f>
        <v>513.96350612778042</v>
      </c>
    </row>
    <row r="56" spans="1:18" ht="15.75" thickBot="1">
      <c r="A56" s="790" t="s">
        <v>830</v>
      </c>
      <c r="B56" s="803"/>
      <c r="C56" s="699">
        <f ca="1">SUM(C54:C55)</f>
        <v>359.07273254340578</v>
      </c>
      <c r="D56" s="699">
        <f t="shared" ref="D56:Q56" ca="1" si="7">SUM(D54:D55)</f>
        <v>7773.0957983193293</v>
      </c>
      <c r="E56" s="699">
        <f t="shared" si="7"/>
        <v>364.33416341283964</v>
      </c>
      <c r="F56" s="699">
        <f t="shared" si="7"/>
        <v>2.0269382789680739</v>
      </c>
      <c r="G56" s="699">
        <f t="shared" si="7"/>
        <v>653.0622641558756</v>
      </c>
      <c r="H56" s="699">
        <f t="shared" si="7"/>
        <v>0</v>
      </c>
      <c r="I56" s="699">
        <f t="shared" si="7"/>
        <v>0</v>
      </c>
      <c r="J56" s="699">
        <f t="shared" si="7"/>
        <v>0</v>
      </c>
      <c r="K56" s="699">
        <f t="shared" si="7"/>
        <v>52.319945572975364</v>
      </c>
      <c r="L56" s="699">
        <f t="shared" si="7"/>
        <v>0</v>
      </c>
      <c r="M56" s="699">
        <f t="shared" si="7"/>
        <v>0</v>
      </c>
      <c r="N56" s="699">
        <f t="shared" si="7"/>
        <v>0</v>
      </c>
      <c r="O56" s="699">
        <f t="shared" si="7"/>
        <v>0</v>
      </c>
      <c r="P56" s="699">
        <f t="shared" si="7"/>
        <v>0</v>
      </c>
      <c r="Q56" s="700">
        <f t="shared" si="7"/>
        <v>0</v>
      </c>
      <c r="R56" s="701">
        <f ca="1">SUM(R54:R55)</f>
        <v>9203.9118422833944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7130.502909185876</v>
      </c>
      <c r="D61" s="707">
        <f t="shared" ref="D61:Q61" ca="1" si="8">D46+D52+D56</f>
        <v>7773.0957983193293</v>
      </c>
      <c r="E61" s="707">
        <f t="shared" ca="1" si="8"/>
        <v>11671.133393952126</v>
      </c>
      <c r="F61" s="707">
        <f t="shared" si="8"/>
        <v>300.32087914681239</v>
      </c>
      <c r="G61" s="707">
        <f t="shared" ca="1" si="8"/>
        <v>8180.8266318787864</v>
      </c>
      <c r="H61" s="707">
        <f t="shared" si="8"/>
        <v>8683.346444208204</v>
      </c>
      <c r="I61" s="707">
        <f t="shared" si="8"/>
        <v>1546.7365904841579</v>
      </c>
      <c r="J61" s="707">
        <f t="shared" si="8"/>
        <v>0</v>
      </c>
      <c r="K61" s="707">
        <f t="shared" si="8"/>
        <v>263.52916652203436</v>
      </c>
      <c r="L61" s="707">
        <f t="shared" si="8"/>
        <v>0</v>
      </c>
      <c r="M61" s="707">
        <f t="shared" ca="1" si="8"/>
        <v>0</v>
      </c>
      <c r="N61" s="707">
        <f t="shared" si="8"/>
        <v>0</v>
      </c>
      <c r="O61" s="707">
        <f t="shared" ca="1" si="8"/>
        <v>0</v>
      </c>
      <c r="P61" s="707">
        <f t="shared" si="8"/>
        <v>0</v>
      </c>
      <c r="Q61" s="707">
        <f t="shared" si="8"/>
        <v>0</v>
      </c>
      <c r="R61" s="707">
        <f ca="1">R46+R52+R56</f>
        <v>45549.491813697328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0.21725831480239502</v>
      </c>
      <c r="D63" s="748">
        <f t="shared" ca="1" si="9"/>
        <v>0.23764705882352943</v>
      </c>
      <c r="E63" s="994">
        <f t="shared" ca="1" si="9"/>
        <v>0.20199999999999999</v>
      </c>
      <c r="F63" s="748">
        <f t="shared" si="9"/>
        <v>0.22700000000000004</v>
      </c>
      <c r="G63" s="748">
        <f t="shared" ca="1" si="9"/>
        <v>0.26700000000000002</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2280.3376977491043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22896</v>
      </c>
      <c r="D76" s="1004">
        <f>'lokale energieproductie'!C8</f>
        <v>26936.470588235297</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5441.1670588235302</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2280.3376977491043</v>
      </c>
      <c r="C78" s="722">
        <f>SUM(C72:C77)</f>
        <v>22896</v>
      </c>
      <c r="D78" s="723">
        <f t="shared" ref="D78:H78" si="10">SUM(D76:D77)</f>
        <v>26936.470588235297</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5441.1670588235302</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32708.571428571431</v>
      </c>
      <c r="D87" s="744">
        <f>'lokale energieproductie'!C17</f>
        <v>38480.672268907569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7773.0957983193293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32708.571428571431</v>
      </c>
      <c r="D90" s="722">
        <f t="shared" ref="D90:H90" si="12">SUM(D87:D89)</f>
        <v>38480.672268907569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7773.0957983193293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18762.527394787616</v>
      </c>
      <c r="C4" s="444">
        <f>huishoudens!C8</f>
        <v>0</v>
      </c>
      <c r="D4" s="444">
        <f>huishoudens!D8</f>
        <v>44827.674594827236</v>
      </c>
      <c r="E4" s="444">
        <f>huishoudens!E8</f>
        <v>799.06058211282448</v>
      </c>
      <c r="F4" s="444">
        <f>huishoudens!F8</f>
        <v>25207.86845223216</v>
      </c>
      <c r="G4" s="444">
        <f>huishoudens!G8</f>
        <v>0</v>
      </c>
      <c r="H4" s="444">
        <f>huishoudens!H8</f>
        <v>0</v>
      </c>
      <c r="I4" s="444">
        <f>huishoudens!I8</f>
        <v>0</v>
      </c>
      <c r="J4" s="444">
        <f>huishoudens!J8</f>
        <v>587.84654004321544</v>
      </c>
      <c r="K4" s="444">
        <f>huishoudens!K8</f>
        <v>0</v>
      </c>
      <c r="L4" s="444">
        <f>huishoudens!L8</f>
        <v>0</v>
      </c>
      <c r="M4" s="444">
        <f>huishoudens!M8</f>
        <v>0</v>
      </c>
      <c r="N4" s="444">
        <f>huishoudens!N8</f>
        <v>5135.4318987736942</v>
      </c>
      <c r="O4" s="444">
        <f>huishoudens!O8</f>
        <v>146.95333333333335</v>
      </c>
      <c r="P4" s="445">
        <f>huishoudens!P8</f>
        <v>381.33333333333337</v>
      </c>
      <c r="Q4" s="446">
        <f>SUM(B4:P4)</f>
        <v>95848.696129443415</v>
      </c>
    </row>
    <row r="5" spans="1:17">
      <c r="A5" s="443" t="s">
        <v>149</v>
      </c>
      <c r="B5" s="444">
        <f ca="1">tertiair!B16</f>
        <v>9938.9438699999992</v>
      </c>
      <c r="C5" s="444">
        <f ca="1">tertiair!C16</f>
        <v>0</v>
      </c>
      <c r="D5" s="444">
        <f ca="1">tertiair!D16</f>
        <v>9557.0354969711752</v>
      </c>
      <c r="E5" s="444">
        <f>tertiair!E16</f>
        <v>105.06177604577398</v>
      </c>
      <c r="F5" s="444">
        <f ca="1">tertiair!F16</f>
        <v>1526.0853481707184</v>
      </c>
      <c r="G5" s="444">
        <f>tertiair!G16</f>
        <v>0</v>
      </c>
      <c r="H5" s="444">
        <f>tertiair!H16</f>
        <v>0</v>
      </c>
      <c r="I5" s="444">
        <f>tertiair!I16</f>
        <v>0</v>
      </c>
      <c r="J5" s="444">
        <f>tertiair!J16</f>
        <v>0</v>
      </c>
      <c r="K5" s="444">
        <f>tertiair!K16</f>
        <v>0</v>
      </c>
      <c r="L5" s="444">
        <f ca="1">tertiair!L16</f>
        <v>0</v>
      </c>
      <c r="M5" s="444">
        <f>tertiair!M16</f>
        <v>0</v>
      </c>
      <c r="N5" s="444">
        <f ca="1">tertiair!N16</f>
        <v>1328.5711360995767</v>
      </c>
      <c r="O5" s="444">
        <f>tertiair!O16</f>
        <v>0</v>
      </c>
      <c r="P5" s="445">
        <f>tertiair!P16</f>
        <v>0</v>
      </c>
      <c r="Q5" s="443">
        <f t="shared" ref="Q5:Q14" ca="1" si="0">SUM(B5:P5)</f>
        <v>22455.697627287245</v>
      </c>
    </row>
    <row r="6" spans="1:17">
      <c r="A6" s="443" t="s">
        <v>187</v>
      </c>
      <c r="B6" s="444">
        <f>'openbare verlichting'!B8</f>
        <v>611.63800000000003</v>
      </c>
      <c r="C6" s="444"/>
      <c r="D6" s="444"/>
      <c r="E6" s="444"/>
      <c r="F6" s="444"/>
      <c r="G6" s="444"/>
      <c r="H6" s="444"/>
      <c r="I6" s="444"/>
      <c r="J6" s="444"/>
      <c r="K6" s="444"/>
      <c r="L6" s="444"/>
      <c r="M6" s="444"/>
      <c r="N6" s="444"/>
      <c r="O6" s="444"/>
      <c r="P6" s="445"/>
      <c r="Q6" s="443">
        <f t="shared" si="0"/>
        <v>611.63800000000003</v>
      </c>
    </row>
    <row r="7" spans="1:17">
      <c r="A7" s="443" t="s">
        <v>105</v>
      </c>
      <c r="B7" s="444">
        <f>landbouw!B8</f>
        <v>964.02933999999993</v>
      </c>
      <c r="C7" s="444">
        <f>landbouw!C8</f>
        <v>32708.571428571431</v>
      </c>
      <c r="D7" s="444">
        <f>landbouw!D8</f>
        <v>0</v>
      </c>
      <c r="E7" s="444">
        <f>landbouw!E8</f>
        <v>8.9292435196831441</v>
      </c>
      <c r="F7" s="444">
        <f>landbouw!F8</f>
        <v>2445.9260829808072</v>
      </c>
      <c r="G7" s="444">
        <f>landbouw!G8</f>
        <v>0</v>
      </c>
      <c r="H7" s="444">
        <f>landbouw!H8</f>
        <v>0</v>
      </c>
      <c r="I7" s="444">
        <f>landbouw!I8</f>
        <v>0</v>
      </c>
      <c r="J7" s="444">
        <f>landbouw!J8</f>
        <v>147.79645642083437</v>
      </c>
      <c r="K7" s="444">
        <f>landbouw!K8</f>
        <v>0</v>
      </c>
      <c r="L7" s="444">
        <f>landbouw!L8</f>
        <v>0</v>
      </c>
      <c r="M7" s="444">
        <f>landbouw!M8</f>
        <v>0</v>
      </c>
      <c r="N7" s="444">
        <f>landbouw!N8</f>
        <v>0</v>
      </c>
      <c r="O7" s="444">
        <f>landbouw!O8</f>
        <v>0</v>
      </c>
      <c r="P7" s="445">
        <f>landbouw!P8</f>
        <v>0</v>
      </c>
      <c r="Q7" s="443">
        <f t="shared" si="0"/>
        <v>36275.252551492755</v>
      </c>
    </row>
    <row r="8" spans="1:17">
      <c r="A8" s="443" t="s">
        <v>637</v>
      </c>
      <c r="B8" s="444">
        <f>industrie!B18</f>
        <v>1845.15398</v>
      </c>
      <c r="C8" s="444">
        <f>industrie!C18</f>
        <v>0</v>
      </c>
      <c r="D8" s="444">
        <f>industrie!D18</f>
        <v>1578.7905159637924</v>
      </c>
      <c r="E8" s="444">
        <f>industrie!E18</f>
        <v>304.98932665017418</v>
      </c>
      <c r="F8" s="444">
        <f>industrie!F18</f>
        <v>1459.920236012518</v>
      </c>
      <c r="G8" s="444">
        <f>industrie!G18</f>
        <v>0</v>
      </c>
      <c r="H8" s="444">
        <f>industrie!H18</f>
        <v>0</v>
      </c>
      <c r="I8" s="444">
        <f>industrie!I18</f>
        <v>0</v>
      </c>
      <c r="J8" s="444">
        <f>industrie!J18</f>
        <v>8.7896773270077393</v>
      </c>
      <c r="K8" s="444">
        <f>industrie!K18</f>
        <v>0</v>
      </c>
      <c r="L8" s="444">
        <f>industrie!L18</f>
        <v>0</v>
      </c>
      <c r="M8" s="444">
        <f>industrie!M18</f>
        <v>0</v>
      </c>
      <c r="N8" s="444">
        <f>industrie!N18</f>
        <v>258.23971102027309</v>
      </c>
      <c r="O8" s="444">
        <f>industrie!O18</f>
        <v>0</v>
      </c>
      <c r="P8" s="445">
        <f>industrie!P18</f>
        <v>0</v>
      </c>
      <c r="Q8" s="443">
        <f t="shared" si="0"/>
        <v>5455.8834469737649</v>
      </c>
    </row>
    <row r="9" spans="1:17" s="449" customFormat="1">
      <c r="A9" s="447" t="s">
        <v>558</v>
      </c>
      <c r="B9" s="448">
        <f>transport!B14</f>
        <v>6.8700681804002084</v>
      </c>
      <c r="C9" s="448">
        <f>transport!C14</f>
        <v>0</v>
      </c>
      <c r="D9" s="448">
        <f>transport!D14</f>
        <v>10.753008768917615</v>
      </c>
      <c r="E9" s="448">
        <f>transport!E14</f>
        <v>104.95853927864709</v>
      </c>
      <c r="F9" s="448">
        <f>transport!F14</f>
        <v>0</v>
      </c>
      <c r="G9" s="448">
        <f>transport!G14</f>
        <v>32045.836525765626</v>
      </c>
      <c r="H9" s="448">
        <f>transport!H14</f>
        <v>6211.7935360809552</v>
      </c>
      <c r="I9" s="448">
        <f>transport!I14</f>
        <v>0</v>
      </c>
      <c r="J9" s="448">
        <f>transport!J14</f>
        <v>0</v>
      </c>
      <c r="K9" s="448">
        <f>transport!K14</f>
        <v>0</v>
      </c>
      <c r="L9" s="448">
        <f>transport!L14</f>
        <v>0</v>
      </c>
      <c r="M9" s="448">
        <f>transport!M14</f>
        <v>2047.4038236293134</v>
      </c>
      <c r="N9" s="448">
        <f>transport!N14</f>
        <v>0</v>
      </c>
      <c r="O9" s="448">
        <f>transport!O14</f>
        <v>0</v>
      </c>
      <c r="P9" s="448">
        <f>transport!P14</f>
        <v>0</v>
      </c>
      <c r="Q9" s="447">
        <f>SUM(B9:P9)</f>
        <v>40427.615501703862</v>
      </c>
    </row>
    <row r="10" spans="1:17">
      <c r="A10" s="443" t="s">
        <v>548</v>
      </c>
      <c r="B10" s="444">
        <f>transport!B54</f>
        <v>2.5123663301642374</v>
      </c>
      <c r="C10" s="444">
        <f>transport!C54</f>
        <v>0</v>
      </c>
      <c r="D10" s="444">
        <f>transport!D54</f>
        <v>0</v>
      </c>
      <c r="E10" s="444">
        <f>transport!E54</f>
        <v>0</v>
      </c>
      <c r="F10" s="444">
        <f>transport!F54</f>
        <v>0</v>
      </c>
      <c r="G10" s="444">
        <f>transport!G54</f>
        <v>476.06026902164825</v>
      </c>
      <c r="H10" s="444">
        <f>transport!H54</f>
        <v>0</v>
      </c>
      <c r="I10" s="444">
        <f>transport!I54</f>
        <v>0</v>
      </c>
      <c r="J10" s="444">
        <f>transport!J54</f>
        <v>0</v>
      </c>
      <c r="K10" s="444">
        <f>transport!K54</f>
        <v>0</v>
      </c>
      <c r="L10" s="444">
        <f>transport!L54</f>
        <v>0</v>
      </c>
      <c r="M10" s="444">
        <f>transport!M54</f>
        <v>27.405854714122469</v>
      </c>
      <c r="N10" s="444">
        <f>transport!N54</f>
        <v>0</v>
      </c>
      <c r="O10" s="444">
        <f>transport!O54</f>
        <v>0</v>
      </c>
      <c r="P10" s="445">
        <f>transport!P54</f>
        <v>0</v>
      </c>
      <c r="Q10" s="443">
        <f t="shared" si="0"/>
        <v>505.97849006593498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688.71630000000005</v>
      </c>
      <c r="C14" s="451"/>
      <c r="D14" s="451">
        <f>'SEAP template'!E25</f>
        <v>1803.6344723407901</v>
      </c>
      <c r="E14" s="451"/>
      <c r="F14" s="451"/>
      <c r="G14" s="451"/>
      <c r="H14" s="451"/>
      <c r="I14" s="451"/>
      <c r="J14" s="451"/>
      <c r="K14" s="451"/>
      <c r="L14" s="451"/>
      <c r="M14" s="451"/>
      <c r="N14" s="451"/>
      <c r="O14" s="451"/>
      <c r="P14" s="452"/>
      <c r="Q14" s="443">
        <f t="shared" si="0"/>
        <v>2492.3507723407902</v>
      </c>
    </row>
    <row r="15" spans="1:17" s="453" customFormat="1">
      <c r="A15" s="1009" t="s">
        <v>552</v>
      </c>
      <c r="B15" s="949">
        <f ca="1">SUM(B4:B14)</f>
        <v>32820.391319298178</v>
      </c>
      <c r="C15" s="949">
        <f t="shared" ref="C15:Q15" ca="1" si="1">SUM(C4:C14)</f>
        <v>32708.571428571431</v>
      </c>
      <c r="D15" s="949">
        <f t="shared" ca="1" si="1"/>
        <v>57777.888088871914</v>
      </c>
      <c r="E15" s="949">
        <f t="shared" si="1"/>
        <v>1322.9994676071028</v>
      </c>
      <c r="F15" s="949">
        <f t="shared" ca="1" si="1"/>
        <v>30639.800119396205</v>
      </c>
      <c r="G15" s="949">
        <f t="shared" si="1"/>
        <v>32521.896794787273</v>
      </c>
      <c r="H15" s="949">
        <f t="shared" si="1"/>
        <v>6211.7935360809552</v>
      </c>
      <c r="I15" s="949">
        <f t="shared" si="1"/>
        <v>0</v>
      </c>
      <c r="J15" s="949">
        <f t="shared" si="1"/>
        <v>744.4326737910576</v>
      </c>
      <c r="K15" s="949">
        <f t="shared" si="1"/>
        <v>0</v>
      </c>
      <c r="L15" s="949">
        <f t="shared" ca="1" si="1"/>
        <v>0</v>
      </c>
      <c r="M15" s="949">
        <f t="shared" si="1"/>
        <v>2074.8096783434357</v>
      </c>
      <c r="N15" s="949">
        <f t="shared" ca="1" si="1"/>
        <v>6722.2427458935435</v>
      </c>
      <c r="O15" s="949">
        <f t="shared" si="1"/>
        <v>146.95333333333335</v>
      </c>
      <c r="P15" s="949">
        <f t="shared" si="1"/>
        <v>381.33333333333337</v>
      </c>
      <c r="Q15" s="949">
        <f t="shared" ca="1" si="1"/>
        <v>204073.11251930776</v>
      </c>
    </row>
    <row r="17" spans="1:17">
      <c r="A17" s="454" t="s">
        <v>553</v>
      </c>
      <c r="B17" s="753">
        <f ca="1">huishoudens!B10</f>
        <v>0.21725831480239499</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4076.3150832253277</v>
      </c>
      <c r="C22" s="444">
        <f t="shared" ref="C22:C32" ca="1" si="3">C4*$C$17</f>
        <v>0</v>
      </c>
      <c r="D22" s="444">
        <f t="shared" ref="D22:D32" si="4">D4*$D$17</f>
        <v>9055.1902681551019</v>
      </c>
      <c r="E22" s="444">
        <f t="shared" ref="E22:E32" si="5">E4*$E$17</f>
        <v>181.38675213961116</v>
      </c>
      <c r="F22" s="444">
        <f t="shared" ref="F22:F32" si="6">F4*$F$17</f>
        <v>6730.5008767459867</v>
      </c>
      <c r="G22" s="444">
        <f t="shared" ref="G22:G32" si="7">G4*$G$17</f>
        <v>0</v>
      </c>
      <c r="H22" s="444">
        <f t="shared" ref="H22:H32" si="8">H4*$H$17</f>
        <v>0</v>
      </c>
      <c r="I22" s="444">
        <f t="shared" ref="I22:I32" si="9">I4*$I$17</f>
        <v>0</v>
      </c>
      <c r="J22" s="444">
        <f t="shared" ref="J22:J32" si="10">J4*$J$17</f>
        <v>208.09767517529826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20251.490655441325</v>
      </c>
    </row>
    <row r="23" spans="1:17">
      <c r="A23" s="443" t="s">
        <v>149</v>
      </c>
      <c r="B23" s="444">
        <f t="shared" ca="1" si="2"/>
        <v>2159.3181961117939</v>
      </c>
      <c r="C23" s="444">
        <f t="shared" ca="1" si="3"/>
        <v>0</v>
      </c>
      <c r="D23" s="444">
        <f t="shared" ca="1" si="4"/>
        <v>1930.5211703881776</v>
      </c>
      <c r="E23" s="444">
        <f t="shared" si="5"/>
        <v>23.849023162390694</v>
      </c>
      <c r="F23" s="444">
        <f t="shared" ca="1" si="6"/>
        <v>407.46478796158181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4521.1531776239444</v>
      </c>
    </row>
    <row r="24" spans="1:17">
      <c r="A24" s="443" t="s">
        <v>187</v>
      </c>
      <c r="B24" s="444">
        <f t="shared" ca="1" si="2"/>
        <v>132.88344114910728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132.88344114910728</v>
      </c>
    </row>
    <row r="25" spans="1:17">
      <c r="A25" s="443" t="s">
        <v>105</v>
      </c>
      <c r="B25" s="444">
        <f t="shared" ca="1" si="2"/>
        <v>209.44338982846506</v>
      </c>
      <c r="C25" s="444">
        <f t="shared" ca="1" si="3"/>
        <v>7773.0957983193293</v>
      </c>
      <c r="D25" s="444">
        <f t="shared" si="4"/>
        <v>0</v>
      </c>
      <c r="E25" s="444">
        <f t="shared" si="5"/>
        <v>2.0269382789680739</v>
      </c>
      <c r="F25" s="444">
        <f t="shared" si="6"/>
        <v>653.0622641558756</v>
      </c>
      <c r="G25" s="444">
        <f t="shared" si="7"/>
        <v>0</v>
      </c>
      <c r="H25" s="444">
        <f t="shared" si="8"/>
        <v>0</v>
      </c>
      <c r="I25" s="444">
        <f t="shared" si="9"/>
        <v>0</v>
      </c>
      <c r="J25" s="444">
        <f t="shared" si="10"/>
        <v>52.319945572975364</v>
      </c>
      <c r="K25" s="444">
        <f t="shared" si="11"/>
        <v>0</v>
      </c>
      <c r="L25" s="444">
        <f t="shared" si="12"/>
        <v>0</v>
      </c>
      <c r="M25" s="444">
        <f t="shared" si="13"/>
        <v>0</v>
      </c>
      <c r="N25" s="444">
        <f t="shared" si="14"/>
        <v>0</v>
      </c>
      <c r="O25" s="444">
        <f t="shared" si="15"/>
        <v>0</v>
      </c>
      <c r="P25" s="445">
        <f t="shared" si="16"/>
        <v>0</v>
      </c>
      <c r="Q25" s="443">
        <f t="shared" ca="1" si="17"/>
        <v>8689.948336155614</v>
      </c>
    </row>
    <row r="26" spans="1:17">
      <c r="A26" s="443" t="s">
        <v>637</v>
      </c>
      <c r="B26" s="444">
        <f t="shared" ca="1" si="2"/>
        <v>400.87504424573206</v>
      </c>
      <c r="C26" s="444">
        <f t="shared" ca="1" si="3"/>
        <v>0</v>
      </c>
      <c r="D26" s="444">
        <f t="shared" si="4"/>
        <v>318.91568422468606</v>
      </c>
      <c r="E26" s="444">
        <f t="shared" si="5"/>
        <v>69.232577149589545</v>
      </c>
      <c r="F26" s="444">
        <f t="shared" si="6"/>
        <v>389.79870301534231</v>
      </c>
      <c r="G26" s="444">
        <f t="shared" si="7"/>
        <v>0</v>
      </c>
      <c r="H26" s="444">
        <f t="shared" si="8"/>
        <v>0</v>
      </c>
      <c r="I26" s="444">
        <f t="shared" si="9"/>
        <v>0</v>
      </c>
      <c r="J26" s="444">
        <f t="shared" si="10"/>
        <v>3.1115457737607395</v>
      </c>
      <c r="K26" s="444">
        <f t="shared" si="11"/>
        <v>0</v>
      </c>
      <c r="L26" s="444">
        <f t="shared" si="12"/>
        <v>0</v>
      </c>
      <c r="M26" s="444">
        <f t="shared" si="13"/>
        <v>0</v>
      </c>
      <c r="N26" s="444">
        <f t="shared" si="14"/>
        <v>0</v>
      </c>
      <c r="O26" s="444">
        <f t="shared" si="15"/>
        <v>0</v>
      </c>
      <c r="P26" s="445">
        <f t="shared" si="16"/>
        <v>0</v>
      </c>
      <c r="Q26" s="443">
        <f t="shared" ca="1" si="17"/>
        <v>1181.9335544091107</v>
      </c>
    </row>
    <row r="27" spans="1:17" s="449" customFormat="1">
      <c r="A27" s="447" t="s">
        <v>558</v>
      </c>
      <c r="B27" s="747">
        <f t="shared" ca="1" si="2"/>
        <v>1.4925794354513053</v>
      </c>
      <c r="C27" s="448">
        <f t="shared" ca="1" si="3"/>
        <v>0</v>
      </c>
      <c r="D27" s="448">
        <f t="shared" si="4"/>
        <v>2.1721077713213583</v>
      </c>
      <c r="E27" s="448">
        <f t="shared" si="5"/>
        <v>23.825588416252891</v>
      </c>
      <c r="F27" s="448">
        <f t="shared" si="6"/>
        <v>0</v>
      </c>
      <c r="G27" s="448">
        <f t="shared" si="7"/>
        <v>8556.2383523794233</v>
      </c>
      <c r="H27" s="448">
        <f t="shared" si="8"/>
        <v>1546.7365904841579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10130.465218486606</v>
      </c>
    </row>
    <row r="28" spans="1:17">
      <c r="A28" s="443" t="s">
        <v>548</v>
      </c>
      <c r="B28" s="444">
        <f t="shared" ca="1" si="2"/>
        <v>0.54583247505775967</v>
      </c>
      <c r="C28" s="444">
        <f t="shared" ca="1" si="3"/>
        <v>0</v>
      </c>
      <c r="D28" s="444">
        <f t="shared" si="4"/>
        <v>0</v>
      </c>
      <c r="E28" s="444">
        <f t="shared" si="5"/>
        <v>0</v>
      </c>
      <c r="F28" s="444">
        <f t="shared" si="6"/>
        <v>0</v>
      </c>
      <c r="G28" s="444">
        <f t="shared" si="7"/>
        <v>127.10809182878009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127.65392430383785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149.62934271494072</v>
      </c>
      <c r="C32" s="444">
        <f t="shared" ca="1" si="3"/>
        <v>0</v>
      </c>
      <c r="D32" s="444">
        <f t="shared" si="4"/>
        <v>364.33416341283964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513.96350612778042</v>
      </c>
    </row>
    <row r="33" spans="1:17" s="453" customFormat="1">
      <c r="A33" s="1009" t="s">
        <v>552</v>
      </c>
      <c r="B33" s="949">
        <f ca="1">SUM(B22:B32)</f>
        <v>7130.502909185876</v>
      </c>
      <c r="C33" s="949">
        <f t="shared" ref="C33:Q33" ca="1" si="18">SUM(C22:C32)</f>
        <v>7773.0957983193293</v>
      </c>
      <c r="D33" s="949">
        <f t="shared" ca="1" si="18"/>
        <v>11671.133393952126</v>
      </c>
      <c r="E33" s="949">
        <f t="shared" si="18"/>
        <v>300.32087914681239</v>
      </c>
      <c r="F33" s="949">
        <f t="shared" ca="1" si="18"/>
        <v>8180.8266318787864</v>
      </c>
      <c r="G33" s="949">
        <f t="shared" si="18"/>
        <v>8683.346444208204</v>
      </c>
      <c r="H33" s="949">
        <f t="shared" si="18"/>
        <v>1546.7365904841579</v>
      </c>
      <c r="I33" s="949">
        <f t="shared" si="18"/>
        <v>0</v>
      </c>
      <c r="J33" s="949">
        <f t="shared" si="18"/>
        <v>263.52916652203436</v>
      </c>
      <c r="K33" s="949">
        <f t="shared" si="18"/>
        <v>0</v>
      </c>
      <c r="L33" s="949">
        <f t="shared" ca="1" si="18"/>
        <v>0</v>
      </c>
      <c r="M33" s="949">
        <f t="shared" si="18"/>
        <v>0</v>
      </c>
      <c r="N33" s="949">
        <f t="shared" ca="1" si="18"/>
        <v>0</v>
      </c>
      <c r="O33" s="949">
        <f t="shared" si="18"/>
        <v>0</v>
      </c>
      <c r="P33" s="949">
        <f t="shared" si="18"/>
        <v>0</v>
      </c>
      <c r="Q33" s="949">
        <f t="shared" ca="1" si="18"/>
        <v>45549.491813697321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2280.3376977491043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22896</v>
      </c>
      <c r="D8" s="1026">
        <f>'SEAP template'!D76</f>
        <v>26936.470588235297</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5441.1670588235302</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2280.3376977491043</v>
      </c>
      <c r="C10" s="1030">
        <f>SUM(C4:C9)</f>
        <v>22896</v>
      </c>
      <c r="D10" s="1030">
        <f t="shared" ref="D10:H10" si="0">SUM(D8:D9)</f>
        <v>26936.470588235297</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5441.1670588235302</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0.21725831480239499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32708.571428571431</v>
      </c>
      <c r="D17" s="1027">
        <f>'SEAP template'!D87</f>
        <v>38480.672268907569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7773.0957983193293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32708.571428571431</v>
      </c>
      <c r="D20" s="1030">
        <f t="shared" ref="D20:H20" si="2">SUM(D17:D19)</f>
        <v>38480.672268907569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7773.0957983193293</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0.21725831480239499</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0.21725831480239499</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0.21725831480239499</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4525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1289</v>
      </c>
      <c r="C14" s="324"/>
      <c r="D14" s="324"/>
      <c r="E14" s="324"/>
      <c r="F14" s="324"/>
    </row>
    <row r="15" spans="1:6">
      <c r="A15" s="1302" t="s">
        <v>177</v>
      </c>
      <c r="B15" s="1303">
        <v>15</v>
      </c>
      <c r="C15" s="324"/>
      <c r="D15" s="324"/>
      <c r="E15" s="324"/>
      <c r="F15" s="324"/>
    </row>
    <row r="16" spans="1:6">
      <c r="A16" s="1302" t="s">
        <v>6</v>
      </c>
      <c r="B16" s="1303">
        <v>605</v>
      </c>
      <c r="C16" s="324"/>
      <c r="D16" s="324"/>
      <c r="E16" s="324"/>
      <c r="F16" s="324"/>
    </row>
    <row r="17" spans="1:6">
      <c r="A17" s="1302" t="s">
        <v>7</v>
      </c>
      <c r="B17" s="1303">
        <v>77</v>
      </c>
      <c r="C17" s="324"/>
      <c r="D17" s="324"/>
      <c r="E17" s="324"/>
      <c r="F17" s="324"/>
    </row>
    <row r="18" spans="1:6">
      <c r="A18" s="1302" t="s">
        <v>8</v>
      </c>
      <c r="B18" s="1303">
        <v>388</v>
      </c>
      <c r="C18" s="324"/>
      <c r="D18" s="324"/>
      <c r="E18" s="324"/>
      <c r="F18" s="324"/>
    </row>
    <row r="19" spans="1:6">
      <c r="A19" s="1302" t="s">
        <v>9</v>
      </c>
      <c r="B19" s="1303">
        <v>401</v>
      </c>
      <c r="C19" s="324"/>
      <c r="D19" s="324"/>
      <c r="E19" s="324"/>
      <c r="F19" s="324"/>
    </row>
    <row r="20" spans="1:6">
      <c r="A20" s="1302" t="s">
        <v>10</v>
      </c>
      <c r="B20" s="1303">
        <v>208</v>
      </c>
      <c r="C20" s="324"/>
      <c r="D20" s="324"/>
      <c r="E20" s="324"/>
      <c r="F20" s="324"/>
    </row>
    <row r="21" spans="1:6">
      <c r="A21" s="1302" t="s">
        <v>11</v>
      </c>
      <c r="B21" s="1303">
        <v>649</v>
      </c>
      <c r="C21" s="324"/>
      <c r="D21" s="324"/>
      <c r="E21" s="324"/>
      <c r="F21" s="324"/>
    </row>
    <row r="22" spans="1:6">
      <c r="A22" s="1302" t="s">
        <v>12</v>
      </c>
      <c r="B22" s="1303">
        <v>2229</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441</v>
      </c>
      <c r="C26" s="324"/>
      <c r="D26" s="324"/>
      <c r="E26" s="324"/>
      <c r="F26" s="324"/>
    </row>
    <row r="27" spans="1:6">
      <c r="A27" s="1302" t="s">
        <v>17</v>
      </c>
      <c r="B27" s="1303">
        <v>2</v>
      </c>
      <c r="C27" s="324"/>
      <c r="D27" s="324"/>
      <c r="E27" s="324"/>
      <c r="F27" s="324"/>
    </row>
    <row r="28" spans="1:6">
      <c r="A28" s="1302" t="s">
        <v>18</v>
      </c>
      <c r="B28" s="1304">
        <v>0</v>
      </c>
      <c r="C28" s="324"/>
      <c r="D28" s="324"/>
      <c r="E28" s="324"/>
      <c r="F28" s="324"/>
    </row>
    <row r="29" spans="1:6">
      <c r="A29" s="1302" t="s">
        <v>918</v>
      </c>
      <c r="B29" s="1304">
        <v>108</v>
      </c>
      <c r="C29" s="324"/>
      <c r="D29" s="324"/>
      <c r="E29" s="324"/>
      <c r="F29" s="324"/>
    </row>
    <row r="30" spans="1:6">
      <c r="A30" s="1297" t="s">
        <v>919</v>
      </c>
      <c r="B30" s="1305">
        <v>34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3071</v>
      </c>
      <c r="D39" s="1303">
        <v>49698087.133954801</v>
      </c>
      <c r="E39" s="1303">
        <v>4449</v>
      </c>
      <c r="F39" s="1303">
        <v>16960012</v>
      </c>
    </row>
    <row r="40" spans="1:6">
      <c r="A40" s="1302" t="s">
        <v>29</v>
      </c>
      <c r="B40" s="1302" t="s">
        <v>28</v>
      </c>
      <c r="C40" s="1303">
        <v>0</v>
      </c>
      <c r="D40" s="1303">
        <v>0</v>
      </c>
      <c r="E40" s="1303">
        <v>0</v>
      </c>
      <c r="F40" s="1303">
        <v>0</v>
      </c>
    </row>
    <row r="41" spans="1:6">
      <c r="A41" s="1302" t="s">
        <v>31</v>
      </c>
      <c r="B41" s="1302" t="s">
        <v>32</v>
      </c>
      <c r="C41" s="1303">
        <v>22</v>
      </c>
      <c r="D41" s="1303">
        <v>781758.31932751904</v>
      </c>
      <c r="E41" s="1303">
        <v>78</v>
      </c>
      <c r="F41" s="1303">
        <v>1002837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80276.28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21</v>
      </c>
      <c r="D48" s="1303">
        <v>471574.66157303803</v>
      </c>
      <c r="E48" s="1303">
        <v>25</v>
      </c>
      <c r="F48" s="1303">
        <v>478694.8</v>
      </c>
    </row>
    <row r="49" spans="1:6">
      <c r="A49" s="1302" t="s">
        <v>31</v>
      </c>
      <c r="B49" s="1302" t="s">
        <v>39</v>
      </c>
      <c r="C49" s="1303">
        <v>0</v>
      </c>
      <c r="D49" s="1303">
        <v>0</v>
      </c>
      <c r="E49" s="1303">
        <v>0</v>
      </c>
      <c r="F49" s="1303">
        <v>0</v>
      </c>
    </row>
    <row r="50" spans="1:6">
      <c r="A50" s="1302" t="s">
        <v>31</v>
      </c>
      <c r="B50" s="1302" t="s">
        <v>40</v>
      </c>
      <c r="C50" s="1303">
        <v>4</v>
      </c>
      <c r="D50" s="1303">
        <v>496989.09888191801</v>
      </c>
      <c r="E50" s="1303">
        <v>9</v>
      </c>
      <c r="F50" s="1303">
        <v>283345.90000000002</v>
      </c>
    </row>
    <row r="51" spans="1:6">
      <c r="A51" s="1302" t="s">
        <v>41</v>
      </c>
      <c r="B51" s="1302" t="s">
        <v>42</v>
      </c>
      <c r="C51" s="1303">
        <v>5</v>
      </c>
      <c r="D51" s="1303">
        <v>68200120.253700003</v>
      </c>
      <c r="E51" s="1303">
        <v>41</v>
      </c>
      <c r="F51" s="1303">
        <v>945198</v>
      </c>
    </row>
    <row r="52" spans="1:6">
      <c r="A52" s="1302" t="s">
        <v>41</v>
      </c>
      <c r="B52" s="1302" t="s">
        <v>28</v>
      </c>
      <c r="C52" s="1303">
        <v>3</v>
      </c>
      <c r="D52" s="1303">
        <v>71576.114718459197</v>
      </c>
      <c r="E52" s="1303">
        <v>5</v>
      </c>
      <c r="F52" s="1303">
        <v>18831.34</v>
      </c>
    </row>
    <row r="53" spans="1:6">
      <c r="A53" s="1302" t="s">
        <v>43</v>
      </c>
      <c r="B53" s="1302" t="s">
        <v>44</v>
      </c>
      <c r="C53" s="1303">
        <v>74</v>
      </c>
      <c r="D53" s="1303">
        <v>1803634.4723407901</v>
      </c>
      <c r="E53" s="1303">
        <v>201</v>
      </c>
      <c r="F53" s="1303">
        <v>688716.3</v>
      </c>
    </row>
    <row r="54" spans="1:6">
      <c r="A54" s="1302" t="s">
        <v>45</v>
      </c>
      <c r="B54" s="1302" t="s">
        <v>46</v>
      </c>
      <c r="C54" s="1303">
        <v>0</v>
      </c>
      <c r="D54" s="1303">
        <v>0</v>
      </c>
      <c r="E54" s="1303">
        <v>1</v>
      </c>
      <c r="F54" s="1303">
        <v>611638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28</v>
      </c>
      <c r="D57" s="1303">
        <v>583163.52759571502</v>
      </c>
      <c r="E57" s="1303">
        <v>56</v>
      </c>
      <c r="F57" s="1303">
        <v>1467554</v>
      </c>
    </row>
    <row r="58" spans="1:6">
      <c r="A58" s="1302" t="s">
        <v>48</v>
      </c>
      <c r="B58" s="1302" t="s">
        <v>50</v>
      </c>
      <c r="C58" s="1303">
        <v>6</v>
      </c>
      <c r="D58" s="1303">
        <v>114838.512778288</v>
      </c>
      <c r="E58" s="1303">
        <v>4</v>
      </c>
      <c r="F58" s="1303">
        <v>44227.07</v>
      </c>
    </row>
    <row r="59" spans="1:6">
      <c r="A59" s="1302" t="s">
        <v>48</v>
      </c>
      <c r="B59" s="1302" t="s">
        <v>51</v>
      </c>
      <c r="C59" s="1303">
        <v>45</v>
      </c>
      <c r="D59" s="1303">
        <v>1450447.31767875</v>
      </c>
      <c r="E59" s="1303">
        <v>87</v>
      </c>
      <c r="F59" s="1303">
        <v>2873741</v>
      </c>
    </row>
    <row r="60" spans="1:6">
      <c r="A60" s="1302" t="s">
        <v>48</v>
      </c>
      <c r="B60" s="1302" t="s">
        <v>52</v>
      </c>
      <c r="C60" s="1303">
        <v>29</v>
      </c>
      <c r="D60" s="1303">
        <v>1041837.06014574</v>
      </c>
      <c r="E60" s="1303">
        <v>44</v>
      </c>
      <c r="F60" s="1303">
        <v>888952.8</v>
      </c>
    </row>
    <row r="61" spans="1:6">
      <c r="A61" s="1302" t="s">
        <v>48</v>
      </c>
      <c r="B61" s="1302" t="s">
        <v>53</v>
      </c>
      <c r="C61" s="1303">
        <v>99</v>
      </c>
      <c r="D61" s="1303">
        <v>3243573.8434426798</v>
      </c>
      <c r="E61" s="1303">
        <v>150</v>
      </c>
      <c r="F61" s="1303">
        <v>1685726</v>
      </c>
    </row>
    <row r="62" spans="1:6">
      <c r="A62" s="1302" t="s">
        <v>48</v>
      </c>
      <c r="B62" s="1302" t="s">
        <v>54</v>
      </c>
      <c r="C62" s="1303">
        <v>4</v>
      </c>
      <c r="D62" s="1303">
        <v>140337.14884218099</v>
      </c>
      <c r="E62" s="1303">
        <v>0</v>
      </c>
      <c r="F62" s="1303">
        <v>0</v>
      </c>
    </row>
    <row r="63" spans="1:6">
      <c r="A63" s="1302" t="s">
        <v>48</v>
      </c>
      <c r="B63" s="1302" t="s">
        <v>28</v>
      </c>
      <c r="C63" s="1303">
        <v>70</v>
      </c>
      <c r="D63" s="1303">
        <v>4021185.6238527601</v>
      </c>
      <c r="E63" s="1303">
        <v>100</v>
      </c>
      <c r="F63" s="1303">
        <v>2978743</v>
      </c>
    </row>
    <row r="64" spans="1:6">
      <c r="A64" s="1302" t="s">
        <v>55</v>
      </c>
      <c r="B64" s="1302" t="s">
        <v>56</v>
      </c>
      <c r="C64" s="1303">
        <v>0</v>
      </c>
      <c r="D64" s="1303">
        <v>0</v>
      </c>
      <c r="E64" s="1303">
        <v>0</v>
      </c>
      <c r="F64" s="1303">
        <v>0</v>
      </c>
    </row>
    <row r="65" spans="1:6">
      <c r="A65" s="1302" t="s">
        <v>55</v>
      </c>
      <c r="B65" s="1302" t="s">
        <v>28</v>
      </c>
      <c r="C65" s="1303">
        <v>2</v>
      </c>
      <c r="D65" s="1303">
        <v>20405.823039374802</v>
      </c>
      <c r="E65" s="1303">
        <v>2</v>
      </c>
      <c r="F65" s="1303">
        <v>45192.88</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45928.31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44016845</v>
      </c>
      <c r="E73" s="442"/>
      <c r="F73" s="324"/>
    </row>
    <row r="74" spans="1:6">
      <c r="A74" s="1302" t="s">
        <v>63</v>
      </c>
      <c r="B74" s="1302" t="s">
        <v>695</v>
      </c>
      <c r="C74" s="1315" t="s">
        <v>697</v>
      </c>
      <c r="D74" s="1303">
        <v>3179248.3989529018</v>
      </c>
      <c r="E74" s="442"/>
      <c r="F74" s="324"/>
    </row>
    <row r="75" spans="1:6">
      <c r="A75" s="1302" t="s">
        <v>64</v>
      </c>
      <c r="B75" s="1302" t="s">
        <v>694</v>
      </c>
      <c r="C75" s="1315" t="s">
        <v>698</v>
      </c>
      <c r="D75" s="1303">
        <v>6183523</v>
      </c>
      <c r="E75" s="442"/>
      <c r="F75" s="324"/>
    </row>
    <row r="76" spans="1:6">
      <c r="A76" s="1302" t="s">
        <v>64</v>
      </c>
      <c r="B76" s="1302" t="s">
        <v>695</v>
      </c>
      <c r="C76" s="1315" t="s">
        <v>699</v>
      </c>
      <c r="D76" s="1303">
        <v>28240.398952901684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135897.20209419663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1802.5153947876167</v>
      </c>
      <c r="C91" s="324"/>
      <c r="D91" s="324"/>
      <c r="E91" s="324"/>
      <c r="F91" s="324"/>
    </row>
    <row r="92" spans="1:6">
      <c r="A92" s="1297" t="s">
        <v>68</v>
      </c>
      <c r="B92" s="1298">
        <v>477.82230296148742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2012</v>
      </c>
      <c r="C97" s="324"/>
      <c r="D97" s="324"/>
      <c r="E97" s="324"/>
      <c r="F97" s="324"/>
    </row>
    <row r="98" spans="1:6">
      <c r="A98" s="1302" t="s">
        <v>71</v>
      </c>
      <c r="B98" s="1303">
        <v>4</v>
      </c>
      <c r="C98" s="324"/>
      <c r="D98" s="324"/>
      <c r="E98" s="324"/>
      <c r="F98" s="324"/>
    </row>
    <row r="99" spans="1:6">
      <c r="A99" s="1302" t="s">
        <v>72</v>
      </c>
      <c r="B99" s="1303">
        <v>39</v>
      </c>
      <c r="C99" s="324"/>
      <c r="D99" s="324"/>
      <c r="E99" s="324"/>
      <c r="F99" s="324"/>
    </row>
    <row r="100" spans="1:6">
      <c r="A100" s="1302" t="s">
        <v>73</v>
      </c>
      <c r="B100" s="1303">
        <v>182</v>
      </c>
      <c r="C100" s="324"/>
      <c r="D100" s="324"/>
      <c r="E100" s="324"/>
      <c r="F100" s="324"/>
    </row>
    <row r="101" spans="1:6">
      <c r="A101" s="1302" t="s">
        <v>74</v>
      </c>
      <c r="B101" s="1303">
        <v>46</v>
      </c>
      <c r="C101" s="324"/>
      <c r="D101" s="324"/>
      <c r="E101" s="324"/>
      <c r="F101" s="324"/>
    </row>
    <row r="102" spans="1:6">
      <c r="A102" s="1302" t="s">
        <v>75</v>
      </c>
      <c r="B102" s="1303">
        <v>34</v>
      </c>
      <c r="C102" s="324"/>
      <c r="D102" s="324"/>
      <c r="E102" s="324"/>
      <c r="F102" s="324"/>
    </row>
    <row r="103" spans="1:6">
      <c r="A103" s="1302" t="s">
        <v>76</v>
      </c>
      <c r="B103" s="1303">
        <v>111</v>
      </c>
      <c r="C103" s="324"/>
      <c r="D103" s="324"/>
      <c r="E103" s="324"/>
      <c r="F103" s="324"/>
    </row>
    <row r="104" spans="1:6">
      <c r="A104" s="1302" t="s">
        <v>77</v>
      </c>
      <c r="B104" s="1303">
        <v>1499</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9</v>
      </c>
      <c r="C123" s="1303">
        <v>26</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67</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32820.391319298178</v>
      </c>
      <c r="C3" s="43" t="s">
        <v>163</v>
      </c>
      <c r="D3" s="43"/>
      <c r="E3" s="154"/>
      <c r="F3" s="43"/>
      <c r="G3" s="43"/>
      <c r="H3" s="43"/>
      <c r="I3" s="43"/>
      <c r="J3" s="43"/>
      <c r="K3" s="96"/>
    </row>
    <row r="4" spans="1:11">
      <c r="A4" s="351" t="s">
        <v>164</v>
      </c>
      <c r="B4" s="49">
        <f>IF(ISERROR('SEAP template'!B78+'SEAP template'!C78),0,'SEAP template'!B78+'SEAP template'!C78)</f>
        <v>25176.337697749106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5441.1670588235302</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0.21725831480239499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7773.0957983193293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32708.571428571431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611.63800000000003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611.63800000000003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0.21725831480239499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132.88344114910728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16960.011999999999</v>
      </c>
      <c r="C5" s="17">
        <f>IF(ISERROR('Eigen informatie GS &amp; warmtenet'!B57),0,'Eigen informatie GS &amp; warmtenet'!B57)</f>
        <v>0</v>
      </c>
      <c r="D5" s="30">
        <f>(SUM(HH_hh_gas_kWh,HH_rest_gas_kWh)/1000)*0.902</f>
        <v>44827.674594827236</v>
      </c>
      <c r="E5" s="17">
        <f>B32*B41</f>
        <v>799.06058211282448</v>
      </c>
      <c r="F5" s="17">
        <f>B36*B45</f>
        <v>25207.86845223216</v>
      </c>
      <c r="G5" s="18"/>
      <c r="H5" s="17"/>
      <c r="I5" s="17"/>
      <c r="J5" s="17">
        <f>B35*B44+C35*C44</f>
        <v>587.84654004321544</v>
      </c>
      <c r="K5" s="17"/>
      <c r="L5" s="17"/>
      <c r="M5" s="17"/>
      <c r="N5" s="17">
        <f>B34*B43+C34*C43</f>
        <v>5135.4318987736942</v>
      </c>
      <c r="O5" s="17">
        <f>B52*B53*B54</f>
        <v>146.95333333333335</v>
      </c>
      <c r="P5" s="17">
        <f>B60*B61*B62/1000-B60*B61*B62/1000/B63</f>
        <v>381.33333333333337</v>
      </c>
    </row>
    <row r="6" spans="1:16">
      <c r="A6" s="16" t="s">
        <v>618</v>
      </c>
      <c r="B6" s="755">
        <f>kWh_PV_kleiner_dan_10kW</f>
        <v>1802.5153947876167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18762.527394787616</v>
      </c>
      <c r="C8" s="21">
        <f>C5</f>
        <v>0</v>
      </c>
      <c r="D8" s="21">
        <f>D5</f>
        <v>44827.674594827236</v>
      </c>
      <c r="E8" s="21">
        <f>E5</f>
        <v>799.06058211282448</v>
      </c>
      <c r="F8" s="21">
        <f>F5</f>
        <v>25207.86845223216</v>
      </c>
      <c r="G8" s="21"/>
      <c r="H8" s="21"/>
      <c r="I8" s="21"/>
      <c r="J8" s="21">
        <f>J5</f>
        <v>587.84654004321544</v>
      </c>
      <c r="K8" s="21"/>
      <c r="L8" s="21">
        <f>L5</f>
        <v>0</v>
      </c>
      <c r="M8" s="21">
        <f>M5</f>
        <v>0</v>
      </c>
      <c r="N8" s="21">
        <f>N5</f>
        <v>5135.4318987736942</v>
      </c>
      <c r="O8" s="21">
        <f>O5</f>
        <v>146.95333333333335</v>
      </c>
      <c r="P8" s="21">
        <f>P5</f>
        <v>381.33333333333337</v>
      </c>
    </row>
    <row r="9" spans="1:16">
      <c r="B9" s="19"/>
      <c r="C9" s="19"/>
      <c r="D9" s="254"/>
      <c r="E9" s="19"/>
      <c r="F9" s="19"/>
      <c r="G9" s="19"/>
      <c r="H9" s="19"/>
      <c r="I9" s="19"/>
      <c r="J9" s="19"/>
      <c r="K9" s="19"/>
      <c r="L9" s="19"/>
      <c r="M9" s="19"/>
      <c r="N9" s="19"/>
      <c r="O9" s="19"/>
      <c r="P9" s="19"/>
    </row>
    <row r="10" spans="1:16">
      <c r="A10" s="24" t="s">
        <v>207</v>
      </c>
      <c r="B10" s="25">
        <f ca="1">'EF ele_warmte'!B12</f>
        <v>0.21725831480239499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4076.3150832253277</v>
      </c>
      <c r="C12" s="23">
        <f ca="1">C10*C8</f>
        <v>0</v>
      </c>
      <c r="D12" s="23">
        <f>D8*D10</f>
        <v>9055.1902681551019</v>
      </c>
      <c r="E12" s="23">
        <f>E10*E8</f>
        <v>181.38675213961116</v>
      </c>
      <c r="F12" s="23">
        <f>F10*F8</f>
        <v>6730.5008767459867</v>
      </c>
      <c r="G12" s="23"/>
      <c r="H12" s="23"/>
      <c r="I12" s="23"/>
      <c r="J12" s="23">
        <f>J10*J8</f>
        <v>208.09767517529826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4525</v>
      </c>
      <c r="C26" s="36"/>
      <c r="D26" s="225"/>
    </row>
    <row r="27" spans="1:5" s="15" customFormat="1">
      <c r="A27" s="227" t="s">
        <v>721</v>
      </c>
      <c r="B27" s="37">
        <f>SUM(HH_hh_gas_aantal,HH_rest_gas_aantal)</f>
        <v>3071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2917.45</v>
      </c>
      <c r="C31" s="34" t="s">
        <v>104</v>
      </c>
      <c r="D31" s="171"/>
    </row>
    <row r="32" spans="1:5">
      <c r="A32" s="168" t="s">
        <v>72</v>
      </c>
      <c r="B32" s="33">
        <f>IF((B21*($B$26-($B$27-0.05*$B$27)-$B$60))&lt;0,0,B21*($B$26-($B$27-0.05*$B$27)-$B$60))</f>
        <v>10.009852724769948</v>
      </c>
      <c r="C32" s="34" t="s">
        <v>104</v>
      </c>
      <c r="D32" s="171"/>
    </row>
    <row r="33" spans="1:6">
      <c r="A33" s="168" t="s">
        <v>73</v>
      </c>
      <c r="B33" s="33">
        <f>IF((B22*($B$26-($B$27-0.05*$B$27)-$B$60))&lt;0,0,B22*($B$26-($B$27-0.05*$B$27)-$B$60))</f>
        <v>348.57943481363327</v>
      </c>
      <c r="C33" s="34" t="s">
        <v>104</v>
      </c>
      <c r="D33" s="171"/>
    </row>
    <row r="34" spans="1:6">
      <c r="A34" s="168" t="s">
        <v>74</v>
      </c>
      <c r="B34" s="33">
        <f>IF((B24*($B$26-($B$27-0.05*$B$27)-$B$60))&lt;0,0,B24*($B$26-($B$27-0.05*$B$27)-$B$60))</f>
        <v>69.191475720992273</v>
      </c>
      <c r="C34" s="33">
        <f>B26*C24</f>
        <v>925.81356297085779</v>
      </c>
      <c r="D34" s="230"/>
    </row>
    <row r="35" spans="1:6">
      <c r="A35" s="168" t="s">
        <v>76</v>
      </c>
      <c r="B35" s="33">
        <f>IF((B19*($B$26-($B$27-0.05*$B$27)-$B$60))&lt;0,0,B19*($B$26-($B$27-0.05*$B$27)-$B$60))</f>
        <v>33.803970779761229</v>
      </c>
      <c r="C35" s="33">
        <f>B35/2</f>
        <v>16.901985389880615</v>
      </c>
      <c r="D35" s="230"/>
    </row>
    <row r="36" spans="1:6">
      <c r="A36" s="168" t="s">
        <v>77</v>
      </c>
      <c r="B36" s="33">
        <f>IF((B18*($B$26-($B$27-0.05*$B$27)-$B$60))&lt;0,0,B18*($B$26-($B$27-0.05*$B$27)-$B$60))</f>
        <v>1125.9652659608439</v>
      </c>
      <c r="C36" s="34" t="s">
        <v>104</v>
      </c>
      <c r="D36" s="171"/>
    </row>
    <row r="37" spans="1:6">
      <c r="A37" s="168" t="s">
        <v>78</v>
      </c>
      <c r="B37" s="33">
        <f>B60</f>
        <v>20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9938.9438699999992</v>
      </c>
      <c r="C5" s="17">
        <f>IF(ISERROR('Eigen informatie GS &amp; warmtenet'!B58),0,'Eigen informatie GS &amp; warmtenet'!B58)</f>
        <v>0</v>
      </c>
      <c r="D5" s="30">
        <f>SUM(D6:D12)</f>
        <v>9557.0354969711752</v>
      </c>
      <c r="E5" s="17">
        <f>SUM(E6:E12)</f>
        <v>105.06177604577398</v>
      </c>
      <c r="F5" s="17">
        <f>SUM(F6:F12)</f>
        <v>1526.0853481707184</v>
      </c>
      <c r="G5" s="18"/>
      <c r="H5" s="17"/>
      <c r="I5" s="17"/>
      <c r="J5" s="17">
        <f>SUM(J6:J12)</f>
        <v>0</v>
      </c>
      <c r="K5" s="17"/>
      <c r="L5" s="17"/>
      <c r="M5" s="17"/>
      <c r="N5" s="17">
        <f>SUM(N6:N12)</f>
        <v>1328.5711360995767</v>
      </c>
      <c r="O5" s="17">
        <f>B38*B39*B40</f>
        <v>0</v>
      </c>
      <c r="P5" s="17">
        <f>B46*B47*B48/1000-B46*B47*B48/1000/B49</f>
        <v>0</v>
      </c>
      <c r="R5" s="32"/>
    </row>
    <row r="6" spans="1:18">
      <c r="A6" s="32" t="s">
        <v>53</v>
      </c>
      <c r="B6" s="37">
        <f>B26</f>
        <v>1685.7260000000001</v>
      </c>
      <c r="C6" s="33"/>
      <c r="D6" s="37">
        <f>IF(ISERROR(TER_kantoor_gas_kWh/1000),0,TER_kantoor_gas_kWh/1000)*0.902</f>
        <v>2925.7036067852973</v>
      </c>
      <c r="E6" s="33">
        <f>$C$26*'E Balans VL '!I12/100/3.6*1000000</f>
        <v>4.8837955530739166</v>
      </c>
      <c r="F6" s="33">
        <f>$C$26*('E Balans VL '!L12+'E Balans VL '!N12)/100/3.6*1000000</f>
        <v>190.7870437767134</v>
      </c>
      <c r="G6" s="34"/>
      <c r="H6" s="33"/>
      <c r="I6" s="33"/>
      <c r="J6" s="33">
        <f>$C$26*('E Balans VL '!D12+'E Balans VL '!E12)/100/3.6*1000000</f>
        <v>0</v>
      </c>
      <c r="K6" s="33"/>
      <c r="L6" s="33"/>
      <c r="M6" s="33"/>
      <c r="N6" s="33">
        <f>$C$26*'E Balans VL '!Y12/100/3.6*1000000</f>
        <v>16.872875161625039</v>
      </c>
      <c r="O6" s="33"/>
      <c r="P6" s="33"/>
      <c r="R6" s="32"/>
    </row>
    <row r="7" spans="1:18">
      <c r="A7" s="32" t="s">
        <v>52</v>
      </c>
      <c r="B7" s="37">
        <f t="shared" ref="B7:B12" si="0">B27</f>
        <v>888.95280000000002</v>
      </c>
      <c r="C7" s="33"/>
      <c r="D7" s="37">
        <f>IF(ISERROR(TER_horeca_gas_kWh/1000),0,TER_horeca_gas_kWh/1000)*0.902</f>
        <v>939.73702825145756</v>
      </c>
      <c r="E7" s="33">
        <f>$C$27*'E Balans VL '!I9/100/3.6*1000000</f>
        <v>37.315754858963942</v>
      </c>
      <c r="F7" s="33">
        <f>$C$27*('E Balans VL '!L9+'E Balans VL '!N9)/100/3.6*1000000</f>
        <v>191.00973877409035</v>
      </c>
      <c r="G7" s="34"/>
      <c r="H7" s="33"/>
      <c r="I7" s="33"/>
      <c r="J7" s="33">
        <f>$C$27*('E Balans VL '!D9+'E Balans VL '!E9)/100/3.6*1000000</f>
        <v>0</v>
      </c>
      <c r="K7" s="33"/>
      <c r="L7" s="33"/>
      <c r="M7" s="33"/>
      <c r="N7" s="33">
        <f>$C$27*'E Balans VL '!Y9/100/3.6*1000000</f>
        <v>0.22907536238573789</v>
      </c>
      <c r="O7" s="33"/>
      <c r="P7" s="33"/>
      <c r="R7" s="32"/>
    </row>
    <row r="8" spans="1:18">
      <c r="A8" s="6" t="s">
        <v>51</v>
      </c>
      <c r="B8" s="37">
        <f t="shared" si="0"/>
        <v>2873.741</v>
      </c>
      <c r="C8" s="33"/>
      <c r="D8" s="37">
        <f>IF(ISERROR(TER_handel_gas_kWh/1000),0,TER_handel_gas_kWh/1000)*0.902</f>
        <v>1308.3034805462325</v>
      </c>
      <c r="E8" s="33">
        <f>$C$28*'E Balans VL '!I13/100/3.6*1000000</f>
        <v>30.866370086645098</v>
      </c>
      <c r="F8" s="33">
        <f>$C$28*('E Balans VL '!L13+'E Balans VL '!N13)/100/3.6*1000000</f>
        <v>372.02950331397113</v>
      </c>
      <c r="G8" s="34"/>
      <c r="H8" s="33"/>
      <c r="I8" s="33"/>
      <c r="J8" s="33">
        <f>$C$28*('E Balans VL '!D13+'E Balans VL '!E13)/100/3.6*1000000</f>
        <v>0</v>
      </c>
      <c r="K8" s="33"/>
      <c r="L8" s="33"/>
      <c r="M8" s="33"/>
      <c r="N8" s="33">
        <f>$C$28*'E Balans VL '!Y13/100/3.6*1000000</f>
        <v>23.311943905081108</v>
      </c>
      <c r="O8" s="33"/>
      <c r="P8" s="33"/>
      <c r="R8" s="32"/>
    </row>
    <row r="9" spans="1:18">
      <c r="A9" s="32" t="s">
        <v>50</v>
      </c>
      <c r="B9" s="37">
        <f t="shared" si="0"/>
        <v>44.227069999999998</v>
      </c>
      <c r="C9" s="33"/>
      <c r="D9" s="37">
        <f>IF(ISERROR(TER_gezond_gas_kWh/1000),0,TER_gezond_gas_kWh/1000)*0.902</f>
        <v>103.58433852601578</v>
      </c>
      <c r="E9" s="33">
        <f>$C$29*'E Balans VL '!I10/100/3.6*1000000</f>
        <v>3.5207608250251723E-2</v>
      </c>
      <c r="F9" s="33">
        <f>$C$29*('E Balans VL '!L10+'E Balans VL '!N10)/100/3.6*1000000</f>
        <v>5.3764394972289837</v>
      </c>
      <c r="G9" s="34"/>
      <c r="H9" s="33"/>
      <c r="I9" s="33"/>
      <c r="J9" s="33">
        <f>$C$29*('E Balans VL '!D10+'E Balans VL '!E10)/100/3.6*1000000</f>
        <v>0</v>
      </c>
      <c r="K9" s="33"/>
      <c r="L9" s="33"/>
      <c r="M9" s="33"/>
      <c r="N9" s="33">
        <f>$C$29*'E Balans VL '!Y10/100/3.6*1000000</f>
        <v>0.35725455426766645</v>
      </c>
      <c r="O9" s="33"/>
      <c r="P9" s="33"/>
      <c r="R9" s="32"/>
    </row>
    <row r="10" spans="1:18">
      <c r="A10" s="32" t="s">
        <v>49</v>
      </c>
      <c r="B10" s="37">
        <f t="shared" si="0"/>
        <v>1467.5540000000001</v>
      </c>
      <c r="C10" s="33"/>
      <c r="D10" s="37">
        <f>IF(ISERROR(TER_ander_gas_kWh/1000),0,TER_ander_gas_kWh/1000)*0.902</f>
        <v>526.01350189133495</v>
      </c>
      <c r="E10" s="33">
        <f>$C$30*'E Balans VL '!I14/100/3.6*1000000</f>
        <v>5.0293846534046125</v>
      </c>
      <c r="F10" s="33">
        <f>$C$30*('E Balans VL '!L14+'E Balans VL '!N14)/100/3.6*1000000</f>
        <v>327.79192923016018</v>
      </c>
      <c r="G10" s="34"/>
      <c r="H10" s="33"/>
      <c r="I10" s="33"/>
      <c r="J10" s="33">
        <f>$C$30*('E Balans VL '!D14+'E Balans VL '!E14)/100/3.6*1000000</f>
        <v>0</v>
      </c>
      <c r="K10" s="33"/>
      <c r="L10" s="33"/>
      <c r="M10" s="33"/>
      <c r="N10" s="33">
        <f>$C$30*'E Balans VL '!Y14/100/3.6*1000000</f>
        <v>1033.7530546907897</v>
      </c>
      <c r="O10" s="33"/>
      <c r="P10" s="33"/>
      <c r="R10" s="32"/>
    </row>
    <row r="11" spans="1:18">
      <c r="A11" s="32" t="s">
        <v>54</v>
      </c>
      <c r="B11" s="37">
        <f t="shared" si="0"/>
        <v>0</v>
      </c>
      <c r="C11" s="33"/>
      <c r="D11" s="37">
        <f>IF(ISERROR(TER_onderwijs_gas_kWh/1000),0,TER_onderwijs_gas_kWh/1000)*0.902</f>
        <v>126.58410825564727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2978.7429999999999</v>
      </c>
      <c r="C12" s="33"/>
      <c r="D12" s="37">
        <f>IF(ISERROR(TER_rest_gas_kWh/1000),0,TER_rest_gas_kWh/1000)*0.902</f>
        <v>3627.10943271519</v>
      </c>
      <c r="E12" s="33">
        <f>$C$32*'E Balans VL '!I8/100/3.6*1000000</f>
        <v>26.931263285436177</v>
      </c>
      <c r="F12" s="33">
        <f>$C$32*('E Balans VL '!L8+'E Balans VL '!N8)/100/3.6*1000000</f>
        <v>439.09069357855424</v>
      </c>
      <c r="G12" s="34"/>
      <c r="H12" s="33"/>
      <c r="I12" s="33"/>
      <c r="J12" s="33">
        <f>$C$32*('E Balans VL '!D8+'E Balans VL '!E8)/100/3.6*1000000</f>
        <v>0</v>
      </c>
      <c r="K12" s="33"/>
      <c r="L12" s="33"/>
      <c r="M12" s="33"/>
      <c r="N12" s="33">
        <f>$C$32*'E Balans VL '!Y8/100/3.6*1000000</f>
        <v>254.04693242542757</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9938.9438699999992</v>
      </c>
      <c r="C16" s="21">
        <f t="shared" ca="1" si="1"/>
        <v>0</v>
      </c>
      <c r="D16" s="21">
        <f t="shared" ca="1" si="1"/>
        <v>9557.0354969711752</v>
      </c>
      <c r="E16" s="21">
        <f t="shared" si="1"/>
        <v>105.06177604577398</v>
      </c>
      <c r="F16" s="21">
        <f t="shared" ca="1" si="1"/>
        <v>1526.0853481707184</v>
      </c>
      <c r="G16" s="21">
        <f t="shared" si="1"/>
        <v>0</v>
      </c>
      <c r="H16" s="21">
        <f t="shared" si="1"/>
        <v>0</v>
      </c>
      <c r="I16" s="21">
        <f t="shared" si="1"/>
        <v>0</v>
      </c>
      <c r="J16" s="21">
        <f t="shared" si="1"/>
        <v>0</v>
      </c>
      <c r="K16" s="21">
        <f t="shared" si="1"/>
        <v>0</v>
      </c>
      <c r="L16" s="21">
        <f t="shared" ca="1" si="1"/>
        <v>0</v>
      </c>
      <c r="M16" s="21">
        <f t="shared" si="1"/>
        <v>0</v>
      </c>
      <c r="N16" s="21">
        <f t="shared" ca="1" si="1"/>
        <v>1328.5711360995767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0.21725831480239499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2159.3181961117939</v>
      </c>
      <c r="C20" s="23">
        <f t="shared" ref="C20:P20" ca="1" si="2">C16*C18</f>
        <v>0</v>
      </c>
      <c r="D20" s="23">
        <f t="shared" ca="1" si="2"/>
        <v>1930.5211703881776</v>
      </c>
      <c r="E20" s="23">
        <f t="shared" si="2"/>
        <v>23.849023162390694</v>
      </c>
      <c r="F20" s="23">
        <f t="shared" ca="1" si="2"/>
        <v>407.46478796158181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1685.7260000000001</v>
      </c>
      <c r="C26" s="39">
        <f>IF(ISERROR(B26*3.6/1000000/'E Balans VL '!Z12*100),0,B26*3.6/1000000/'E Balans VL '!Z12*100)</f>
        <v>3.7028920484412919E-2</v>
      </c>
      <c r="D26" s="233" t="s">
        <v>676</v>
      </c>
      <c r="F26" s="6"/>
    </row>
    <row r="27" spans="1:18">
      <c r="A27" s="228" t="s">
        <v>52</v>
      </c>
      <c r="B27" s="33">
        <f>IF(ISERROR(TER_horeca_ele_kWh/1000),0,TER_horeca_ele_kWh/1000)</f>
        <v>888.95280000000002</v>
      </c>
      <c r="C27" s="39">
        <f>IF(ISERROR(B27*3.6/1000000/'E Balans VL '!Z9*100),0,B27*3.6/1000000/'E Balans VL '!Z9*100)</f>
        <v>7.1436218666170587E-2</v>
      </c>
      <c r="D27" s="233" t="s">
        <v>676</v>
      </c>
      <c r="F27" s="6"/>
    </row>
    <row r="28" spans="1:18">
      <c r="A28" s="168" t="s">
        <v>51</v>
      </c>
      <c r="B28" s="33">
        <f>IF(ISERROR(TER_handel_ele_kWh/1000),0,TER_handel_ele_kWh/1000)</f>
        <v>2873.741</v>
      </c>
      <c r="C28" s="39">
        <f>IF(ISERROR(B28*3.6/1000000/'E Balans VL '!Z13*100),0,B28*3.6/1000000/'E Balans VL '!Z13*100)</f>
        <v>8.4974513732383891E-2</v>
      </c>
      <c r="D28" s="233" t="s">
        <v>676</v>
      </c>
      <c r="F28" s="6"/>
    </row>
    <row r="29" spans="1:18">
      <c r="A29" s="228" t="s">
        <v>50</v>
      </c>
      <c r="B29" s="33">
        <f>IF(ISERROR(TER_gezond_ele_kWh/1000),0,TER_gezond_ele_kWh/1000)</f>
        <v>44.227069999999998</v>
      </c>
      <c r="C29" s="39">
        <f>IF(ISERROR(B29*3.6/1000000/'E Balans VL '!Z10*100),0,B29*3.6/1000000/'E Balans VL '!Z10*100)</f>
        <v>4.9832489467062525E-3</v>
      </c>
      <c r="D29" s="233" t="s">
        <v>676</v>
      </c>
      <c r="F29" s="6"/>
    </row>
    <row r="30" spans="1:18">
      <c r="A30" s="228" t="s">
        <v>49</v>
      </c>
      <c r="B30" s="33">
        <f>IF(ISERROR(TER_ander_ele_kWh/1000),0,TER_ander_ele_kWh/1000)</f>
        <v>1467.5540000000001</v>
      </c>
      <c r="C30" s="39">
        <f>IF(ISERROR(B30*3.6/1000000/'E Balans VL '!Z14*100),0,B30*3.6/1000000/'E Balans VL '!Z14*100)</f>
        <v>0.1109886003497538</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2978.7429999999999</v>
      </c>
      <c r="C32" s="39">
        <f>IF(ISERROR(B32*3.6/1000000/'E Balans VL '!Z8*100),0,B32*3.6/1000000/'E Balans VL '!Z8*100)</f>
        <v>2.5094157439835306E-2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1845.15398</v>
      </c>
      <c r="C5" s="17">
        <f>IF(ISERROR('Eigen informatie GS &amp; warmtenet'!B59),0,'Eigen informatie GS &amp; warmtenet'!B59)</f>
        <v>0</v>
      </c>
      <c r="D5" s="30">
        <f>SUM(D6:D15)</f>
        <v>1578.7905159637924</v>
      </c>
      <c r="E5" s="17">
        <f>SUM(E6:E15)</f>
        <v>304.98932665017418</v>
      </c>
      <c r="F5" s="17">
        <f>SUM(F6:F15)</f>
        <v>1459.920236012518</v>
      </c>
      <c r="G5" s="18"/>
      <c r="H5" s="17"/>
      <c r="I5" s="17"/>
      <c r="J5" s="17">
        <f>SUM(J6:J15)</f>
        <v>8.7896773270077393</v>
      </c>
      <c r="K5" s="17"/>
      <c r="L5" s="17"/>
      <c r="M5" s="17"/>
      <c r="N5" s="17">
        <f>SUM(N6:N15)</f>
        <v>258.23971102027309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80.27628</v>
      </c>
      <c r="C8" s="33"/>
      <c r="D8" s="37">
        <f>IF( ISERROR(IND_metaal_Gas_kWH/1000),0,IND_metaal_Gas_kWH/1000)*0.902</f>
        <v>0</v>
      </c>
      <c r="E8" s="33">
        <f>C30*'E Balans VL '!I18/100/3.6*1000000</f>
        <v>2.009034327439196</v>
      </c>
      <c r="F8" s="33">
        <f>C30*'E Balans VL '!L18/100/3.6*1000000+C30*'E Balans VL '!N18/100/3.6*1000000</f>
        <v>25.158985466752661</v>
      </c>
      <c r="G8" s="34"/>
      <c r="H8" s="33"/>
      <c r="I8" s="33"/>
      <c r="J8" s="40">
        <f>C30*'E Balans VL '!D18/100/3.6*1000000+C30*'E Balans VL '!E18/100/3.6*1000000</f>
        <v>0</v>
      </c>
      <c r="K8" s="33"/>
      <c r="L8" s="33"/>
      <c r="M8" s="33"/>
      <c r="N8" s="33">
        <f>C30*'E Balans VL '!Y18/100/3.6*1000000</f>
        <v>2.0167484887135623</v>
      </c>
      <c r="O8" s="33"/>
      <c r="P8" s="33"/>
      <c r="R8" s="32"/>
    </row>
    <row r="9" spans="1:18">
      <c r="A9" s="6" t="s">
        <v>32</v>
      </c>
      <c r="B9" s="37">
        <f t="shared" si="0"/>
        <v>1002.837</v>
      </c>
      <c r="C9" s="33"/>
      <c r="D9" s="37">
        <f>IF( ISERROR(IND_andere_gas_kWh/1000),0,IND_andere_gas_kWh/1000)*0.902</f>
        <v>705.14600403342217</v>
      </c>
      <c r="E9" s="33">
        <f>C31*'E Balans VL '!I19/100/3.6*1000000</f>
        <v>275.73904358469315</v>
      </c>
      <c r="F9" s="33">
        <f>C31*'E Balans VL '!L19/100/3.6*1000000+C31*'E Balans VL '!N19/100/3.6*1000000</f>
        <v>790.41006216718699</v>
      </c>
      <c r="G9" s="34"/>
      <c r="H9" s="33"/>
      <c r="I9" s="33"/>
      <c r="J9" s="40">
        <f>C31*'E Balans VL '!D19/100/3.6*1000000+C31*'E Balans VL '!E19/100/3.6*1000000</f>
        <v>0</v>
      </c>
      <c r="K9" s="33"/>
      <c r="L9" s="33"/>
      <c r="M9" s="33"/>
      <c r="N9" s="33">
        <f>C31*'E Balans VL '!Y19/100/3.6*1000000</f>
        <v>80.789180663224187</v>
      </c>
      <c r="O9" s="33"/>
      <c r="P9" s="33"/>
      <c r="R9" s="32"/>
    </row>
    <row r="10" spans="1:18">
      <c r="A10" s="6" t="s">
        <v>40</v>
      </c>
      <c r="B10" s="37">
        <f t="shared" si="0"/>
        <v>283.34590000000003</v>
      </c>
      <c r="C10" s="33"/>
      <c r="D10" s="37">
        <f>IF( ISERROR(IND_voed_gas_kWh/1000),0,IND_voed_gas_kWh/1000)*0.902</f>
        <v>448.28416719149004</v>
      </c>
      <c r="E10" s="33">
        <f>C32*'E Balans VL '!I20/100/3.6*1000000</f>
        <v>2.8885553543530018</v>
      </c>
      <c r="F10" s="33">
        <f>C32*'E Balans VL '!L20/100/3.6*1000000+C32*'E Balans VL '!N20/100/3.6*1000000</f>
        <v>535.23863294246371</v>
      </c>
      <c r="G10" s="34"/>
      <c r="H10" s="33"/>
      <c r="I10" s="33"/>
      <c r="J10" s="40">
        <f>C32*'E Balans VL '!D20/100/3.6*1000000+C32*'E Balans VL '!E20/100/3.6*1000000</f>
        <v>6.7813944989822064</v>
      </c>
      <c r="K10" s="33"/>
      <c r="L10" s="33"/>
      <c r="M10" s="33"/>
      <c r="N10" s="33">
        <f>C32*'E Balans VL '!Y20/100/3.6*1000000</f>
        <v>149.35592674556003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478.69479999999999</v>
      </c>
      <c r="C15" s="33"/>
      <c r="D15" s="37">
        <f>IF( ISERROR(IND_rest_gas_kWh/1000),0,IND_rest_gas_kWh/1000)*0.902</f>
        <v>425.36034473888031</v>
      </c>
      <c r="E15" s="33">
        <f>C37*'E Balans VL '!I15/100/3.6*1000000</f>
        <v>24.352693383688795</v>
      </c>
      <c r="F15" s="33">
        <f>C37*'E Balans VL '!L15/100/3.6*1000000+C37*'E Balans VL '!N15/100/3.6*1000000</f>
        <v>109.11255543611452</v>
      </c>
      <c r="G15" s="34"/>
      <c r="H15" s="33"/>
      <c r="I15" s="33"/>
      <c r="J15" s="40">
        <f>C37*'E Balans VL '!D15/100/3.6*1000000+C37*'E Balans VL '!E15/100/3.6*1000000</f>
        <v>2.0082828280255334</v>
      </c>
      <c r="K15" s="33"/>
      <c r="L15" s="33"/>
      <c r="M15" s="33"/>
      <c r="N15" s="33">
        <f>C37*'E Balans VL '!Y15/100/3.6*1000000</f>
        <v>26.07785512277529</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1845.15398</v>
      </c>
      <c r="C18" s="21">
        <f>C5+C16</f>
        <v>0</v>
      </c>
      <c r="D18" s="21">
        <f>MAX((D5+D16),0)</f>
        <v>1578.7905159637924</v>
      </c>
      <c r="E18" s="21">
        <f>MAX((E5+E16),0)</f>
        <v>304.98932665017418</v>
      </c>
      <c r="F18" s="21">
        <f>MAX((F5+F16),0)</f>
        <v>1459.920236012518</v>
      </c>
      <c r="G18" s="21"/>
      <c r="H18" s="21"/>
      <c r="I18" s="21"/>
      <c r="J18" s="21">
        <f>MAX((J5+J16),0)</f>
        <v>8.7896773270077393</v>
      </c>
      <c r="K18" s="21"/>
      <c r="L18" s="21">
        <f>MAX((L5+L16),0)</f>
        <v>0</v>
      </c>
      <c r="M18" s="21"/>
      <c r="N18" s="21">
        <f>MAX((N5+N16),0)</f>
        <v>258.23971102027309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0.21725831480239499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400.87504424573206</v>
      </c>
      <c r="C22" s="23">
        <f ca="1">C18*C20</f>
        <v>0</v>
      </c>
      <c r="D22" s="23">
        <f>D18*D20</f>
        <v>318.91568422468606</v>
      </c>
      <c r="E22" s="23">
        <f>E18*E20</f>
        <v>69.232577149589545</v>
      </c>
      <c r="F22" s="23">
        <f>F18*F20</f>
        <v>389.79870301534231</v>
      </c>
      <c r="G22" s="23"/>
      <c r="H22" s="23"/>
      <c r="I22" s="23"/>
      <c r="J22" s="23">
        <f>J18*J20</f>
        <v>3.1115457737607395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80.27628</v>
      </c>
      <c r="C30" s="39">
        <f>IF(ISERROR(B30*3.6/1000000/'E Balans VL '!Z18*100),0,B30*3.6/1000000/'E Balans VL '!Z18*100)</f>
        <v>1.1236003963414846E-2</v>
      </c>
      <c r="D30" s="233" t="s">
        <v>676</v>
      </c>
    </row>
    <row r="31" spans="1:18">
      <c r="A31" s="6" t="s">
        <v>32</v>
      </c>
      <c r="B31" s="37">
        <f>IF( ISERROR(IND_ander_ele_kWh/1000),0,IND_ander_ele_kWh/1000)</f>
        <v>1002.837</v>
      </c>
      <c r="C31" s="39">
        <f>IF(ISERROR(B31*3.6/1000000/'E Balans VL '!Z19*100),0,B31*3.6/1000000/'E Balans VL '!Z19*100)</f>
        <v>4.3894012806725488E-2</v>
      </c>
      <c r="D31" s="233" t="s">
        <v>676</v>
      </c>
    </row>
    <row r="32" spans="1:18">
      <c r="A32" s="168" t="s">
        <v>40</v>
      </c>
      <c r="B32" s="37">
        <f>IF( ISERROR(IND_voed_ele_kWh/1000),0,IND_voed_ele_kWh/1000)</f>
        <v>283.34590000000003</v>
      </c>
      <c r="C32" s="39">
        <f>IF(ISERROR(B32*3.6/1000000/'E Balans VL '!Z20*100),0,B32*3.6/1000000/'E Balans VL '!Z20*100)</f>
        <v>7.0147035386786807E-2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478.69479999999999</v>
      </c>
      <c r="C37" s="39">
        <f>IF(ISERROR(B37*3.6/1000000/'E Balans VL '!Z15*100),0,B37*3.6/1000000/'E Balans VL '!Z15*100)</f>
        <v>3.5494399859821524E-3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964.02933999999993</v>
      </c>
      <c r="C5" s="17">
        <f>'Eigen informatie GS &amp; warmtenet'!B60</f>
        <v>0</v>
      </c>
      <c r="D5" s="30">
        <f>IF(ISERROR(SUM(LB_lb_gas_kWh,LB_rest_gas_kWh)/1000),0,SUM(LB_lb_gas_kWh,LB_rest_gas_kWh)/1000)*0.902</f>
        <v>61581.070124313454</v>
      </c>
      <c r="E5" s="17">
        <f>B17*'E Balans VL '!I25/3.6*1000000/100</f>
        <v>8.9292435196831441</v>
      </c>
      <c r="F5" s="17">
        <f>B17*('E Balans VL '!L25/3.6*1000000+'E Balans VL '!N25/3.6*1000000)/100</f>
        <v>2445.9260829808072</v>
      </c>
      <c r="G5" s="18"/>
      <c r="H5" s="17"/>
      <c r="I5" s="17"/>
      <c r="J5" s="17">
        <f>('E Balans VL '!D25+'E Balans VL '!E25)/3.6*1000000*landbouw!B17/100</f>
        <v>147.79645642083437</v>
      </c>
      <c r="K5" s="17"/>
      <c r="L5" s="17">
        <f>L6*(-1)</f>
        <v>0</v>
      </c>
      <c r="M5" s="17"/>
      <c r="N5" s="17">
        <f>N6*(-1)</f>
        <v>0</v>
      </c>
      <c r="O5" s="17"/>
      <c r="P5" s="17"/>
      <c r="R5" s="32"/>
    </row>
    <row r="6" spans="1:18">
      <c r="A6" s="16" t="s">
        <v>481</v>
      </c>
      <c r="B6" s="17" t="s">
        <v>204</v>
      </c>
      <c r="C6" s="17">
        <f>'lokale energieproductie'!O41+'lokale energieproductie'!O34</f>
        <v>32708.571428571431</v>
      </c>
      <c r="D6" s="302">
        <f>('lokale energieproductie'!P34+'lokale energieproductie'!P41)*(-1)</f>
        <v>-65417.14285714287</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964.02933999999993</v>
      </c>
      <c r="C8" s="21">
        <f>C5+C6</f>
        <v>32708.571428571431</v>
      </c>
      <c r="D8" s="21">
        <f>MAX((D5+D6),0)</f>
        <v>0</v>
      </c>
      <c r="E8" s="21">
        <f>MAX((E5+E6),0)</f>
        <v>8.9292435196831441</v>
      </c>
      <c r="F8" s="21">
        <f>MAX((F5+F6),0)</f>
        <v>2445.9260829808072</v>
      </c>
      <c r="G8" s="21"/>
      <c r="H8" s="21"/>
      <c r="I8" s="21"/>
      <c r="J8" s="21">
        <f>MAX((J5+J6),0)</f>
        <v>147.79645642083437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0.21725831480239499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209.44338982846506</v>
      </c>
      <c r="C12" s="23">
        <f ca="1">C8*C10</f>
        <v>7773.0957983193293</v>
      </c>
      <c r="D12" s="23">
        <f>D8*D10</f>
        <v>0</v>
      </c>
      <c r="E12" s="23">
        <f>E8*E10</f>
        <v>2.0269382789680739</v>
      </c>
      <c r="F12" s="23">
        <f>F8*F10</f>
        <v>653.0622641558756</v>
      </c>
      <c r="G12" s="23"/>
      <c r="H12" s="23"/>
      <c r="I12" s="23"/>
      <c r="J12" s="23">
        <f>J8*J10</f>
        <v>52.319945572975364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0.13706453119279188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129.41177959236617</v>
      </c>
      <c r="C26" s="243">
        <f>B26*'GWP N2O_CH4'!B5</f>
        <v>2717.6473714396898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33.746951304567837</v>
      </c>
      <c r="C27" s="243">
        <f>B27*'GWP N2O_CH4'!B5</f>
        <v>708.68597739592462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1.6487221984806733</v>
      </c>
      <c r="C28" s="243">
        <f>B28*'GWP N2O_CH4'!B4</f>
        <v>511.10388152900873</v>
      </c>
      <c r="D28" s="50"/>
    </row>
    <row r="29" spans="1:4">
      <c r="A29" s="41" t="s">
        <v>266</v>
      </c>
      <c r="B29" s="243">
        <f>B34*'ha_N2O bodem landbouw'!B4</f>
        <v>8.5329056332427076</v>
      </c>
      <c r="C29" s="243">
        <f>B29*'GWP N2O_CH4'!B4</f>
        <v>2645.2007463052391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1.9137804066894717E-3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2.473224544944075E-5</v>
      </c>
      <c r="C5" s="430" t="s">
        <v>204</v>
      </c>
      <c r="D5" s="415">
        <f>SUM(D6:D11)</f>
        <v>3.8710831568103412E-5</v>
      </c>
      <c r="E5" s="415">
        <f>SUM(E6:E11)</f>
        <v>3.7785074140312953E-4</v>
      </c>
      <c r="F5" s="428" t="s">
        <v>204</v>
      </c>
      <c r="G5" s="415">
        <f>SUM(G6:G11)</f>
        <v>0.11536501149275624</v>
      </c>
      <c r="H5" s="415">
        <f>SUM(H6:H11)</f>
        <v>2.2362456729891438E-2</v>
      </c>
      <c r="I5" s="430" t="s">
        <v>204</v>
      </c>
      <c r="J5" s="430" t="s">
        <v>204</v>
      </c>
      <c r="K5" s="430" t="s">
        <v>204</v>
      </c>
      <c r="L5" s="430" t="s">
        <v>204</v>
      </c>
      <c r="M5" s="415">
        <f>SUM(M6:M11)</f>
        <v>7.3706537650655287E-3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2.0646071840121846E-5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3.1182548493647515E-5</v>
      </c>
      <c r="E6" s="858">
        <f>vkm_GW_PW*SUMIFS(TableVerdeelsleutelVkm[LPG],TableVerdeelsleutelVkm[Voertuigtype],"Lichte voertuigen")*SUMIFS(TableECFTransport[EnergieConsumptieFactor (PJ per km)],TableECFTransport[Index],CONCATENATE($A6,"_LPG_LPG"))</f>
        <v>3.0713280904921505E-4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7.0265534762563489E-2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1.8132917161099035E-2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4.6269015809788138E-3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7.7498124224784833E-7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2.9744102909573706E-2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5.6241424561953653E-7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1.7244954026595703E-3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3.3043084194470488E-6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7.5282830744558992E-6</v>
      </c>
      <c r="E8" s="418">
        <f>vkm_NGW_PW*SUMIFS(TableVerdeelsleutelVkm[LPG],TableVerdeelsleutelVkm[Voertuigtype],"Lichte voertuigen")*SUMIFS(TableECFTransport[EnergieConsumptieFactor (PJ per km)],TableECFTransport[Index],CONCATENATE($A8,"_LPG_LPG"))</f>
        <v>7.0717932353914472E-5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1.5015914616622394E-2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4.2289711245216107E-3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9.9957572108790916E-4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6.8839476240053311E-9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3.3945920399665335E-4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6.0300251746044648E-9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1.9681060339236103E-5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6.8700681804002084</v>
      </c>
      <c r="C14" s="21"/>
      <c r="D14" s="21">
        <f t="shared" ref="D14:M14" si="0">((D5)*10^9/3600)+D12</f>
        <v>10.753008768917615</v>
      </c>
      <c r="E14" s="21">
        <f t="shared" si="0"/>
        <v>104.95853927864709</v>
      </c>
      <c r="F14" s="21"/>
      <c r="G14" s="21">
        <f t="shared" si="0"/>
        <v>32045.836525765626</v>
      </c>
      <c r="H14" s="21">
        <f t="shared" si="0"/>
        <v>6211.7935360809552</v>
      </c>
      <c r="I14" s="21"/>
      <c r="J14" s="21"/>
      <c r="K14" s="21"/>
      <c r="L14" s="21"/>
      <c r="M14" s="21">
        <f t="shared" si="0"/>
        <v>2047.4038236293134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0.21725831480239499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1.4925794354513053</v>
      </c>
      <c r="C18" s="23"/>
      <c r="D18" s="23">
        <f t="shared" ref="D18:M18" si="1">D14*D16</f>
        <v>2.1721077713213583</v>
      </c>
      <c r="E18" s="23">
        <f t="shared" si="1"/>
        <v>23.825588416252891</v>
      </c>
      <c r="F18" s="23"/>
      <c r="G18" s="23">
        <f t="shared" si="1"/>
        <v>8556.2383523794233</v>
      </c>
      <c r="H18" s="23">
        <f t="shared" si="1"/>
        <v>1546.7365904841579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9.0445187885912539E-6</v>
      </c>
      <c r="C50" s="313">
        <f t="shared" ref="C50:P50" si="2">SUM(C51:C52)</f>
        <v>0</v>
      </c>
      <c r="D50" s="313">
        <f t="shared" si="2"/>
        <v>0</v>
      </c>
      <c r="E50" s="313">
        <f t="shared" si="2"/>
        <v>0</v>
      </c>
      <c r="F50" s="313">
        <f t="shared" si="2"/>
        <v>0</v>
      </c>
      <c r="G50" s="313">
        <f t="shared" si="2"/>
        <v>1.7138169684779337E-3</v>
      </c>
      <c r="H50" s="313">
        <f t="shared" si="2"/>
        <v>0</v>
      </c>
      <c r="I50" s="313">
        <f t="shared" si="2"/>
        <v>0</v>
      </c>
      <c r="J50" s="313">
        <f t="shared" si="2"/>
        <v>0</v>
      </c>
      <c r="K50" s="313">
        <f t="shared" si="2"/>
        <v>0</v>
      </c>
      <c r="L50" s="313">
        <f t="shared" si="2"/>
        <v>0</v>
      </c>
      <c r="M50" s="313">
        <f t="shared" si="2"/>
        <v>9.8661076970840898E-5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9.0445187885912539E-6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1.7138169684779337E-3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9.8661076970840898E-5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2.5123663301642374</v>
      </c>
      <c r="C54" s="21">
        <f t="shared" ref="C54:P54" si="3">(C50)*10^9/3600</f>
        <v>0</v>
      </c>
      <c r="D54" s="21">
        <f t="shared" si="3"/>
        <v>0</v>
      </c>
      <c r="E54" s="21">
        <f t="shared" si="3"/>
        <v>0</v>
      </c>
      <c r="F54" s="21">
        <f t="shared" si="3"/>
        <v>0</v>
      </c>
      <c r="G54" s="21">
        <f t="shared" si="3"/>
        <v>476.06026902164825</v>
      </c>
      <c r="H54" s="21">
        <f t="shared" si="3"/>
        <v>0</v>
      </c>
      <c r="I54" s="21">
        <f t="shared" si="3"/>
        <v>0</v>
      </c>
      <c r="J54" s="21">
        <f t="shared" si="3"/>
        <v>0</v>
      </c>
      <c r="K54" s="21">
        <f t="shared" si="3"/>
        <v>0</v>
      </c>
      <c r="L54" s="21">
        <f t="shared" si="3"/>
        <v>0</v>
      </c>
      <c r="M54" s="21">
        <f t="shared" si="3"/>
        <v>27.405854714122469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0.21725831480239499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0.54583247505775967</v>
      </c>
      <c r="C58" s="23">
        <f t="shared" ref="C58:P58" ca="1" si="4">C54*C56</f>
        <v>0</v>
      </c>
      <c r="D58" s="23">
        <f t="shared" si="4"/>
        <v>0</v>
      </c>
      <c r="E58" s="23">
        <f t="shared" si="4"/>
        <v>0</v>
      </c>
      <c r="F58" s="23">
        <f t="shared" si="4"/>
        <v>0</v>
      </c>
      <c r="G58" s="23">
        <f t="shared" si="4"/>
        <v>127.10809182878009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2280.3376977491043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22896</v>
      </c>
      <c r="C8" s="537">
        <f>B50</f>
        <v>26936.470588235297</v>
      </c>
      <c r="D8" s="1014"/>
      <c r="E8" s="1014">
        <f>E50</f>
        <v>0</v>
      </c>
      <c r="F8" s="1015"/>
      <c r="G8" s="538"/>
      <c r="H8" s="1014">
        <f>I50</f>
        <v>0</v>
      </c>
      <c r="I8" s="1014">
        <f>G50+F50</f>
        <v>0</v>
      </c>
      <c r="J8" s="1014">
        <f>H50+D50+C50</f>
        <v>0</v>
      </c>
      <c r="K8" s="1014"/>
      <c r="L8" s="1014"/>
      <c r="M8" s="1014"/>
      <c r="N8" s="539"/>
      <c r="O8" s="540">
        <f>C8*$C$12+D8*$D$12+E8*$E$12+F8*$F$12+G8*$G$12+H8*$H$12+I8*$I$12+J8*$J$12</f>
        <v>5441.1670588235302</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25176.337697749106</v>
      </c>
      <c r="C10" s="550">
        <f t="shared" ref="C10:L10" si="0">SUM(C8:C9)</f>
        <v>26936.470588235297</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5441.1670588235302</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32708.571428571431</v>
      </c>
      <c r="C17" s="562">
        <f>B51</f>
        <v>38480.672268907569</v>
      </c>
      <c r="D17" s="563"/>
      <c r="E17" s="563">
        <f>E51</f>
        <v>0</v>
      </c>
      <c r="F17" s="1020"/>
      <c r="G17" s="564"/>
      <c r="H17" s="562">
        <f>I51</f>
        <v>0</v>
      </c>
      <c r="I17" s="563">
        <f>G51+F51</f>
        <v>0</v>
      </c>
      <c r="J17" s="563">
        <f>H51+D51+C51</f>
        <v>0</v>
      </c>
      <c r="K17" s="563"/>
      <c r="L17" s="563"/>
      <c r="M17" s="563"/>
      <c r="N17" s="1021"/>
      <c r="O17" s="565">
        <f>C17*$C$22+E17*$E$22+H17*$H$22+I17*$I$22+J17*$J$22+D17*$D$22+F17*$F$22+G17*$G$22+K17*$K$22+L17*$L$22</f>
        <v>7773.0957983193293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32708.571428571431</v>
      </c>
      <c r="C20" s="549">
        <f>SUM(C17:C19)</f>
        <v>38480.672268907569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7773.0957983193293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12002</v>
      </c>
      <c r="C28" s="763">
        <v>2590</v>
      </c>
      <c r="D28" s="620"/>
      <c r="E28" s="619"/>
      <c r="F28" s="619"/>
      <c r="G28" s="619" t="s">
        <v>922</v>
      </c>
      <c r="H28" s="619" t="s">
        <v>923</v>
      </c>
      <c r="I28" s="619"/>
      <c r="J28" s="762"/>
      <c r="K28" s="762"/>
      <c r="L28" s="619" t="s">
        <v>924</v>
      </c>
      <c r="M28" s="619">
        <v>1532</v>
      </c>
      <c r="N28" s="619">
        <v>6894</v>
      </c>
      <c r="O28" s="619">
        <v>9848.5714285714294</v>
      </c>
      <c r="P28" s="619">
        <v>19697.142857142859</v>
      </c>
      <c r="Q28" s="619">
        <v>0</v>
      </c>
      <c r="R28" s="619">
        <v>0</v>
      </c>
      <c r="S28" s="619">
        <v>0</v>
      </c>
      <c r="T28" s="619">
        <v>0</v>
      </c>
      <c r="U28" s="619">
        <v>0</v>
      </c>
      <c r="V28" s="619">
        <v>0</v>
      </c>
      <c r="W28" s="619">
        <v>0</v>
      </c>
      <c r="X28" s="619">
        <v>10</v>
      </c>
      <c r="Y28" s="619" t="s">
        <v>105</v>
      </c>
      <c r="Z28" s="621" t="s">
        <v>105</v>
      </c>
    </row>
    <row r="29" spans="1:26" s="573" customFormat="1" ht="25.5" hidden="1">
      <c r="A29" s="572"/>
      <c r="B29" s="763">
        <v>12002</v>
      </c>
      <c r="C29" s="763">
        <v>2590</v>
      </c>
      <c r="D29" s="620"/>
      <c r="E29" s="619"/>
      <c r="F29" s="619"/>
      <c r="G29" s="619" t="s">
        <v>922</v>
      </c>
      <c r="H29" s="619" t="s">
        <v>923</v>
      </c>
      <c r="I29" s="619"/>
      <c r="J29" s="762"/>
      <c r="K29" s="762"/>
      <c r="L29" s="619" t="s">
        <v>924</v>
      </c>
      <c r="M29" s="619">
        <v>1558</v>
      </c>
      <c r="N29" s="619">
        <v>7011</v>
      </c>
      <c r="O29" s="619">
        <v>10015.714285714286</v>
      </c>
      <c r="P29" s="619">
        <v>20031.428571428572</v>
      </c>
      <c r="Q29" s="619">
        <v>0</v>
      </c>
      <c r="R29" s="619">
        <v>0</v>
      </c>
      <c r="S29" s="619">
        <v>0</v>
      </c>
      <c r="T29" s="619">
        <v>0</v>
      </c>
      <c r="U29" s="619">
        <v>0</v>
      </c>
      <c r="V29" s="619">
        <v>0</v>
      </c>
      <c r="W29" s="619">
        <v>0</v>
      </c>
      <c r="X29" s="619">
        <v>10</v>
      </c>
      <c r="Y29" s="619" t="s">
        <v>105</v>
      </c>
      <c r="Z29" s="621" t="s">
        <v>105</v>
      </c>
    </row>
    <row r="30" spans="1:26" s="573" customFormat="1" ht="25.5" hidden="1">
      <c r="A30" s="572"/>
      <c r="B30" s="763">
        <v>12002</v>
      </c>
      <c r="C30" s="763">
        <v>2590</v>
      </c>
      <c r="D30" s="620"/>
      <c r="E30" s="619"/>
      <c r="F30" s="619"/>
      <c r="G30" s="619" t="s">
        <v>922</v>
      </c>
      <c r="H30" s="619" t="s">
        <v>923</v>
      </c>
      <c r="I30" s="619"/>
      <c r="J30" s="762"/>
      <c r="K30" s="762"/>
      <c r="L30" s="619" t="s">
        <v>924</v>
      </c>
      <c r="M30" s="619">
        <v>1998</v>
      </c>
      <c r="N30" s="619">
        <v>8991</v>
      </c>
      <c r="O30" s="619">
        <v>12844.285714285714</v>
      </c>
      <c r="P30" s="619">
        <v>25688.571428571431</v>
      </c>
      <c r="Q30" s="619">
        <v>0</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5088</v>
      </c>
      <c r="N31" s="577">
        <f>SUM(N28:N30)</f>
        <v>22896</v>
      </c>
      <c r="O31" s="577">
        <f>SUM(O28:O30)</f>
        <v>32708.571428571431</v>
      </c>
      <c r="P31" s="577">
        <f>SUM(P28:P30)</f>
        <v>65417.14285714287</v>
      </c>
      <c r="Q31" s="577">
        <f>SUM(Q28:Q30)</f>
        <v>0</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5088</v>
      </c>
      <c r="N34" s="582">
        <f>SUMIF($Z$28:$Z$30,"landbouw",N28:N30)</f>
        <v>22896</v>
      </c>
      <c r="O34" s="582">
        <f>SUMIF($Z$28:$Z$30,"landbouw",O28:O30)</f>
        <v>32708.571428571431</v>
      </c>
      <c r="P34" s="582">
        <f>SUMIF($Z$28:$Z$30,"landbouw",P28:P30)</f>
        <v>65417.14285714287</v>
      </c>
      <c r="Q34" s="582">
        <f>SUMIF($Z$28:$Z$30,"landbouw",Q28:Q30)</f>
        <v>0</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0.41176470588235292</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26936.470588235297</v>
      </c>
      <c r="C50" s="611">
        <f t="shared" si="2"/>
        <v>0</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38480.672268907569</v>
      </c>
      <c r="C51" s="614">
        <f t="shared" si="3"/>
        <v>0</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2021-11-11T13:07:20Z</dcterms:modified>
</cp:coreProperties>
</file>