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8152E62-34AC-4EAE-AF32-02EC222BA0D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Q87" i="14"/>
  <c r="D90" i="14"/>
  <c r="A31" i="23"/>
  <c r="A32" i="23"/>
  <c r="A33" i="23"/>
  <c r="F17" i="59" l="1"/>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8"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4" i="13"/>
  <c r="B33"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<sst xmlns="http://schemas.openxmlformats.org/spreadsheetml/2006/main" count="2501" uniqueCount="922">
  <si>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</si>
  <si>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</si>
  <si>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</si>
  <si>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</si>
  <si>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</si>
  <si>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</si>
  <si>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</si>
  <si>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</si>
  <si>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</si>
  <si>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</si>
  <si>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</si>
  <si>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</si>
  <si>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</si>
  <si>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</si>
  <si>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</si>
  <si>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</si>
  <si>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</si>
  <si>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</si>
  <si>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</si>
  <si>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</si>
  <si>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</si>
  <si>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</si>
  <si>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</si>
  <si>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</si>
  <si>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</si>
  <si>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</si>
  <si>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</si>
  <si>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</si>
  <si>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</si>
  <si>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</si>
  <si>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</si>
  <si>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</si>
  <si>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</si>
  <si>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</si>
  <si>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</si>
  <si>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</si>
  <si>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</si>
  <si>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</si>
  <si>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</si>
  <si>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</si>
  <si>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</si>
  <si>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</si>
  <si>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</si>
  <si>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</si>
  <si>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</si>
  <si>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</si>
  <si>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</si>
  <si>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</si>
  <si>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</si>
  <si>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</si>
  <si>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</si>
  <si>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</si>
  <si>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</si>
  <si>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</si>
  <si>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</si>
  <si>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</si>
  <si>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</si>
  <si>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</si>
  <si>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</si>
  <si>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</si>
  <si>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</si>
  <si>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</si>
  <si>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</si>
  <si>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</si>
  <si>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</si>
  <si>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</si>
  <si>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</si>
  <si>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</si>
  <si>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</si>
  <si>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</si>
  <si>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</si>
  <si>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</si>
  <si>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</si>
  <si>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</si>
  <si>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</si>
  <si>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</si>
  <si>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</si>
  <si>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</si>
  <si>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</si>
  <si>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</si>
  <si>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</si>
  <si>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</si>
  <si>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</si>
  <si>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</si>
  <si>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</si>
  <si>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</si>
  <si>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</si>
  <si>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</si>
  <si>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</si>
  <si>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</si>
  <si>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</si>
  <si>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</si>
  <si>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</si>
  <si>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</si>
  <si>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</si>
  <si>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</si>
  <si>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</si>
  <si>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</si>
  <si>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</si>
  <si>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</si>
  <si>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</si>
  <si>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</si>
  <si>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</si>
  <si>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</si>
  <si>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</si>
  <si>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</si>
  <si>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</si>
  <si>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</si>
  <si>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</si>
  <si>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</si>
  <si>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</si>
  <si>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</si>
  <si>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</si>
  <si>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</si>
  <si>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</si>
  <si>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</si>
  <si>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</si>
  <si>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</si>
  <si>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</si>
  <si>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</si>
  <si>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</si>
  <si>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</si>
  <si>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</si>
  <si>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</si>
  <si>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</si>
  <si>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</si>
  <si>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</si>
  <si>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</si>
  <si>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</si>
  <si>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</si>
  <si>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</si>
  <si>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</si>
  <si>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</si>
  <si>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</si>
  <si>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</si>
  <si>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</si>
  <si>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</si>
  <si>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</si>
  <si>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</si>
  <si>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</si>
  <si>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</si>
  <si>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</si>
  <si>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</si>
  <si>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</si>
  <si>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</si>
  <si>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</si>
  <si>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</si>
  <si>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</si>
  <si>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</si>
  <si>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</si>
  <si>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</si>
  <si>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</si>
  <si>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</si>
  <si>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</si>
  <si>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</si>
  <si>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</si>
  <si>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</si>
  <si>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</si>
  <si>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</si>
  <si>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</si>
  <si>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</si>
  <si>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</si>
  <si>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</si>
  <si>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</si>
  <si>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</si>
  <si>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</si>
  <si>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</si>
  <si>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</si>
  <si>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</si>
  <si>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</si>
  <si>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</si>
  <si>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</si>
  <si>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</si>
  <si>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</si>
  <si>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</si>
  <si>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</si>
  <si>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</si>
  <si>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</si>
  <si>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</si>
  <si>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</si>
  <si>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</si>
  <si>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</si>
  <si>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</si>
  <si>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</si>
  <si>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</si>
  <si>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</si>
  <si>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</si>
  <si>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</si>
  <si>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</si>
  <si>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</si>
  <si>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</si>
  <si>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</si>
  <si>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</si>
  <si>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</si>
  <si>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</si>
  <si>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</si>
  <si>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</si>
  <si>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</si>
  <si>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</si>
  <si>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</si>
  <si>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</si>
  <si>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</si>
  <si>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</si>
  <si>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</si>
  <si>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</si>
  <si>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</si>
  <si>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</si>
  <si>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</si>
  <si>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</si>
  <si>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</si>
  <si>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</si>
  <si>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</si>
  <si>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</si>
  <si>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</si>
  <si>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</si>
  <si>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</si>
  <si>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</si>
  <si>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</si>
  <si>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</si>
  <si>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</si>
  <si>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</si>
  <si>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</si>
  <si>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</si>
  <si>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</si>
  <si>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</si>
  <si>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</si>
  <si>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</si>
  <si>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</si>
  <si>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</si>
  <si>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</si>
  <si>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</si>
  <si>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</si>
  <si>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</si>
  <si>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</si>
  <si>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</si>
  <si>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</si>
  <si>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</si>
  <si>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</si>
  <si>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</si>
  <si>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</si>
  <si>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</si>
  <si>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</si>
  <si>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</si>
  <si>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</si>
  <si>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</si>
  <si>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</si>
  <si>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</si>
  <si>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</si>
  <si>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</si>
  <si>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</si>
  <si>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</si>
  <si>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</si>
  <si>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</si>
  <si>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</si>
  <si>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</si>
  <si>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</si>
  <si>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</si>
  <si>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</si>
  <si>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</si>
  <si>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</si>
  <si>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</si>
  <si>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</si>
  <si>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</si>
  <si>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</si>
  <si>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</si>
  <si>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</si>
  <si>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</si>
  <si>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</si>
  <si>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</si>
  <si>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</si>
  <si>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</si>
  <si>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</si>
  <si>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</si>
  <si>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</si>
  <si>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</si>
  <si>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</si>
  <si>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</si>
  <si>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</si>
  <si>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</si>
  <si>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</si>
  <si>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</si>
  <si>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</si>
  <si>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</si>
  <si>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</si>
  <si>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</si>
  <si>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</si>
  <si>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</si>
  <si>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</si>
  <si>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</si>
  <si>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</si>
  <si>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</si>
  <si>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</si>
  <si>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</si>
  <si>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</si>
  <si>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</si>
  <si>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</si>
  <si>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</si>
  <si>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</si>
  <si>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</si>
  <si>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</si>
  <si>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</si>
  <si>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</si>
  <si>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</si>
  <si>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</si>
  <si>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</si>
  <si>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</si>
  <si>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</si>
  <si>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</si>
  <si>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</si>
  <si>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</si>
  <si>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</si>
  <si>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</si>
  <si>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</si>
  <si>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</si>
  <si>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</si>
  <si>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</si>
  <si>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</si>
  <si>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</si>
  <si>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</si>
  <si>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</si>
  <si>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</si>
  <si>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</si>
  <si>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</si>
  <si>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</si>
  <si>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</si>
  <si>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</si>
  <si>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</si>
  <si>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</si>
  <si>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</si>
  <si>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</si>
  <si>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</si>
  <si>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</si>
  <si>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</si>
  <si>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</si>
  <si>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</si>
  <si>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</si>
  <si>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</si>
  <si>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</si>
  <si>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</si>
  <si>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</si>
  <si>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</si>
  <si>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</si>
  <si>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</si>
  <si>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</si>
  <si>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</si>
  <si>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</si>
  <si>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</si>
  <si>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</si>
  <si>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</si>
  <si>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</si>
  <si>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</si>
  <si>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</si>
  <si>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</si>
  <si>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</si>
  <si>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</si>
  <si>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</si>
  <si>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</si>
  <si>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</si>
  <si>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</si>
  <si>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</si>
  <si>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</si>
  <si>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</si>
  <si>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</si>
  <si>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</si>
  <si>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</si>
  <si>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</si>
  <si>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</si>
  <si>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</si>
  <si>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</si>
  <si>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</si>
  <si>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</si>
  <si>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</si>
  <si>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</si>
  <si>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</si>
  <si>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</si>
  <si>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</si>
  <si>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</si>
  <si>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</si>
  <si>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</si>
  <si>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</si>
  <si>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</si>
  <si>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</si>
  <si>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</si>
  <si>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</si>
  <si>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</si>
  <si>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</si>
  <si>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</si>
  <si>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</si>
  <si>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</si>
  <si>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</si>
  <si>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</si>
  <si>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</si>
  <si>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</si>
  <si>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</si>
  <si>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</si>
  <si>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</si>
  <si>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</si>
  <si>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</si>
  <si>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</si>
  <si>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</si>
  <si>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</si>
  <si>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</si>
  <si>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</si>
  <si>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</si>
  <si>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</si>
  <si>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</si>
  <si>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</si>
  <si>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</si>
  <si>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</si>
  <si>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</si>
  <si>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</si>
  <si>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</si>
  <si>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</si>
  <si>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</si>
  <si>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</si>
  <si>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</si>
  <si>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</si>
  <si>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</si>
  <si>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</si>
  <si>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</si>
  <si>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</si>
  <si>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</si>
  <si>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</si>
  <si>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</si>
  <si>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</si>
  <si>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</si>
  <si>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</si>
  <si>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</si>
  <si>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</si>
  <si>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</si>
  <si>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</si>
  <si>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</si>
  <si>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</si>
  <si>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</si>
  <si>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</si>
  <si>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</si>
  <si>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</si>
  <si>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</si>
  <si>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</si>
  <si>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</si>
  <si>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</si>
  <si>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</si>
  <si>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</si>
  <si>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</si>
  <si>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</si>
  <si>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</si>
  <si>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</si>
  <si>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</si>
  <si>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</si>
  <si>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</si>
  <si>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</si>
  <si>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</si>
  <si>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</si>
  <si>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</si>
  <si>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</si>
  <si>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</si>
  <si>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</si>
  <si>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</si>
  <si>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</si>
  <si>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</si>
  <si>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</si>
  <si>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</si>
  <si>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</si>
  <si>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</si>
  <si>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</si>
  <si>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</si>
  <si>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</si>
  <si>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</si>
  <si>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</si>
  <si>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</si>
  <si>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</si>
  <si>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</si>
  <si>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</si>
  <si>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</si>
  <si>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</si>
  <si>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</si>
  <si>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</si>
  <si>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</si>
  <si>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</si>
  <si>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</si>
  <si>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</si>
  <si>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</si>
  <si>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</si>
  <si>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</si>
  <si>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</si>
  <si>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</si>
  <si>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</si>
  <si>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</si>
  <si>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</si>
  <si>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</si>
  <si>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</si>
  <si>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</si>
  <si>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</si>
  <si>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</si>
  <si>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</si>
  <si>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</si>
  <si>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</si>
  <si>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</si>
  <si>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</si>
  <si>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</si>
  <si>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</si>
  <si>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</si>
  <si>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</si>
  <si>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</si>
  <si>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</si>
  <si>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</si>
  <si>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</si>
  <si>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</si>
  <si>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</si>
  <si>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</si>
  <si>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</si>
  <si>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</si>
  <si>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</si>
  <si>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</si>
  <si>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</si>
  <si>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</si>
  <si>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</si>
  <si>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</si>
  <si>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</si>
  <si>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</si>
  <si>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</si>
  <si>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</si>
  <si>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</si>
  <si>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</si>
  <si>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</si>
  <si>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</si>
  <si>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</si>
  <si>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</si>
  <si>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</si>
  <si>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</si>
  <si>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</si>
  <si>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</si>
  <si>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</si>
  <si>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</si>
  <si>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</si>
  <si>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</si>
  <si>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</si>
  <si>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</si>
  <si>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</si>
  <si>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</si>
  <si>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</si>
  <si>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</si>
  <si>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</si>
  <si>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</si>
  <si>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</si>
  <si>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</si>
  <si>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</si>
  <si>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</si>
  <si>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</si>
  <si>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</si>
  <si>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</si>
  <si>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</si>
  <si>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</si>
  <si>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</si>
  <si>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</si>
  <si>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</si>
  <si>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</si>
  <si>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</si>
  <si>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</si>
  <si>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</si>
  <si>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</si>
  <si>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</si>
  <si>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</si>
  <si>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</si>
  <si>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</si>
  <si>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</si>
  <si>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</si>
  <si>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</si>
  <si>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</si>
  <si>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</si>
  <si>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</si>
  <si>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</si>
  <si>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</si>
  <si>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</si>
  <si>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</si>
  <si>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</si>
  <si>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</si>
  <si>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</si>
  <si>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</si>
  <si>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</si>
  <si>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</si>
  <si>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</si>
  <si>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</si>
  <si>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</si>
  <si>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</si>
  <si>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</si>
  <si>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</si>
  <si>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</si>
  <si>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</si>
  <si>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</si>
  <si>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</si>
  <si>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</si>
  <si>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</si>
  <si>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</si>
  <si>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</si>
  <si>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</si>
  <si>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</si>
  <si>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</si>
  <si>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</si>
  <si>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</si>
  <si>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</si>
  <si>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</si>
  <si>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</si>
  <si>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</si>
  <si>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</si>
  <si>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</si>
  <si>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</si>
  <si>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</si>
  <si>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</si>
  <si>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</si>
  <si>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</si>
  <si>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</si>
  <si>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</si>
  <si>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</si>
  <si>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</si>
  <si>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</si>
  <si>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</si>
  <si>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</si>
  <si>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</si>
  <si>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</si>
  <si>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</si>
  <si>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</si>
  <si>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</si>
  <si>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</si>
  <si>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</si>
  <si>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</si>
  <si>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</si>
  <si>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</si>
  <si>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</si>
  <si>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</si>
  <si>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</si>
  <si>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</si>
  <si>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</si>
  <si>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</si>
  <si>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</si>
  <si>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</si>
  <si>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</si>
  <si>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</si>
  <si>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</si>
  <si>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</si>
  <si>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</si>
  <si>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</si>
  <si>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</si>
  <si>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</si>
  <si>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</si>
  <si>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</si>
  <si>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</si>
  <si>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</si>
  <si>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</si>
  <si>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</si>
  <si>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</si>
  <si>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</si>
  <si>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</si>
  <si>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</si>
  <si>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</si>
  <si>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</si>
  <si>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</si>
  <si>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</si>
  <si>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</si>
  <si>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</si>
  <si>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</si>
  <si>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</si>
  <si>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</si>
  <si>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</si>
  <si>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</si>
  <si>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</si>
  <si>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</si>
  <si>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</si>
  <si>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</si>
  <si>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</si>
  <si>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</si>
  <si>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</si>
  <si>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</si>
  <si>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</si>
  <si>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</si>
  <si>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</si>
  <si>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</si>
  <si>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</si>
  <si>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</si>
  <si>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</si>
  <si>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</si>
  <si>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</si>
  <si>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</si>
  <si>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</si>
  <si>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</si>
  <si>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</si>
  <si>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</si>
  <si>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</si>
  <si>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</si>
  <si>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</si>
  <si>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</si>
  <si>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</si>
  <si>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</si>
  <si>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</si>
  <si>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</si>
  <si>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</si>
  <si>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</si>
  <si>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</si>
  <si>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</si>
  <si>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</si>
  <si>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</si>
  <si>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</si>
  <si>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</si>
  <si>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</si>
  <si>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</si>
  <si>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</si>
  <si>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</si>
  <si>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</si>
  <si>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</si>
  <si>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</si>
  <si>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</si>
  <si>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</si>
  <si>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</si>
  <si>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</si>
  <si>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</si>
  <si>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</si>
  <si>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</si>
  <si>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</si>
  <si>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</si>
  <si>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</si>
  <si>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</si>
  <si>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</si>
  <si>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</si>
  <si>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</si>
  <si>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</si>
  <si>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</si>
  <si>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</si>
  <si>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</si>
  <si>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</si>
  <si>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</si>
  <si>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</si>
  <si>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</si>
  <si>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</si>
  <si>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</si>
  <si>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</si>
  <si>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</si>
  <si>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</si>
  <si>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</si>
  <si>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</si>
  <si>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</si>
  <si>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</si>
  <si>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</si>
  <si>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</si>
  <si>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</si>
  <si>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</si>
  <si>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</si>
  <si>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</si>
  <si>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</si>
  <si>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</si>
  <si>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</si>
  <si>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</si>
  <si>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</si>
  <si>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</si>
  <si>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</si>
  <si>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</si>
  <si>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</si>
  <si>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</si>
  <si>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</si>
  <si>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</si>
  <si>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</si>
  <si>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</si>
  <si>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</si>
  <si>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</si>
  <si>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</si>
  <si>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</si>
  <si>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</si>
  <si>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</si>
  <si>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</si>
  <si>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</si>
  <si>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</si>
  <si>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</si>
  <si>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</si>
  <si>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</si>
  <si>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</si>
  <si>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</si>
  <si>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</si>
  <si>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</si>
  <si>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</si>
  <si>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</si>
  <si>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</si>
  <si>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</si>
  <si>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</si>
  <si>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</si>
  <si>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</si>
  <si>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</si>
  <si>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</si>
  <si>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</si>
  <si>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</si>
  <si>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</si>
  <si>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</si>
  <si>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</si>
  <si>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</si>
  <si>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</si>
  <si>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</si>
  <si>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</si>
  <si>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</si>
  <si>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</si>
  <si>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</si>
  <si>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</si>
  <si>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</si>
  <si>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</si>
  <si>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</si>
  <si>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</si>
  <si>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</si>
  <si>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</si>
  <si>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</si>
  <si>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</si>
  <si>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</si>
  <si>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</si>
  <si>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</si>
  <si>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</si>
  <si>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</si>
  <si>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</si>
  <si>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</si>
  <si>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</si>
  <si>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</si>
  <si>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</si>
  <si>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</si>
  <si>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</si>
  <si>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</si>
  <si>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</si>
  <si>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</si>
  <si>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</si>
  <si>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</si>
  <si>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</si>
  <si>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</si>
  <si>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</si>
  <si>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</si>
  <si>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</si>
  <si>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</si>
  <si>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</si>
  <si>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</si>
  <si>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</si>
  <si>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</si>
  <si>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</si>
  <si>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</si>
  <si>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</si>
  <si>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</si>
  <si>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</si>
  <si>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</si>
  <si>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</si>
  <si>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</si>
  <si>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</si>
  <si>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</si>
  <si>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</si>
  <si>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</si>
  <si>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</si>
  <si>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</si>
  <si>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</si>
  <si>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</si>
  <si>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</si>
  <si>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</si>
  <si>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</si>
  <si>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</si>
  <si>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</si>
  <si>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</si>
  <si>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</si>
  <si>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</si>
  <si>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</si>
  <si>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</si>
  <si>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</si>
  <si>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</si>
  <si>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</si>
  <si>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</si>
  <si>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</si>
  <si>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</si>
  <si>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</si>
  <si>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</si>
  <si>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</si>
  <si>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</si>
  <si>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</si>
  <si>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</si>
  <si>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</si>
  <si>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</si>
  <si>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</si>
  <si>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</si>
  <si>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</si>
  <si>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</si>
  <si>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</si>
  <si>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</si>
  <si>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</si>
  <si>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</si>
  <si>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</si>
  <si>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</si>
  <si>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</si>
  <si>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</si>
  <si>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</si>
  <si>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</si>
  <si>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</si>
  <si>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</si>
  <si>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</si>
  <si>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</si>
  <si>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</si>
  <si>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</si>
  <si>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</si>
  <si>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</si>
  <si>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</si>
  <si>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</si>
  <si>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</si>
  <si>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</si>
  <si>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</si>
  <si>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</si>
  <si>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</si>
  <si>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</si>
  <si>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</si>
  <si>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</si>
  <si>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</si>
  <si>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</si>
  <si>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</si>
  <si>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</si>
  <si>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</si>
  <si>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</si>
  <si>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</si>
  <si>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</si>
  <si>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</si>
  <si>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</si>
  <si>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11018</t>
  </si>
  <si>
    <t>HEMIKSEM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</si>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</sst>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72F46564-0620-4E80-9C29-0D74747594D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87472.61125226639</c:v>
                </c:pt>
                <c:pt idx="1">
                  <c:v>25397.158240711185</c:v>
                </c:pt>
                <c:pt idx="2">
                  <c:v>463.476</c:v>
                </c:pt>
                <c:pt idx="3">
                  <c:v>176.71388372072724</c:v>
                </c:pt>
                <c:pt idx="4">
                  <c:v>76065.954178861968</c:v>
                </c:pt>
                <c:pt idx="5">
                  <c:v>26602.375121305718</c:v>
                </c:pt>
                <c:pt idx="6">
                  <c:v>1145.4120977035411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87472.61125226639</c:v>
                </c:pt>
                <c:pt idx="1">
                  <c:v>25397.158240711185</c:v>
                </c:pt>
                <c:pt idx="2">
                  <c:v>463.476</c:v>
                </c:pt>
                <c:pt idx="3">
                  <c:v>176.71388372072724</c:v>
                </c:pt>
                <c:pt idx="4">
                  <c:v>76065.954178861968</c:v>
                </c:pt>
                <c:pt idx="5">
                  <c:v>26602.375121305718</c:v>
                </c:pt>
                <c:pt idx="6">
                  <c:v>1145.4120977035411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17590.771275315765</c:v>
                </c:pt>
                <c:pt idx="2">
                  <c:v>5217.8424437826361</c:v>
                </c:pt>
                <c:pt idx="3">
                  <c:v>100.23103217430778</c:v>
                </c:pt>
                <c:pt idx="4">
                  <c:v>43.200994062271889</c:v>
                </c:pt>
                <c:pt idx="5">
                  <c:v>15821.520566409268</c:v>
                </c:pt>
                <c:pt idx="6">
                  <c:v>6668.3112514062323</c:v>
                </c:pt>
                <c:pt idx="7">
                  <c:v>288.9717200566929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17590.771275315765</c:v>
                </c:pt>
                <c:pt idx="2">
                  <c:v>5217.8424437826361</c:v>
                </c:pt>
                <c:pt idx="3">
                  <c:v>100.23103217430778</c:v>
                </c:pt>
                <c:pt idx="4">
                  <c:v>43.200994062271889</c:v>
                </c:pt>
                <c:pt idx="5">
                  <c:v>15821.520566409268</c:v>
                </c:pt>
                <c:pt idx="6">
                  <c:v>6668.3112514062323</c:v>
                </c:pt>
                <c:pt idx="7">
                  <c:v>288.9717200566929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11018</v>
      </c>
      <c r="B6" s="383"/>
      <c r="C6" s="384"/>
    </row>
    <row r="7" spans="1:7" s="381" customFormat="1" ht="15.75" customHeight="1">
      <c r="A7" s="385" t="str">
        <f>txtMunicipality</f>
        <v>HEMIKSEM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9115.3217801047122</v>
      </c>
      <c r="D10" s="983">
        <f ca="1">tertiair!C16</f>
        <v>0</v>
      </c>
      <c r="E10" s="983">
        <f ca="1">tertiair!D16</f>
        <v>14799.929408</v>
      </c>
      <c r="F10" s="983">
        <f>tertiair!E16</f>
        <v>102.84569267023682</v>
      </c>
      <c r="G10" s="983">
        <f ca="1">tertiair!F16</f>
        <v>1250.4416897887304</v>
      </c>
      <c r="H10" s="983">
        <f>tertiair!G16</f>
        <v>0</v>
      </c>
      <c r="I10" s="983">
        <f>tertiair!H16</f>
        <v>0</v>
      </c>
      <c r="J10" s="983">
        <f>tertiair!I16</f>
        <v>0</v>
      </c>
      <c r="K10" s="983">
        <f>tertiair!J16</f>
        <v>0</v>
      </c>
      <c r="L10" s="983">
        <f>tertiair!K16</f>
        <v>0</v>
      </c>
      <c r="M10" s="983">
        <f ca="1">tertiair!L16</f>
        <v>0</v>
      </c>
      <c r="N10" s="983">
        <f>tertiair!M16</f>
        <v>0</v>
      </c>
      <c r="O10" s="983">
        <f ca="1">tertiair!N16</f>
        <v>571.46567014750849</v>
      </c>
      <c r="P10" s="983">
        <f>tertiair!O16</f>
        <v>1.5633333333333335</v>
      </c>
      <c r="Q10" s="984">
        <f>tertiair!P16</f>
        <v>19.066666666666666</v>
      </c>
      <c r="R10" s="667">
        <f ca="1">SUM(C10:Q10)</f>
        <v>25860.634240711184</v>
      </c>
      <c r="S10" s="67"/>
    </row>
    <row r="11" spans="1:19" s="440" customFormat="1">
      <c r="A11" s="776" t="s">
        <v>214</v>
      </c>
      <c r="B11" s="781"/>
      <c r="C11" s="983">
        <f>huishoudens!B8</f>
        <v>15979.453732403677</v>
      </c>
      <c r="D11" s="983">
        <f>huishoudens!C8</f>
        <v>0</v>
      </c>
      <c r="E11" s="983">
        <f>huishoudens!D8</f>
        <v>56301.096434000006</v>
      </c>
      <c r="F11" s="983">
        <f>huishoudens!E8</f>
        <v>310.00057479971565</v>
      </c>
      <c r="G11" s="983">
        <f>huishoudens!F8</f>
        <v>9779.5509934992842</v>
      </c>
      <c r="H11" s="983">
        <f>huishoudens!G8</f>
        <v>0</v>
      </c>
      <c r="I11" s="983">
        <f>huishoudens!H8</f>
        <v>0</v>
      </c>
      <c r="J11" s="983">
        <f>huishoudens!I8</f>
        <v>0</v>
      </c>
      <c r="K11" s="983">
        <f>huishoudens!J8</f>
        <v>228.05875973205025</v>
      </c>
      <c r="L11" s="983">
        <f>huishoudens!K8</f>
        <v>0</v>
      </c>
      <c r="M11" s="983">
        <f>huishoudens!L8</f>
        <v>0</v>
      </c>
      <c r="N11" s="983">
        <f>huishoudens!M8</f>
        <v>0</v>
      </c>
      <c r="O11" s="983">
        <f>huishoudens!N8</f>
        <v>4752.8474244983145</v>
      </c>
      <c r="P11" s="983">
        <f>huishoudens!O8</f>
        <v>45.336666666666673</v>
      </c>
      <c r="Q11" s="984">
        <f>huishoudens!P8</f>
        <v>76.266666666666666</v>
      </c>
      <c r="R11" s="667">
        <f>SUM(C11:Q11)</f>
        <v>87472.61125226639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21332.173999999999</v>
      </c>
      <c r="D13" s="983">
        <f>industrie!C18</f>
        <v>0</v>
      </c>
      <c r="E13" s="983">
        <f>industrie!D18</f>
        <v>46684.107734000005</v>
      </c>
      <c r="F13" s="983">
        <f>industrie!E18</f>
        <v>1202.8869070753606</v>
      </c>
      <c r="G13" s="983">
        <f>industrie!F18</f>
        <v>5520.1785445678051</v>
      </c>
      <c r="H13" s="983">
        <f>industrie!G18</f>
        <v>0</v>
      </c>
      <c r="I13" s="983">
        <f>industrie!H18</f>
        <v>0</v>
      </c>
      <c r="J13" s="983">
        <f>industrie!I18</f>
        <v>0</v>
      </c>
      <c r="K13" s="983">
        <f>industrie!J18</f>
        <v>87.867491965726373</v>
      </c>
      <c r="L13" s="983">
        <f>industrie!K18</f>
        <v>0</v>
      </c>
      <c r="M13" s="983">
        <f>industrie!L18</f>
        <v>0</v>
      </c>
      <c r="N13" s="983">
        <f>industrie!M18</f>
        <v>0</v>
      </c>
      <c r="O13" s="983">
        <f>industrie!N18</f>
        <v>1238.7395012530828</v>
      </c>
      <c r="P13" s="983">
        <f>industrie!O18</f>
        <v>0</v>
      </c>
      <c r="Q13" s="984">
        <f>industrie!P18</f>
        <v>0</v>
      </c>
      <c r="R13" s="667">
        <f>SUM(C13:Q13)</f>
        <v>76065.954178861968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46426.949512508392</v>
      </c>
      <c r="D16" s="699">
        <f t="shared" ref="D16:R16" ca="1" si="0">SUM(D9:D15)</f>
        <v>0</v>
      </c>
      <c r="E16" s="699">
        <f t="shared" ca="1" si="0"/>
        <v>117785.13357600001</v>
      </c>
      <c r="F16" s="699">
        <f t="shared" si="0"/>
        <v>1615.733174545313</v>
      </c>
      <c r="G16" s="699">
        <f t="shared" ca="1" si="0"/>
        <v>16550.171227855819</v>
      </c>
      <c r="H16" s="699">
        <f t="shared" si="0"/>
        <v>0</v>
      </c>
      <c r="I16" s="699">
        <f t="shared" si="0"/>
        <v>0</v>
      </c>
      <c r="J16" s="699">
        <f t="shared" si="0"/>
        <v>0</v>
      </c>
      <c r="K16" s="699">
        <f t="shared" si="0"/>
        <v>315.92625169777659</v>
      </c>
      <c r="L16" s="699">
        <f t="shared" si="0"/>
        <v>0</v>
      </c>
      <c r="M16" s="699">
        <f t="shared" ca="1" si="0"/>
        <v>0</v>
      </c>
      <c r="N16" s="699">
        <f t="shared" si="0"/>
        <v>0</v>
      </c>
      <c r="O16" s="699">
        <f t="shared" ca="1" si="0"/>
        <v>6563.0525958989056</v>
      </c>
      <c r="P16" s="699">
        <f t="shared" si="0"/>
        <v>46.900000000000006</v>
      </c>
      <c r="Q16" s="699">
        <f t="shared" si="0"/>
        <v>95.333333333333329</v>
      </c>
      <c r="R16" s="699">
        <f t="shared" ca="1" si="0"/>
        <v>189399.19967183954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5.6873856200056423</v>
      </c>
      <c r="D19" s="983">
        <f>transport!C54</f>
        <v>0</v>
      </c>
      <c r="E19" s="983">
        <f>transport!D54</f>
        <v>0</v>
      </c>
      <c r="F19" s="983">
        <f>transport!E54</f>
        <v>0</v>
      </c>
      <c r="G19" s="983">
        <f>transport!F54</f>
        <v>0</v>
      </c>
      <c r="H19" s="983">
        <f>transport!G54</f>
        <v>1077.684530230408</v>
      </c>
      <c r="I19" s="983">
        <f>transport!H54</f>
        <v>0</v>
      </c>
      <c r="J19" s="983">
        <f>transport!I54</f>
        <v>0</v>
      </c>
      <c r="K19" s="983">
        <f>transport!J54</f>
        <v>0</v>
      </c>
      <c r="L19" s="983">
        <f>transport!K54</f>
        <v>0</v>
      </c>
      <c r="M19" s="983">
        <f>transport!L54</f>
        <v>0</v>
      </c>
      <c r="N19" s="983">
        <f>transport!M54</f>
        <v>62.040181853127557</v>
      </c>
      <c r="O19" s="983">
        <f>transport!N54</f>
        <v>0</v>
      </c>
      <c r="P19" s="983">
        <f>transport!O54</f>
        <v>0</v>
      </c>
      <c r="Q19" s="984">
        <f>transport!P54</f>
        <v>0</v>
      </c>
      <c r="R19" s="667">
        <f>SUM(C19:Q19)</f>
        <v>1145.4120977035411</v>
      </c>
      <c r="S19" s="67"/>
    </row>
    <row r="20" spans="1:19" s="440" customFormat="1">
      <c r="A20" s="776" t="s">
        <v>296</v>
      </c>
      <c r="B20" s="781"/>
      <c r="C20" s="983">
        <f>transport!B14</f>
        <v>4.4952182514282857</v>
      </c>
      <c r="D20" s="983">
        <f>transport!C14</f>
        <v>0</v>
      </c>
      <c r="E20" s="983">
        <f>transport!D14</f>
        <v>6.7168541477413246</v>
      </c>
      <c r="F20" s="983">
        <f>transport!E14</f>
        <v>65.926370781008799</v>
      </c>
      <c r="G20" s="983">
        <f>transport!F14</f>
        <v>0</v>
      </c>
      <c r="H20" s="983">
        <f>transport!G14</f>
        <v>21276.831455755353</v>
      </c>
      <c r="I20" s="983">
        <f>transport!H14</f>
        <v>3895.9961000186245</v>
      </c>
      <c r="J20" s="983">
        <f>transport!I14</f>
        <v>0</v>
      </c>
      <c r="K20" s="983">
        <f>transport!J14</f>
        <v>0</v>
      </c>
      <c r="L20" s="983">
        <f>transport!K14</f>
        <v>0</v>
      </c>
      <c r="M20" s="983">
        <f>transport!L14</f>
        <v>0</v>
      </c>
      <c r="N20" s="983">
        <f>transport!M14</f>
        <v>1352.4091223515625</v>
      </c>
      <c r="O20" s="983">
        <f>transport!N14</f>
        <v>0</v>
      </c>
      <c r="P20" s="983">
        <f>transport!O14</f>
        <v>0</v>
      </c>
      <c r="Q20" s="984">
        <f>transport!P14</f>
        <v>0</v>
      </c>
      <c r="R20" s="667">
        <f>SUM(C20:Q20)</f>
        <v>26602.375121305718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10.182603871433928</v>
      </c>
      <c r="D22" s="779">
        <f t="shared" ref="D22:R22" si="1">SUM(D18:D21)</f>
        <v>0</v>
      </c>
      <c r="E22" s="779">
        <f t="shared" si="1"/>
        <v>6.7168541477413246</v>
      </c>
      <c r="F22" s="779">
        <f t="shared" si="1"/>
        <v>65.926370781008799</v>
      </c>
      <c r="G22" s="779">
        <f t="shared" si="1"/>
        <v>0</v>
      </c>
      <c r="H22" s="779">
        <f t="shared" si="1"/>
        <v>22354.515985985759</v>
      </c>
      <c r="I22" s="779">
        <f t="shared" si="1"/>
        <v>3895.9961000186245</v>
      </c>
      <c r="J22" s="779">
        <f t="shared" si="1"/>
        <v>0</v>
      </c>
      <c r="K22" s="779">
        <f t="shared" si="1"/>
        <v>0</v>
      </c>
      <c r="L22" s="779">
        <f t="shared" si="1"/>
        <v>0</v>
      </c>
      <c r="M22" s="779">
        <f t="shared" si="1"/>
        <v>0</v>
      </c>
      <c r="N22" s="779">
        <f t="shared" si="1"/>
        <v>1414.44930420469</v>
      </c>
      <c r="O22" s="779">
        <f t="shared" si="1"/>
        <v>0</v>
      </c>
      <c r="P22" s="779">
        <f t="shared" si="1"/>
        <v>0</v>
      </c>
      <c r="Q22" s="779">
        <f t="shared" si="1"/>
        <v>0</v>
      </c>
      <c r="R22" s="779">
        <f t="shared" si="1"/>
        <v>27747.78721900926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37.021999999999998</v>
      </c>
      <c r="D24" s="983">
        <f>+landbouw!C8</f>
        <v>0</v>
      </c>
      <c r="E24" s="983">
        <f>+landbouw!D8</f>
        <v>39.741217999999996</v>
      </c>
      <c r="F24" s="983">
        <f>+landbouw!E8</f>
        <v>0.34291327023896334</v>
      </c>
      <c r="G24" s="983">
        <f>+landbouw!F8</f>
        <v>93.931866683762422</v>
      </c>
      <c r="H24" s="983">
        <f>+landbouw!G8</f>
        <v>0</v>
      </c>
      <c r="I24" s="983">
        <f>+landbouw!H8</f>
        <v>0</v>
      </c>
      <c r="J24" s="983">
        <f>+landbouw!I8</f>
        <v>0</v>
      </c>
      <c r="K24" s="983">
        <f>+landbouw!J8</f>
        <v>5.6758857667258678</v>
      </c>
      <c r="L24" s="983">
        <f>+landbouw!K8</f>
        <v>0</v>
      </c>
      <c r="M24" s="983">
        <f>+landbouw!L8</f>
        <v>0</v>
      </c>
      <c r="N24" s="983">
        <f>+landbouw!M8</f>
        <v>0</v>
      </c>
      <c r="O24" s="983">
        <f>+landbouw!N8</f>
        <v>0</v>
      </c>
      <c r="P24" s="983">
        <f>+landbouw!O8</f>
        <v>0</v>
      </c>
      <c r="Q24" s="984">
        <f>+landbouw!P8</f>
        <v>0</v>
      </c>
      <c r="R24" s="667">
        <f>SUM(C24:Q24)</f>
        <v>176.71388372072724</v>
      </c>
      <c r="S24" s="67"/>
    </row>
    <row r="25" spans="1:19" s="440" customFormat="1" ht="15" thickBot="1">
      <c r="A25" s="798" t="s">
        <v>829</v>
      </c>
      <c r="B25" s="986"/>
      <c r="C25" s="987">
        <f>IF(Onbekend_ele_kWh="---",0,Onbekend_ele_kWh)/1000+IF(REST_rest_ele_kWh="---",0,REST_rest_ele_kWh)/1000</f>
        <v>361.23</v>
      </c>
      <c r="D25" s="987"/>
      <c r="E25" s="987">
        <f>IF(onbekend_gas_kWh="---",0,onbekend_gas_kWh)/1000+IF(REST_rest_gas_kWh="---",0,REST_rest_gas_kWh)/1000</f>
        <v>613.54499999999996</v>
      </c>
      <c r="F25" s="987"/>
      <c r="G25" s="987"/>
      <c r="H25" s="987"/>
      <c r="I25" s="987"/>
      <c r="J25" s="987"/>
      <c r="K25" s="987"/>
      <c r="L25" s="987"/>
      <c r="M25" s="987"/>
      <c r="N25" s="987"/>
      <c r="O25" s="987"/>
      <c r="P25" s="987"/>
      <c r="Q25" s="988"/>
      <c r="R25" s="667">
        <f>SUM(C25:Q25)</f>
        <v>974.77499999999998</v>
      </c>
      <c r="S25" s="67"/>
    </row>
    <row r="26" spans="1:19" s="440" customFormat="1" ht="15.75" thickBot="1">
      <c r="A26" s="672" t="s">
        <v>830</v>
      </c>
      <c r="B26" s="784"/>
      <c r="C26" s="779">
        <f>SUM(C24:C25)</f>
        <v>398.25200000000001</v>
      </c>
      <c r="D26" s="779">
        <f t="shared" ref="D26:R26" si="2">SUM(D24:D25)</f>
        <v>0</v>
      </c>
      <c r="E26" s="779">
        <f t="shared" si="2"/>
        <v>653.28621799999996</v>
      </c>
      <c r="F26" s="779">
        <f t="shared" si="2"/>
        <v>0.34291327023896334</v>
      </c>
      <c r="G26" s="779">
        <f t="shared" si="2"/>
        <v>93.931866683762422</v>
      </c>
      <c r="H26" s="779">
        <f t="shared" si="2"/>
        <v>0</v>
      </c>
      <c r="I26" s="779">
        <f t="shared" si="2"/>
        <v>0</v>
      </c>
      <c r="J26" s="779">
        <f t="shared" si="2"/>
        <v>0</v>
      </c>
      <c r="K26" s="779">
        <f t="shared" si="2"/>
        <v>5.6758857667258678</v>
      </c>
      <c r="L26" s="779">
        <f t="shared" si="2"/>
        <v>0</v>
      </c>
      <c r="M26" s="779">
        <f t="shared" si="2"/>
        <v>0</v>
      </c>
      <c r="N26" s="779">
        <f t="shared" si="2"/>
        <v>0</v>
      </c>
      <c r="O26" s="779">
        <f t="shared" si="2"/>
        <v>0</v>
      </c>
      <c r="P26" s="779">
        <f t="shared" si="2"/>
        <v>0</v>
      </c>
      <c r="Q26" s="779">
        <f t="shared" si="2"/>
        <v>0</v>
      </c>
      <c r="R26" s="779">
        <f t="shared" si="2"/>
        <v>1151.4888837207272</v>
      </c>
      <c r="S26" s="67"/>
    </row>
    <row r="27" spans="1:19" s="440" customFormat="1" ht="17.25" thickTop="1" thickBot="1">
      <c r="A27" s="673" t="s">
        <v>109</v>
      </c>
      <c r="B27" s="772"/>
      <c r="C27" s="674">
        <f ca="1">C22+C16+C26</f>
        <v>46835.384116379828</v>
      </c>
      <c r="D27" s="674">
        <f t="shared" ref="D27:R27" ca="1" si="3">D22+D16+D26</f>
        <v>0</v>
      </c>
      <c r="E27" s="674">
        <f t="shared" ca="1" si="3"/>
        <v>118445.13664814775</v>
      </c>
      <c r="F27" s="674">
        <f t="shared" si="3"/>
        <v>1682.0024585965607</v>
      </c>
      <c r="G27" s="674">
        <f t="shared" ca="1" si="3"/>
        <v>16644.10309453958</v>
      </c>
      <c r="H27" s="674">
        <f t="shared" si="3"/>
        <v>22354.515985985759</v>
      </c>
      <c r="I27" s="674">
        <f t="shared" si="3"/>
        <v>3895.9961000186245</v>
      </c>
      <c r="J27" s="674">
        <f t="shared" si="3"/>
        <v>0</v>
      </c>
      <c r="K27" s="674">
        <f t="shared" si="3"/>
        <v>321.60213746450245</v>
      </c>
      <c r="L27" s="674">
        <f t="shared" si="3"/>
        <v>0</v>
      </c>
      <c r="M27" s="674">
        <f t="shared" ca="1" si="3"/>
        <v>0</v>
      </c>
      <c r="N27" s="674">
        <f t="shared" si="3"/>
        <v>1414.44930420469</v>
      </c>
      <c r="O27" s="674">
        <f t="shared" ca="1" si="3"/>
        <v>6563.0525958989056</v>
      </c>
      <c r="P27" s="674">
        <f t="shared" si="3"/>
        <v>46.900000000000006</v>
      </c>
      <c r="Q27" s="674">
        <f t="shared" si="3"/>
        <v>95.333333333333329</v>
      </c>
      <c r="R27" s="674">
        <f t="shared" ca="1" si="3"/>
        <v>218298.47577456952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1971.2738321312081</v>
      </c>
      <c r="D40" s="983">
        <f ca="1">tertiair!C20</f>
        <v>0</v>
      </c>
      <c r="E40" s="983">
        <f ca="1">tertiair!D20</f>
        <v>2989.5857404160001</v>
      </c>
      <c r="F40" s="983">
        <f>tertiair!E20</f>
        <v>23.345972236143758</v>
      </c>
      <c r="G40" s="983">
        <f ca="1">tertiair!F20</f>
        <v>333.86793117359105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5318.0734759569432</v>
      </c>
    </row>
    <row r="41" spans="1:18">
      <c r="A41" s="789" t="s">
        <v>214</v>
      </c>
      <c r="B41" s="796"/>
      <c r="C41" s="983">
        <f ca="1">huishoudens!B12</f>
        <v>3455.7067489587716</v>
      </c>
      <c r="D41" s="983">
        <f ca="1">huishoudens!C12</f>
        <v>0</v>
      </c>
      <c r="E41" s="983">
        <f>huishoudens!D12</f>
        <v>11372.821479668002</v>
      </c>
      <c r="F41" s="983">
        <f>huishoudens!E12</f>
        <v>70.370130479535462</v>
      </c>
      <c r="G41" s="983">
        <f>huishoudens!F12</f>
        <v>2611.1401152643089</v>
      </c>
      <c r="H41" s="983">
        <f>huishoudens!G12</f>
        <v>0</v>
      </c>
      <c r="I41" s="983">
        <f>huishoudens!H12</f>
        <v>0</v>
      </c>
      <c r="J41" s="983">
        <f>huishoudens!I12</f>
        <v>0</v>
      </c>
      <c r="K41" s="983">
        <f>huishoudens!J12</f>
        <v>80.732800945145783</v>
      </c>
      <c r="L41" s="983">
        <f>huishoudens!K12</f>
        <v>0</v>
      </c>
      <c r="M41" s="983">
        <f>huishoudens!L12</f>
        <v>0</v>
      </c>
      <c r="N41" s="983">
        <f>huishoudens!M12</f>
        <v>0</v>
      </c>
      <c r="O41" s="983">
        <f>huishoudens!N12</f>
        <v>0</v>
      </c>
      <c r="P41" s="983">
        <f>huishoudens!O12</f>
        <v>0</v>
      </c>
      <c r="Q41" s="741">
        <f>huishoudens!P12</f>
        <v>0</v>
      </c>
      <c r="R41" s="817">
        <f t="shared" ca="1" si="4"/>
        <v>17590.771275315765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4613.2827126796901</v>
      </c>
      <c r="D43" s="983">
        <f ca="1">industrie!C22</f>
        <v>0</v>
      </c>
      <c r="E43" s="983">
        <f>industrie!D22</f>
        <v>9430.1897622680008</v>
      </c>
      <c r="F43" s="983">
        <f>industrie!E22</f>
        <v>273.05532790610687</v>
      </c>
      <c r="G43" s="983">
        <f>industrie!F22</f>
        <v>1473.887671399604</v>
      </c>
      <c r="H43" s="983">
        <f>industrie!G22</f>
        <v>0</v>
      </c>
      <c r="I43" s="983">
        <f>industrie!H22</f>
        <v>0</v>
      </c>
      <c r="J43" s="983">
        <f>industrie!I22</f>
        <v>0</v>
      </c>
      <c r="K43" s="983">
        <f>industrie!J22</f>
        <v>31.105092155867133</v>
      </c>
      <c r="L43" s="983">
        <f>industrie!K22</f>
        <v>0</v>
      </c>
      <c r="M43" s="983">
        <f>industrie!L22</f>
        <v>0</v>
      </c>
      <c r="N43" s="983">
        <f>industrie!M22</f>
        <v>0</v>
      </c>
      <c r="O43" s="983">
        <f>industrie!N22</f>
        <v>0</v>
      </c>
      <c r="P43" s="983">
        <f>industrie!O22</f>
        <v>0</v>
      </c>
      <c r="Q43" s="741">
        <f>industrie!P22</f>
        <v>0</v>
      </c>
      <c r="R43" s="816">
        <f t="shared" ca="1" si="4"/>
        <v>15821.520566409268</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10040.263293769669</v>
      </c>
      <c r="D46" s="699">
        <f t="shared" ref="D46:Q46" ca="1" si="5">SUM(D39:D45)</f>
        <v>0</v>
      </c>
      <c r="E46" s="699">
        <f t="shared" ca="1" si="5"/>
        <v>23792.596982352003</v>
      </c>
      <c r="F46" s="699">
        <f t="shared" si="5"/>
        <v>366.77143062178607</v>
      </c>
      <c r="G46" s="699">
        <f t="shared" ca="1" si="5"/>
        <v>4418.895717837504</v>
      </c>
      <c r="H46" s="699">
        <f t="shared" si="5"/>
        <v>0</v>
      </c>
      <c r="I46" s="699">
        <f t="shared" si="5"/>
        <v>0</v>
      </c>
      <c r="J46" s="699">
        <f t="shared" si="5"/>
        <v>0</v>
      </c>
      <c r="K46" s="699">
        <f t="shared" si="5"/>
        <v>111.83789310101292</v>
      </c>
      <c r="L46" s="699">
        <f t="shared" si="5"/>
        <v>0</v>
      </c>
      <c r="M46" s="699">
        <f t="shared" ca="1" si="5"/>
        <v>0</v>
      </c>
      <c r="N46" s="699">
        <f t="shared" si="5"/>
        <v>0</v>
      </c>
      <c r="O46" s="699">
        <f t="shared" ca="1" si="5"/>
        <v>0</v>
      </c>
      <c r="P46" s="699">
        <f t="shared" si="5"/>
        <v>0</v>
      </c>
      <c r="Q46" s="699">
        <f t="shared" si="5"/>
        <v>0</v>
      </c>
      <c r="R46" s="699">
        <f ca="1">SUM(R39:R45)</f>
        <v>38730.365317681979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1.2299504851739484</v>
      </c>
      <c r="D49" s="983">
        <f ca="1">transport!C58</f>
        <v>0</v>
      </c>
      <c r="E49" s="983">
        <f>transport!D58</f>
        <v>0</v>
      </c>
      <c r="F49" s="983">
        <f>transport!E58</f>
        <v>0</v>
      </c>
      <c r="G49" s="983">
        <f>transport!F58</f>
        <v>0</v>
      </c>
      <c r="H49" s="983">
        <f>transport!G58</f>
        <v>287.74176957151894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288.9717200566929</v>
      </c>
    </row>
    <row r="50" spans="1:18">
      <c r="A50" s="792" t="s">
        <v>296</v>
      </c>
      <c r="B50" s="802"/>
      <c r="C50" s="670">
        <f ca="1">transport!B18</f>
        <v>0.97213310978226286</v>
      </c>
      <c r="D50" s="670">
        <f>transport!C18</f>
        <v>0</v>
      </c>
      <c r="E50" s="670">
        <f>transport!D18</f>
        <v>1.3568045378437477</v>
      </c>
      <c r="F50" s="670">
        <f>transport!E18</f>
        <v>14.965286167288998</v>
      </c>
      <c r="G50" s="670">
        <f>transport!F18</f>
        <v>0</v>
      </c>
      <c r="H50" s="670">
        <f>transport!G18</f>
        <v>5680.9139986866794</v>
      </c>
      <c r="I50" s="670">
        <f>transport!H18</f>
        <v>970.10302890463754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6668.3112514062323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2.2020835949562114</v>
      </c>
      <c r="D52" s="699">
        <f t="shared" ref="D52:Q52" ca="1" si="6">SUM(D48:D51)</f>
        <v>0</v>
      </c>
      <c r="E52" s="699">
        <f t="shared" si="6"/>
        <v>1.3568045378437477</v>
      </c>
      <c r="F52" s="699">
        <f t="shared" si="6"/>
        <v>14.965286167288998</v>
      </c>
      <c r="G52" s="699">
        <f t="shared" si="6"/>
        <v>0</v>
      </c>
      <c r="H52" s="699">
        <f t="shared" si="6"/>
        <v>5968.6557682581988</v>
      </c>
      <c r="I52" s="699">
        <f t="shared" si="6"/>
        <v>970.10302890463754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6957.2829714629252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8.0063547479421207</v>
      </c>
      <c r="D54" s="670">
        <f ca="1">+landbouw!C12</f>
        <v>0</v>
      </c>
      <c r="E54" s="670">
        <f>+landbouw!D12</f>
        <v>8.0277260359999989</v>
      </c>
      <c r="F54" s="670">
        <f>+landbouw!E12</f>
        <v>7.7841312344244684E-2</v>
      </c>
      <c r="G54" s="670">
        <f>+landbouw!F12</f>
        <v>25.079808404564567</v>
      </c>
      <c r="H54" s="670">
        <f>+landbouw!G12</f>
        <v>0</v>
      </c>
      <c r="I54" s="670">
        <f>+landbouw!H12</f>
        <v>0</v>
      </c>
      <c r="J54" s="670">
        <f>+landbouw!I12</f>
        <v>0</v>
      </c>
      <c r="K54" s="670">
        <f>+landbouw!J12</f>
        <v>2.0092635614209571</v>
      </c>
      <c r="L54" s="670">
        <f>+landbouw!K12</f>
        <v>0</v>
      </c>
      <c r="M54" s="670">
        <f>+landbouw!L12</f>
        <v>0</v>
      </c>
      <c r="N54" s="670">
        <f>+landbouw!M12</f>
        <v>0</v>
      </c>
      <c r="O54" s="670">
        <f>+landbouw!N12</f>
        <v>0</v>
      </c>
      <c r="P54" s="670">
        <f>+landbouw!O12</f>
        <v>0</v>
      </c>
      <c r="Q54" s="671">
        <f>+landbouw!P12</f>
        <v>0</v>
      </c>
      <c r="R54" s="698">
        <f ca="1">SUM(C54:Q54)</f>
        <v>43.200994062271889</v>
      </c>
    </row>
    <row r="55" spans="1:18" ht="15" thickBot="1">
      <c r="A55" s="792" t="s">
        <v>829</v>
      </c>
      <c r="B55" s="802"/>
      <c r="C55" s="670">
        <f ca="1">C25*'EF ele_warmte'!B12</f>
        <v>78.11937565769361</v>
      </c>
      <c r="D55" s="670"/>
      <c r="E55" s="670">
        <f>E25*EF_CO2_aardgas</f>
        <v>123.93608999999999</v>
      </c>
      <c r="F55" s="670"/>
      <c r="G55" s="670"/>
      <c r="H55" s="670"/>
      <c r="I55" s="670"/>
      <c r="J55" s="670"/>
      <c r="K55" s="670"/>
      <c r="L55" s="670"/>
      <c r="M55" s="670"/>
      <c r="N55" s="670"/>
      <c r="O55" s="670"/>
      <c r="P55" s="670"/>
      <c r="Q55" s="671"/>
      <c r="R55" s="698">
        <f ca="1">SUM(C55:Q55)</f>
        <v>202.05546565769362</v>
      </c>
    </row>
    <row r="56" spans="1:18" ht="15.75" thickBot="1">
      <c r="A56" s="790" t="s">
        <v>830</v>
      </c>
      <c r="B56" s="803"/>
      <c r="C56" s="699">
        <f ca="1">SUM(C54:C55)</f>
        <v>86.125730405635736</v>
      </c>
      <c r="D56" s="699">
        <f t="shared" ref="D56:Q56" ca="1" si="7">SUM(D54:D55)</f>
        <v>0</v>
      </c>
      <c r="E56" s="699">
        <f t="shared" si="7"/>
        <v>131.963816036</v>
      </c>
      <c r="F56" s="699">
        <f t="shared" si="7"/>
        <v>7.7841312344244684E-2</v>
      </c>
      <c r="G56" s="699">
        <f t="shared" si="7"/>
        <v>25.079808404564567</v>
      </c>
      <c r="H56" s="699">
        <f t="shared" si="7"/>
        <v>0</v>
      </c>
      <c r="I56" s="699">
        <f t="shared" si="7"/>
        <v>0</v>
      </c>
      <c r="J56" s="699">
        <f t="shared" si="7"/>
        <v>0</v>
      </c>
      <c r="K56" s="699">
        <f t="shared" si="7"/>
        <v>2.0092635614209571</v>
      </c>
      <c r="L56" s="699">
        <f t="shared" si="7"/>
        <v>0</v>
      </c>
      <c r="M56" s="699">
        <f t="shared" si="7"/>
        <v>0</v>
      </c>
      <c r="N56" s="699">
        <f t="shared" si="7"/>
        <v>0</v>
      </c>
      <c r="O56" s="699">
        <f t="shared" si="7"/>
        <v>0</v>
      </c>
      <c r="P56" s="699">
        <f t="shared" si="7"/>
        <v>0</v>
      </c>
      <c r="Q56" s="700">
        <f t="shared" si="7"/>
        <v>0</v>
      </c>
      <c r="R56" s="701">
        <f ca="1">SUM(R54:R55)</f>
        <v>245.25645971996551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10128.591107770262</v>
      </c>
      <c r="D61" s="707">
        <f t="shared" ref="D61:Q61" ca="1" si="8">D46+D52+D56</f>
        <v>0</v>
      </c>
      <c r="E61" s="707">
        <f t="shared" ca="1" si="8"/>
        <v>23925.917602925849</v>
      </c>
      <c r="F61" s="707">
        <f t="shared" si="8"/>
        <v>381.81455810141927</v>
      </c>
      <c r="G61" s="707">
        <f t="shared" ca="1" si="8"/>
        <v>4443.9755262420686</v>
      </c>
      <c r="H61" s="707">
        <f t="shared" si="8"/>
        <v>5968.6557682581988</v>
      </c>
      <c r="I61" s="707">
        <f t="shared" si="8"/>
        <v>970.10302890463754</v>
      </c>
      <c r="J61" s="707">
        <f t="shared" si="8"/>
        <v>0</v>
      </c>
      <c r="K61" s="707">
        <f t="shared" si="8"/>
        <v>113.84715666243387</v>
      </c>
      <c r="L61" s="707">
        <f t="shared" si="8"/>
        <v>0</v>
      </c>
      <c r="M61" s="707">
        <f t="shared" ca="1" si="8"/>
        <v>0</v>
      </c>
      <c r="N61" s="707">
        <f t="shared" si="8"/>
        <v>0</v>
      </c>
      <c r="O61" s="707">
        <f t="shared" ca="1" si="8"/>
        <v>0</v>
      </c>
      <c r="P61" s="707">
        <f t="shared" si="8"/>
        <v>0</v>
      </c>
      <c r="Q61" s="707">
        <f t="shared" si="8"/>
        <v>0</v>
      </c>
      <c r="R61" s="707">
        <f ca="1">R46+R52+R56</f>
        <v>45932.904748864872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0.21625937950251531</v>
      </c>
      <c r="D63" s="748">
        <f t="shared" ca="1" si="9"/>
        <v>0</v>
      </c>
      <c r="E63" s="994">
        <f t="shared" ca="1" si="9"/>
        <v>0.20200000000000004</v>
      </c>
      <c r="F63" s="748">
        <f t="shared" si="9"/>
        <v>0.22699999999999998</v>
      </c>
      <c r="G63" s="748">
        <f t="shared" ca="1" si="9"/>
        <v>0.26700000000000007</v>
      </c>
      <c r="H63" s="748">
        <f t="shared" si="9"/>
        <v>0.26700000000000007</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1004.6551219442561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1004.6551219442561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15979.453732403677</v>
      </c>
      <c r="C4" s="444">
        <f>huishoudens!C8</f>
        <v>0</v>
      </c>
      <c r="D4" s="444">
        <f>huishoudens!D8</f>
        <v>56301.096434000006</v>
      </c>
      <c r="E4" s="444">
        <f>huishoudens!E8</f>
        <v>310.00057479971565</v>
      </c>
      <c r="F4" s="444">
        <f>huishoudens!F8</f>
        <v>9779.5509934992842</v>
      </c>
      <c r="G4" s="444">
        <f>huishoudens!G8</f>
        <v>0</v>
      </c>
      <c r="H4" s="444">
        <f>huishoudens!H8</f>
        <v>0</v>
      </c>
      <c r="I4" s="444">
        <f>huishoudens!I8</f>
        <v>0</v>
      </c>
      <c r="J4" s="444">
        <f>huishoudens!J8</f>
        <v>228.05875973205025</v>
      </c>
      <c r="K4" s="444">
        <f>huishoudens!K8</f>
        <v>0</v>
      </c>
      <c r="L4" s="444">
        <f>huishoudens!L8</f>
        <v>0</v>
      </c>
      <c r="M4" s="444">
        <f>huishoudens!M8</f>
        <v>0</v>
      </c>
      <c r="N4" s="444">
        <f>huishoudens!N8</f>
        <v>4752.8474244983145</v>
      </c>
      <c r="O4" s="444">
        <f>huishoudens!O8</f>
        <v>45.336666666666673</v>
      </c>
      <c r="P4" s="445">
        <f>huishoudens!P8</f>
        <v>76.266666666666666</v>
      </c>
      <c r="Q4" s="446">
        <f>SUM(B4:P4)</f>
        <v>87472.61125226639</v>
      </c>
    </row>
    <row r="5" spans="1:17">
      <c r="A5" s="443" t="s">
        <v>149</v>
      </c>
      <c r="B5" s="444">
        <f ca="1">tertiair!B16</f>
        <v>8651.8457801047116</v>
      </c>
      <c r="C5" s="444">
        <f ca="1">tertiair!C16</f>
        <v>0</v>
      </c>
      <c r="D5" s="444">
        <f ca="1">tertiair!D16</f>
        <v>14799.929408</v>
      </c>
      <c r="E5" s="444">
        <f>tertiair!E16</f>
        <v>102.84569267023682</v>
      </c>
      <c r="F5" s="444">
        <f ca="1">tertiair!F16</f>
        <v>1250.4416897887304</v>
      </c>
      <c r="G5" s="444">
        <f>tertiair!G16</f>
        <v>0</v>
      </c>
      <c r="H5" s="444">
        <f>tertiair!H16</f>
        <v>0</v>
      </c>
      <c r="I5" s="444">
        <f>tertiair!I16</f>
        <v>0</v>
      </c>
      <c r="J5" s="444">
        <f>tertiair!J16</f>
        <v>0</v>
      </c>
      <c r="K5" s="444">
        <f>tertiair!K16</f>
        <v>0</v>
      </c>
      <c r="L5" s="444">
        <f ca="1">tertiair!L16</f>
        <v>0</v>
      </c>
      <c r="M5" s="444">
        <f>tertiair!M16</f>
        <v>0</v>
      </c>
      <c r="N5" s="444">
        <f ca="1">tertiair!N16</f>
        <v>571.46567014750849</v>
      </c>
      <c r="O5" s="444">
        <f>tertiair!O16</f>
        <v>1.5633333333333335</v>
      </c>
      <c r="P5" s="445">
        <f>tertiair!P16</f>
        <v>19.066666666666666</v>
      </c>
      <c r="Q5" s="443">
        <f t="shared" ref="Q5:Q14" ca="1" si="0">SUM(B5:P5)</f>
        <v>25397.158240711185</v>
      </c>
    </row>
    <row r="6" spans="1:17">
      <c r="A6" s="443" t="s">
        <v>187</v>
      </c>
      <c r="B6" s="444">
        <f>'openbare verlichting'!B8</f>
        <v>463.476</v>
      </c>
      <c r="C6" s="444"/>
      <c r="D6" s="444"/>
      <c r="E6" s="444"/>
      <c r="F6" s="444"/>
      <c r="G6" s="444"/>
      <c r="H6" s="444"/>
      <c r="I6" s="444"/>
      <c r="J6" s="444"/>
      <c r="K6" s="444"/>
      <c r="L6" s="444"/>
      <c r="M6" s="444"/>
      <c r="N6" s="444"/>
      <c r="O6" s="444"/>
      <c r="P6" s="445"/>
      <c r="Q6" s="443">
        <f t="shared" si="0"/>
        <v>463.476</v>
      </c>
    </row>
    <row r="7" spans="1:17">
      <c r="A7" s="443" t="s">
        <v>105</v>
      </c>
      <c r="B7" s="444">
        <f>landbouw!B8</f>
        <v>37.021999999999998</v>
      </c>
      <c r="C7" s="444">
        <f>landbouw!C8</f>
        <v>0</v>
      </c>
      <c r="D7" s="444">
        <f>landbouw!D8</f>
        <v>39.741217999999996</v>
      </c>
      <c r="E7" s="444">
        <f>landbouw!E8</f>
        <v>0.34291327023896334</v>
      </c>
      <c r="F7" s="444">
        <f>landbouw!F8</f>
        <v>93.931866683762422</v>
      </c>
      <c r="G7" s="444">
        <f>landbouw!G8</f>
        <v>0</v>
      </c>
      <c r="H7" s="444">
        <f>landbouw!H8</f>
        <v>0</v>
      </c>
      <c r="I7" s="444">
        <f>landbouw!I8</f>
        <v>0</v>
      </c>
      <c r="J7" s="444">
        <f>landbouw!J8</f>
        <v>5.6758857667258678</v>
      </c>
      <c r="K7" s="444">
        <f>landbouw!K8</f>
        <v>0</v>
      </c>
      <c r="L7" s="444">
        <f>landbouw!L8</f>
        <v>0</v>
      </c>
      <c r="M7" s="444">
        <f>landbouw!M8</f>
        <v>0</v>
      </c>
      <c r="N7" s="444">
        <f>landbouw!N8</f>
        <v>0</v>
      </c>
      <c r="O7" s="444">
        <f>landbouw!O8</f>
        <v>0</v>
      </c>
      <c r="P7" s="445">
        <f>landbouw!P8</f>
        <v>0</v>
      </c>
      <c r="Q7" s="443">
        <f t="shared" si="0"/>
        <v>176.71388372072724</v>
      </c>
    </row>
    <row r="8" spans="1:17">
      <c r="A8" s="443" t="s">
        <v>637</v>
      </c>
      <c r="B8" s="444">
        <f>industrie!B18</f>
        <v>21332.173999999999</v>
      </c>
      <c r="C8" s="444">
        <f>industrie!C18</f>
        <v>0</v>
      </c>
      <c r="D8" s="444">
        <f>industrie!D18</f>
        <v>46684.107734000005</v>
      </c>
      <c r="E8" s="444">
        <f>industrie!E18</f>
        <v>1202.8869070753606</v>
      </c>
      <c r="F8" s="444">
        <f>industrie!F18</f>
        <v>5520.1785445678051</v>
      </c>
      <c r="G8" s="444">
        <f>industrie!G18</f>
        <v>0</v>
      </c>
      <c r="H8" s="444">
        <f>industrie!H18</f>
        <v>0</v>
      </c>
      <c r="I8" s="444">
        <f>industrie!I18</f>
        <v>0</v>
      </c>
      <c r="J8" s="444">
        <f>industrie!J18</f>
        <v>87.867491965726373</v>
      </c>
      <c r="K8" s="444">
        <f>industrie!K18</f>
        <v>0</v>
      </c>
      <c r="L8" s="444">
        <f>industrie!L18</f>
        <v>0</v>
      </c>
      <c r="M8" s="444">
        <f>industrie!M18</f>
        <v>0</v>
      </c>
      <c r="N8" s="444">
        <f>industrie!N18</f>
        <v>1238.7395012530828</v>
      </c>
      <c r="O8" s="444">
        <f>industrie!O18</f>
        <v>0</v>
      </c>
      <c r="P8" s="445">
        <f>industrie!P18</f>
        <v>0</v>
      </c>
      <c r="Q8" s="443">
        <f t="shared" si="0"/>
        <v>76065.954178861968</v>
      </c>
    </row>
    <row r="9" spans="1:17" s="449" customFormat="1">
      <c r="A9" s="447" t="s">
        <v>558</v>
      </c>
      <c r="B9" s="448">
        <f>transport!B14</f>
        <v>4.4952182514282857</v>
      </c>
      <c r="C9" s="448">
        <f>transport!C14</f>
        <v>0</v>
      </c>
      <c r="D9" s="448">
        <f>transport!D14</f>
        <v>6.7168541477413246</v>
      </c>
      <c r="E9" s="448">
        <f>transport!E14</f>
        <v>65.926370781008799</v>
      </c>
      <c r="F9" s="448">
        <f>transport!F14</f>
        <v>0</v>
      </c>
      <c r="G9" s="448">
        <f>transport!G14</f>
        <v>21276.831455755353</v>
      </c>
      <c r="H9" s="448">
        <f>transport!H14</f>
        <v>3895.9961000186245</v>
      </c>
      <c r="I9" s="448">
        <f>transport!I14</f>
        <v>0</v>
      </c>
      <c r="J9" s="448">
        <f>transport!J14</f>
        <v>0</v>
      </c>
      <c r="K9" s="448">
        <f>transport!K14</f>
        <v>0</v>
      </c>
      <c r="L9" s="448">
        <f>transport!L14</f>
        <v>0</v>
      </c>
      <c r="M9" s="448">
        <f>transport!M14</f>
        <v>1352.4091223515625</v>
      </c>
      <c r="N9" s="448">
        <f>transport!N14</f>
        <v>0</v>
      </c>
      <c r="O9" s="448">
        <f>transport!O14</f>
        <v>0</v>
      </c>
      <c r="P9" s="448">
        <f>transport!P14</f>
        <v>0</v>
      </c>
      <c r="Q9" s="447">
        <f>SUM(B9:P9)</f>
        <v>26602.375121305718</v>
      </c>
    </row>
    <row r="10" spans="1:17">
      <c r="A10" s="443" t="s">
        <v>548</v>
      </c>
      <c r="B10" s="444">
        <f>transport!B54</f>
        <v>5.6873856200056423</v>
      </c>
      <c r="C10" s="444">
        <f>transport!C54</f>
        <v>0</v>
      </c>
      <c r="D10" s="444">
        <f>transport!D54</f>
        <v>0</v>
      </c>
      <c r="E10" s="444">
        <f>transport!E54</f>
        <v>0</v>
      </c>
      <c r="F10" s="444">
        <f>transport!F54</f>
        <v>0</v>
      </c>
      <c r="G10" s="444">
        <f>transport!G54</f>
        <v>1077.684530230408</v>
      </c>
      <c r="H10" s="444">
        <f>transport!H54</f>
        <v>0</v>
      </c>
      <c r="I10" s="444">
        <f>transport!I54</f>
        <v>0</v>
      </c>
      <c r="J10" s="444">
        <f>transport!J54</f>
        <v>0</v>
      </c>
      <c r="K10" s="444">
        <f>transport!K54</f>
        <v>0</v>
      </c>
      <c r="L10" s="444">
        <f>transport!L54</f>
        <v>0</v>
      </c>
      <c r="M10" s="444">
        <f>transport!M54</f>
        <v>62.040181853127557</v>
      </c>
      <c r="N10" s="444">
        <f>transport!N54</f>
        <v>0</v>
      </c>
      <c r="O10" s="444">
        <f>transport!O54</f>
        <v>0</v>
      </c>
      <c r="P10" s="445">
        <f>transport!P54</f>
        <v>0</v>
      </c>
      <c r="Q10" s="443">
        <f t="shared" si="0"/>
        <v>1145.4120977035411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361.23</v>
      </c>
      <c r="C14" s="451"/>
      <c r="D14" s="451">
        <f>'SEAP template'!E25</f>
        <v>613.54499999999996</v>
      </c>
      <c r="E14" s="451"/>
      <c r="F14" s="451"/>
      <c r="G14" s="451"/>
      <c r="H14" s="451"/>
      <c r="I14" s="451"/>
      <c r="J14" s="451"/>
      <c r="K14" s="451"/>
      <c r="L14" s="451"/>
      <c r="M14" s="451"/>
      <c r="N14" s="451"/>
      <c r="O14" s="451"/>
      <c r="P14" s="452"/>
      <c r="Q14" s="443">
        <f t="shared" si="0"/>
        <v>974.77499999999998</v>
      </c>
    </row>
    <row r="15" spans="1:17" s="453" customFormat="1">
      <c r="A15" s="1009" t="s">
        <v>552</v>
      </c>
      <c r="B15" s="949">
        <f ca="1">SUM(B4:B14)</f>
        <v>46835.384116379828</v>
      </c>
      <c r="C15" s="949">
        <f t="shared" ref="C15:Q15" ca="1" si="1">SUM(C4:C14)</f>
        <v>0</v>
      </c>
      <c r="D15" s="949">
        <f t="shared" ca="1" si="1"/>
        <v>118445.13664814775</v>
      </c>
      <c r="E15" s="949">
        <f t="shared" si="1"/>
        <v>1682.0024585965607</v>
      </c>
      <c r="F15" s="949">
        <f t="shared" ca="1" si="1"/>
        <v>16644.103094539583</v>
      </c>
      <c r="G15" s="949">
        <f t="shared" si="1"/>
        <v>22354.515985985759</v>
      </c>
      <c r="H15" s="949">
        <f t="shared" si="1"/>
        <v>3895.9961000186245</v>
      </c>
      <c r="I15" s="949">
        <f t="shared" si="1"/>
        <v>0</v>
      </c>
      <c r="J15" s="949">
        <f t="shared" si="1"/>
        <v>321.60213746450245</v>
      </c>
      <c r="K15" s="949">
        <f t="shared" si="1"/>
        <v>0</v>
      </c>
      <c r="L15" s="949">
        <f t="shared" ca="1" si="1"/>
        <v>0</v>
      </c>
      <c r="M15" s="949">
        <f t="shared" si="1"/>
        <v>1414.44930420469</v>
      </c>
      <c r="N15" s="949">
        <f t="shared" ca="1" si="1"/>
        <v>6563.0525958989056</v>
      </c>
      <c r="O15" s="949">
        <f t="shared" si="1"/>
        <v>46.900000000000006</v>
      </c>
      <c r="P15" s="949">
        <f t="shared" si="1"/>
        <v>95.333333333333329</v>
      </c>
      <c r="Q15" s="949">
        <f t="shared" ca="1" si="1"/>
        <v>218298.47577456955</v>
      </c>
    </row>
    <row r="17" spans="1:17">
      <c r="A17" s="454" t="s">
        <v>553</v>
      </c>
      <c r="B17" s="753">
        <f ca="1">huishoudens!B10</f>
        <v>0.21625937950251531</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3455.7067489587716</v>
      </c>
      <c r="C22" s="444">
        <f t="shared" ref="C22:C32" ca="1" si="3">C4*$C$17</f>
        <v>0</v>
      </c>
      <c r="D22" s="444">
        <f t="shared" ref="D22:D32" si="4">D4*$D$17</f>
        <v>11372.821479668002</v>
      </c>
      <c r="E22" s="444">
        <f t="shared" ref="E22:E32" si="5">E4*$E$17</f>
        <v>70.370130479535462</v>
      </c>
      <c r="F22" s="444">
        <f t="shared" ref="F22:F32" si="6">F4*$F$17</f>
        <v>2611.1401152643089</v>
      </c>
      <c r="G22" s="444">
        <f t="shared" ref="G22:G32" si="7">G4*$G$17</f>
        <v>0</v>
      </c>
      <c r="H22" s="444">
        <f t="shared" ref="H22:H32" si="8">H4*$H$17</f>
        <v>0</v>
      </c>
      <c r="I22" s="444">
        <f t="shared" ref="I22:I32" si="9">I4*$I$17</f>
        <v>0</v>
      </c>
      <c r="J22" s="444">
        <f t="shared" ref="J22:J32" si="10">J4*$J$17</f>
        <v>80.732800945145783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17590.771275315765</v>
      </c>
    </row>
    <row r="23" spans="1:17">
      <c r="A23" s="443" t="s">
        <v>149</v>
      </c>
      <c r="B23" s="444">
        <f t="shared" ca="1" si="2"/>
        <v>1871.0427999569004</v>
      </c>
      <c r="C23" s="444">
        <f t="shared" ca="1" si="3"/>
        <v>0</v>
      </c>
      <c r="D23" s="444">
        <f t="shared" ca="1" si="4"/>
        <v>2989.5857404160001</v>
      </c>
      <c r="E23" s="444">
        <f t="shared" si="5"/>
        <v>23.345972236143758</v>
      </c>
      <c r="F23" s="444">
        <f t="shared" ca="1" si="6"/>
        <v>333.86793117359105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5217.8424437826361</v>
      </c>
    </row>
    <row r="24" spans="1:17">
      <c r="A24" s="443" t="s">
        <v>187</v>
      </c>
      <c r="B24" s="444">
        <f t="shared" ca="1" si="2"/>
        <v>100.23103217430778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100.23103217430778</v>
      </c>
    </row>
    <row r="25" spans="1:17">
      <c r="A25" s="443" t="s">
        <v>105</v>
      </c>
      <c r="B25" s="444">
        <f t="shared" ca="1" si="2"/>
        <v>8.0063547479421207</v>
      </c>
      <c r="C25" s="444">
        <f t="shared" ca="1" si="3"/>
        <v>0</v>
      </c>
      <c r="D25" s="444">
        <f t="shared" si="4"/>
        <v>8.0277260359999989</v>
      </c>
      <c r="E25" s="444">
        <f t="shared" si="5"/>
        <v>7.7841312344244684E-2</v>
      </c>
      <c r="F25" s="444">
        <f t="shared" si="6"/>
        <v>25.079808404564567</v>
      </c>
      <c r="G25" s="444">
        <f t="shared" si="7"/>
        <v>0</v>
      </c>
      <c r="H25" s="444">
        <f t="shared" si="8"/>
        <v>0</v>
      </c>
      <c r="I25" s="444">
        <f t="shared" si="9"/>
        <v>0</v>
      </c>
      <c r="J25" s="444">
        <f t="shared" si="10"/>
        <v>2.0092635614209571</v>
      </c>
      <c r="K25" s="444">
        <f t="shared" si="11"/>
        <v>0</v>
      </c>
      <c r="L25" s="444">
        <f t="shared" si="12"/>
        <v>0</v>
      </c>
      <c r="M25" s="444">
        <f t="shared" si="13"/>
        <v>0</v>
      </c>
      <c r="N25" s="444">
        <f t="shared" si="14"/>
        <v>0</v>
      </c>
      <c r="O25" s="444">
        <f t="shared" si="15"/>
        <v>0</v>
      </c>
      <c r="P25" s="445">
        <f t="shared" si="16"/>
        <v>0</v>
      </c>
      <c r="Q25" s="443">
        <f t="shared" ca="1" si="17"/>
        <v>43.200994062271889</v>
      </c>
    </row>
    <row r="26" spans="1:17">
      <c r="A26" s="443" t="s">
        <v>637</v>
      </c>
      <c r="B26" s="444">
        <f t="shared" ca="1" si="2"/>
        <v>4613.2827126796901</v>
      </c>
      <c r="C26" s="444">
        <f t="shared" ca="1" si="3"/>
        <v>0</v>
      </c>
      <c r="D26" s="444">
        <f t="shared" si="4"/>
        <v>9430.1897622680008</v>
      </c>
      <c r="E26" s="444">
        <f t="shared" si="5"/>
        <v>273.05532790610687</v>
      </c>
      <c r="F26" s="444">
        <f t="shared" si="6"/>
        <v>1473.887671399604</v>
      </c>
      <c r="G26" s="444">
        <f t="shared" si="7"/>
        <v>0</v>
      </c>
      <c r="H26" s="444">
        <f t="shared" si="8"/>
        <v>0</v>
      </c>
      <c r="I26" s="444">
        <f t="shared" si="9"/>
        <v>0</v>
      </c>
      <c r="J26" s="444">
        <f t="shared" si="10"/>
        <v>31.105092155867133</v>
      </c>
      <c r="K26" s="444">
        <f t="shared" si="11"/>
        <v>0</v>
      </c>
      <c r="L26" s="444">
        <f t="shared" si="12"/>
        <v>0</v>
      </c>
      <c r="M26" s="444">
        <f t="shared" si="13"/>
        <v>0</v>
      </c>
      <c r="N26" s="444">
        <f t="shared" si="14"/>
        <v>0</v>
      </c>
      <c r="O26" s="444">
        <f t="shared" si="15"/>
        <v>0</v>
      </c>
      <c r="P26" s="445">
        <f t="shared" si="16"/>
        <v>0</v>
      </c>
      <c r="Q26" s="443">
        <f t="shared" ca="1" si="17"/>
        <v>15821.520566409268</v>
      </c>
    </row>
    <row r="27" spans="1:17" s="449" customFormat="1">
      <c r="A27" s="447" t="s">
        <v>558</v>
      </c>
      <c r="B27" s="747">
        <f t="shared" ca="1" si="2"/>
        <v>0.97213310978226286</v>
      </c>
      <c r="C27" s="448">
        <f t="shared" ca="1" si="3"/>
        <v>0</v>
      </c>
      <c r="D27" s="448">
        <f t="shared" si="4"/>
        <v>1.3568045378437477</v>
      </c>
      <c r="E27" s="448">
        <f t="shared" si="5"/>
        <v>14.965286167288998</v>
      </c>
      <c r="F27" s="448">
        <f t="shared" si="6"/>
        <v>0</v>
      </c>
      <c r="G27" s="448">
        <f t="shared" si="7"/>
        <v>5680.9139986866794</v>
      </c>
      <c r="H27" s="448">
        <f t="shared" si="8"/>
        <v>970.10302890463754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6668.3112514062323</v>
      </c>
    </row>
    <row r="28" spans="1:17">
      <c r="A28" s="443" t="s">
        <v>548</v>
      </c>
      <c r="B28" s="444">
        <f t="shared" ca="1" si="2"/>
        <v>1.2299504851739484</v>
      </c>
      <c r="C28" s="444">
        <f t="shared" ca="1" si="3"/>
        <v>0</v>
      </c>
      <c r="D28" s="444">
        <f t="shared" si="4"/>
        <v>0</v>
      </c>
      <c r="E28" s="444">
        <f t="shared" si="5"/>
        <v>0</v>
      </c>
      <c r="F28" s="444">
        <f t="shared" si="6"/>
        <v>0</v>
      </c>
      <c r="G28" s="444">
        <f t="shared" si="7"/>
        <v>287.74176957151894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288.9717200566929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78.11937565769361</v>
      </c>
      <c r="C32" s="444">
        <f t="shared" ca="1" si="3"/>
        <v>0</v>
      </c>
      <c r="D32" s="444">
        <f t="shared" si="4"/>
        <v>123.93608999999999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202.05546565769362</v>
      </c>
    </row>
    <row r="33" spans="1:17" s="453" customFormat="1">
      <c r="A33" s="1009" t="s">
        <v>552</v>
      </c>
      <c r="B33" s="949">
        <f ca="1">SUM(B22:B32)</f>
        <v>10128.591107770264</v>
      </c>
      <c r="C33" s="949">
        <f t="shared" ref="C33:Q33" ca="1" si="18">SUM(C22:C32)</f>
        <v>0</v>
      </c>
      <c r="D33" s="949">
        <f t="shared" ca="1" si="18"/>
        <v>23925.917602925845</v>
      </c>
      <c r="E33" s="949">
        <f t="shared" si="18"/>
        <v>381.81455810141932</v>
      </c>
      <c r="F33" s="949">
        <f t="shared" ca="1" si="18"/>
        <v>4443.9755262420686</v>
      </c>
      <c r="G33" s="949">
        <f t="shared" si="18"/>
        <v>5968.6557682581988</v>
      </c>
      <c r="H33" s="949">
        <f t="shared" si="18"/>
        <v>970.10302890463754</v>
      </c>
      <c r="I33" s="949">
        <f t="shared" si="18"/>
        <v>0</v>
      </c>
      <c r="J33" s="949">
        <f t="shared" si="18"/>
        <v>113.84715666243386</v>
      </c>
      <c r="K33" s="949">
        <f t="shared" si="18"/>
        <v>0</v>
      </c>
      <c r="L33" s="949">
        <f t="shared" ca="1" si="18"/>
        <v>0</v>
      </c>
      <c r="M33" s="949">
        <f t="shared" si="18"/>
        <v>0</v>
      </c>
      <c r="N33" s="949">
        <f t="shared" ca="1" si="18"/>
        <v>0</v>
      </c>
      <c r="O33" s="949">
        <f t="shared" si="18"/>
        <v>0</v>
      </c>
      <c r="P33" s="949">
        <f t="shared" si="18"/>
        <v>0</v>
      </c>
      <c r="Q33" s="949">
        <f t="shared" ca="1" si="18"/>
        <v>45932.904748864865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1004.6551219442561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1004.6551219442561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0.21625937950251531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0.21625937950251531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0.21625937950251531</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0.21625937950251531</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4494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0</v>
      </c>
      <c r="C18" s="324"/>
      <c r="D18" s="324"/>
      <c r="E18" s="324"/>
      <c r="F18" s="324"/>
    </row>
    <row r="19" spans="1:6">
      <c r="A19" s="1302" t="s">
        <v>9</v>
      </c>
      <c r="B19" s="1303">
        <v>0</v>
      </c>
      <c r="C19" s="324"/>
      <c r="D19" s="324"/>
      <c r="E19" s="324"/>
      <c r="F19" s="324"/>
    </row>
    <row r="20" spans="1:6">
      <c r="A20" s="1302" t="s">
        <v>10</v>
      </c>
      <c r="B20" s="1303">
        <v>0</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3</v>
      </c>
      <c r="F37" s="1303">
        <v>1709966</v>
      </c>
    </row>
    <row r="38" spans="1:6">
      <c r="A38" s="1302" t="s">
        <v>24</v>
      </c>
      <c r="B38" s="1302" t="s">
        <v>28</v>
      </c>
      <c r="C38" s="1303">
        <v>0</v>
      </c>
      <c r="D38" s="1303">
        <v>0</v>
      </c>
      <c r="E38" s="1303">
        <v>1</v>
      </c>
      <c r="F38" s="1303">
        <v>11486</v>
      </c>
    </row>
    <row r="39" spans="1:6">
      <c r="A39" s="1302" t="s">
        <v>29</v>
      </c>
      <c r="B39" s="1302" t="s">
        <v>30</v>
      </c>
      <c r="C39" s="1303">
        <v>4078</v>
      </c>
      <c r="D39" s="1303">
        <v>62418067</v>
      </c>
      <c r="E39" s="1303">
        <v>4680</v>
      </c>
      <c r="F39" s="1303">
        <v>15035295</v>
      </c>
    </row>
    <row r="40" spans="1:6">
      <c r="A40" s="1302" t="s">
        <v>29</v>
      </c>
      <c r="B40" s="1302" t="s">
        <v>28</v>
      </c>
      <c r="C40" s="1303">
        <v>0</v>
      </c>
      <c r="D40" s="1303">
        <v>0</v>
      </c>
      <c r="E40" s="1303">
        <v>0</v>
      </c>
      <c r="F40" s="1303">
        <v>0</v>
      </c>
    </row>
    <row r="41" spans="1:6">
      <c r="A41" s="1302" t="s">
        <v>31</v>
      </c>
      <c r="B41" s="1302" t="s">
        <v>32</v>
      </c>
      <c r="C41" s="1303">
        <v>30</v>
      </c>
      <c r="D41" s="1303">
        <v>683057</v>
      </c>
      <c r="E41" s="1303">
        <v>63</v>
      </c>
      <c r="F41" s="1303">
        <v>615478</v>
      </c>
    </row>
    <row r="42" spans="1:6">
      <c r="A42" s="1302" t="s">
        <v>31</v>
      </c>
      <c r="B42" s="1302" t="s">
        <v>33</v>
      </c>
      <c r="C42" s="1303">
        <v>3</v>
      </c>
      <c r="D42" s="1303">
        <v>368938</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5</v>
      </c>
      <c r="F44" s="1303">
        <v>530564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5</v>
      </c>
      <c r="D48" s="1303">
        <v>50584358</v>
      </c>
      <c r="E48" s="1303">
        <v>6</v>
      </c>
      <c r="F48" s="1303">
        <v>20025021</v>
      </c>
    </row>
    <row r="49" spans="1:6">
      <c r="A49" s="1302" t="s">
        <v>31</v>
      </c>
      <c r="B49" s="1302" t="s">
        <v>39</v>
      </c>
      <c r="C49" s="1303">
        <v>0</v>
      </c>
      <c r="D49" s="1303">
        <v>0</v>
      </c>
      <c r="E49" s="1303">
        <v>0</v>
      </c>
      <c r="F49" s="1303">
        <v>0</v>
      </c>
    </row>
    <row r="50" spans="1:6">
      <c r="A50" s="1302" t="s">
        <v>31</v>
      </c>
      <c r="B50" s="1302" t="s">
        <v>40</v>
      </c>
      <c r="C50" s="1303">
        <v>4</v>
      </c>
      <c r="D50" s="1303">
        <v>119864</v>
      </c>
      <c r="E50" s="1303">
        <v>5</v>
      </c>
      <c r="F50" s="1303">
        <v>161111</v>
      </c>
    </row>
    <row r="51" spans="1:6">
      <c r="A51" s="1302" t="s">
        <v>41</v>
      </c>
      <c r="B51" s="1302" t="s">
        <v>42</v>
      </c>
      <c r="C51" s="1303">
        <v>4</v>
      </c>
      <c r="D51" s="1303">
        <v>44059</v>
      </c>
      <c r="E51" s="1303">
        <v>7</v>
      </c>
      <c r="F51" s="1303">
        <v>37022</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17</v>
      </c>
      <c r="F54" s="1303">
        <v>463476</v>
      </c>
    </row>
    <row r="55" spans="1:6">
      <c r="A55" s="1302" t="s">
        <v>45</v>
      </c>
      <c r="B55" s="1302" t="s">
        <v>28</v>
      </c>
      <c r="C55" s="1303">
        <v>0</v>
      </c>
      <c r="D55" s="1303">
        <v>0</v>
      </c>
      <c r="E55" s="1303">
        <v>0</v>
      </c>
      <c r="F55" s="1303">
        <v>0</v>
      </c>
    </row>
    <row r="56" spans="1:6">
      <c r="A56" s="1302" t="s">
        <v>47</v>
      </c>
      <c r="B56" s="1302" t="s">
        <v>28</v>
      </c>
      <c r="C56" s="1303">
        <v>47</v>
      </c>
      <c r="D56" s="1303">
        <v>613545</v>
      </c>
      <c r="E56" s="1303">
        <v>108</v>
      </c>
      <c r="F56" s="1303">
        <v>361230</v>
      </c>
    </row>
    <row r="57" spans="1:6">
      <c r="A57" s="1302" t="s">
        <v>48</v>
      </c>
      <c r="B57" s="1302" t="s">
        <v>49</v>
      </c>
      <c r="C57" s="1303">
        <v>20</v>
      </c>
      <c r="D57" s="1303">
        <v>1163974</v>
      </c>
      <c r="E57" s="1303">
        <v>39</v>
      </c>
      <c r="F57" s="1303">
        <v>726828</v>
      </c>
    </row>
    <row r="58" spans="1:6">
      <c r="A58" s="1302" t="s">
        <v>48</v>
      </c>
      <c r="B58" s="1302" t="s">
        <v>50</v>
      </c>
      <c r="C58" s="1303">
        <v>10</v>
      </c>
      <c r="D58" s="1303">
        <v>266676</v>
      </c>
      <c r="E58" s="1303">
        <v>12</v>
      </c>
      <c r="F58" s="1303">
        <v>121968</v>
      </c>
    </row>
    <row r="59" spans="1:6">
      <c r="A59" s="1302" t="s">
        <v>48</v>
      </c>
      <c r="B59" s="1302" t="s">
        <v>51</v>
      </c>
      <c r="C59" s="1303">
        <v>37</v>
      </c>
      <c r="D59" s="1303">
        <v>1411818</v>
      </c>
      <c r="E59" s="1303">
        <v>58</v>
      </c>
      <c r="F59" s="1303">
        <v>4933507</v>
      </c>
    </row>
    <row r="60" spans="1:6">
      <c r="A60" s="1302" t="s">
        <v>48</v>
      </c>
      <c r="B60" s="1302" t="s">
        <v>52</v>
      </c>
      <c r="C60" s="1303">
        <v>31</v>
      </c>
      <c r="D60" s="1303">
        <v>1463891</v>
      </c>
      <c r="E60" s="1303">
        <v>51</v>
      </c>
      <c r="F60" s="1303">
        <v>999872.78010471212</v>
      </c>
    </row>
    <row r="61" spans="1:6">
      <c r="A61" s="1302" t="s">
        <v>48</v>
      </c>
      <c r="B61" s="1302" t="s">
        <v>53</v>
      </c>
      <c r="C61" s="1303">
        <v>98</v>
      </c>
      <c r="D61" s="1303">
        <v>11857090</v>
      </c>
      <c r="E61" s="1303">
        <v>162</v>
      </c>
      <c r="F61" s="1303">
        <v>1814896</v>
      </c>
    </row>
    <row r="62" spans="1:6">
      <c r="A62" s="1302" t="s">
        <v>48</v>
      </c>
      <c r="B62" s="1302" t="s">
        <v>54</v>
      </c>
      <c r="C62" s="1303">
        <v>3</v>
      </c>
      <c r="D62" s="1303">
        <v>244455</v>
      </c>
      <c r="E62" s="1303">
        <v>3</v>
      </c>
      <c r="F62" s="1303">
        <v>54774</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254</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31554230</v>
      </c>
      <c r="E73" s="442"/>
      <c r="F73" s="324"/>
    </row>
    <row r="74" spans="1:6">
      <c r="A74" s="1302" t="s">
        <v>63</v>
      </c>
      <c r="B74" s="1302" t="s">
        <v>695</v>
      </c>
      <c r="C74" s="1315" t="s">
        <v>697</v>
      </c>
      <c r="D74" s="1303">
        <v>2266711.9124509702</v>
      </c>
      <c r="E74" s="442"/>
      <c r="F74" s="324"/>
    </row>
    <row r="75" spans="1:6">
      <c r="A75" s="1302" t="s">
        <v>64</v>
      </c>
      <c r="B75" s="1302" t="s">
        <v>694</v>
      </c>
      <c r="C75" s="1315" t="s">
        <v>698</v>
      </c>
      <c r="D75" s="1303">
        <v>1500590</v>
      </c>
      <c r="E75" s="442"/>
      <c r="F75" s="324"/>
    </row>
    <row r="76" spans="1:6">
      <c r="A76" s="1302" t="s">
        <v>64</v>
      </c>
      <c r="B76" s="1302" t="s">
        <v>695</v>
      </c>
      <c r="C76" s="1315" t="s">
        <v>699</v>
      </c>
      <c r="D76" s="1303">
        <v>114377.9124509703</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307638.17509805941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944.1587324036775</v>
      </c>
      <c r="C91" s="324"/>
      <c r="D91" s="324"/>
      <c r="E91" s="324"/>
      <c r="F91" s="324"/>
    </row>
    <row r="92" spans="1:6">
      <c r="A92" s="1297" t="s">
        <v>68</v>
      </c>
      <c r="B92" s="1298">
        <v>60.496389540578519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2975</v>
      </c>
      <c r="C97" s="324"/>
      <c r="D97" s="324"/>
      <c r="E97" s="324"/>
      <c r="F97" s="324"/>
    </row>
    <row r="98" spans="1:6">
      <c r="A98" s="1302" t="s">
        <v>71</v>
      </c>
      <c r="B98" s="1303">
        <v>3</v>
      </c>
      <c r="C98" s="324"/>
      <c r="D98" s="324"/>
      <c r="E98" s="324"/>
      <c r="F98" s="324"/>
    </row>
    <row r="99" spans="1:6">
      <c r="A99" s="1302" t="s">
        <v>72</v>
      </c>
      <c r="B99" s="1303">
        <v>8</v>
      </c>
      <c r="C99" s="324"/>
      <c r="D99" s="324"/>
      <c r="E99" s="324"/>
      <c r="F99" s="324"/>
    </row>
    <row r="100" spans="1:6">
      <c r="A100" s="1302" t="s">
        <v>73</v>
      </c>
      <c r="B100" s="1303">
        <v>268</v>
      </c>
      <c r="C100" s="324"/>
      <c r="D100" s="324"/>
      <c r="E100" s="324"/>
      <c r="F100" s="324"/>
    </row>
    <row r="101" spans="1:6">
      <c r="A101" s="1302" t="s">
        <v>74</v>
      </c>
      <c r="B101" s="1303">
        <v>38</v>
      </c>
      <c r="C101" s="324"/>
      <c r="D101" s="324"/>
      <c r="E101" s="324"/>
      <c r="F101" s="324"/>
    </row>
    <row r="102" spans="1:6">
      <c r="A102" s="1302" t="s">
        <v>75</v>
      </c>
      <c r="B102" s="1303">
        <v>57</v>
      </c>
      <c r="C102" s="324"/>
      <c r="D102" s="324"/>
      <c r="E102" s="324"/>
      <c r="F102" s="324"/>
    </row>
    <row r="103" spans="1:6">
      <c r="A103" s="1302" t="s">
        <v>76</v>
      </c>
      <c r="B103" s="1303">
        <v>91</v>
      </c>
      <c r="C103" s="324"/>
      <c r="D103" s="324"/>
      <c r="E103" s="324"/>
      <c r="F103" s="324"/>
    </row>
    <row r="104" spans="1:6">
      <c r="A104" s="1302" t="s">
        <v>77</v>
      </c>
      <c r="B104" s="1303">
        <v>409</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v>
      </c>
      <c r="C123" s="1303">
        <v>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24</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46835.384116379828</v>
      </c>
      <c r="C3" s="43" t="s">
        <v>163</v>
      </c>
      <c r="D3" s="43"/>
      <c r="E3" s="154"/>
      <c r="F3" s="43"/>
      <c r="G3" s="43"/>
      <c r="H3" s="43"/>
      <c r="I3" s="43"/>
      <c r="J3" s="43"/>
      <c r="K3" s="96"/>
    </row>
    <row r="4" spans="1:11">
      <c r="A4" s="351" t="s">
        <v>164</v>
      </c>
      <c r="B4" s="49">
        <f>IF(ISERROR('SEAP template'!B78+'SEAP template'!C78),0,'SEAP template'!B78+'SEAP template'!C78)</f>
        <v>1004.6551219442561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0.21625937950251531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463.476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463.476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0.21625937950251531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100.23103217430778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15035.295</v>
      </c>
      <c r="C5" s="17">
        <f>IF(ISERROR('Eigen informatie GS &amp; warmtenet'!B57),0,'Eigen informatie GS &amp; warmtenet'!B57)</f>
        <v>0</v>
      </c>
      <c r="D5" s="30">
        <f>(SUM(HH_hh_gas_kWh,HH_rest_gas_kWh)/1000)*0.902</f>
        <v>56301.096434000006</v>
      </c>
      <c r="E5" s="17">
        <f>B32*B41</f>
        <v>310.00057479971565</v>
      </c>
      <c r="F5" s="17">
        <f>B36*B45</f>
        <v>9779.5509934992842</v>
      </c>
      <c r="G5" s="18"/>
      <c r="H5" s="17"/>
      <c r="I5" s="17"/>
      <c r="J5" s="17">
        <f>B35*B44+C35*C44</f>
        <v>228.05875973205025</v>
      </c>
      <c r="K5" s="17"/>
      <c r="L5" s="17"/>
      <c r="M5" s="17"/>
      <c r="N5" s="17">
        <f>B34*B43+C34*C43</f>
        <v>4752.8474244983145</v>
      </c>
      <c r="O5" s="17">
        <f>B52*B53*B54</f>
        <v>45.336666666666673</v>
      </c>
      <c r="P5" s="17">
        <f>B60*B61*B62/1000-B60*B61*B62/1000/B63</f>
        <v>76.266666666666666</v>
      </c>
    </row>
    <row r="6" spans="1:16">
      <c r="A6" s="16" t="s">
        <v>618</v>
      </c>
      <c r="B6" s="755">
        <f>kWh_PV_kleiner_dan_10kW</f>
        <v>944.1587324036775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15979.453732403677</v>
      </c>
      <c r="C8" s="21">
        <f>C5</f>
        <v>0</v>
      </c>
      <c r="D8" s="21">
        <f>D5</f>
        <v>56301.096434000006</v>
      </c>
      <c r="E8" s="21">
        <f>E5</f>
        <v>310.00057479971565</v>
      </c>
      <c r="F8" s="21">
        <f>F5</f>
        <v>9779.5509934992842</v>
      </c>
      <c r="G8" s="21"/>
      <c r="H8" s="21"/>
      <c r="I8" s="21"/>
      <c r="J8" s="21">
        <f>J5</f>
        <v>228.05875973205025</v>
      </c>
      <c r="K8" s="21"/>
      <c r="L8" s="21">
        <f>L5</f>
        <v>0</v>
      </c>
      <c r="M8" s="21">
        <f>M5</f>
        <v>0</v>
      </c>
      <c r="N8" s="21">
        <f>N5</f>
        <v>4752.8474244983145</v>
      </c>
      <c r="O8" s="21">
        <f>O5</f>
        <v>45.336666666666673</v>
      </c>
      <c r="P8" s="21">
        <f>P5</f>
        <v>76.266666666666666</v>
      </c>
    </row>
    <row r="9" spans="1:16">
      <c r="B9" s="19"/>
      <c r="C9" s="19"/>
      <c r="D9" s="254"/>
      <c r="E9" s="19"/>
      <c r="F9" s="19"/>
      <c r="G9" s="19"/>
      <c r="H9" s="19"/>
      <c r="I9" s="19"/>
      <c r="J9" s="19"/>
      <c r="K9" s="19"/>
      <c r="L9" s="19"/>
      <c r="M9" s="19"/>
      <c r="N9" s="19"/>
      <c r="O9" s="19"/>
      <c r="P9" s="19"/>
    </row>
    <row r="10" spans="1:16">
      <c r="A10" s="24" t="s">
        <v>207</v>
      </c>
      <c r="B10" s="25">
        <f ca="1">'EF ele_warmte'!B12</f>
        <v>0.21625937950251531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3455.7067489587716</v>
      </c>
      <c r="C12" s="23">
        <f ca="1">C10*C8</f>
        <v>0</v>
      </c>
      <c r="D12" s="23">
        <f>D8*D10</f>
        <v>11372.821479668002</v>
      </c>
      <c r="E12" s="23">
        <f>E10*E8</f>
        <v>70.370130479535462</v>
      </c>
      <c r="F12" s="23">
        <f>F10*F8</f>
        <v>2611.1401152643089</v>
      </c>
      <c r="G12" s="23"/>
      <c r="H12" s="23"/>
      <c r="I12" s="23"/>
      <c r="J12" s="23">
        <f>J10*J8</f>
        <v>80.732800945145783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4494</v>
      </c>
      <c r="C26" s="36"/>
      <c r="D26" s="225"/>
    </row>
    <row r="27" spans="1:5" s="15" customFormat="1">
      <c r="A27" s="227" t="s">
        <v>721</v>
      </c>
      <c r="B27" s="37">
        <f>SUM(HH_hh_gas_aantal,HH_rest_gas_aantal)</f>
        <v>4078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3874.1</v>
      </c>
      <c r="C31" s="34" t="s">
        <v>104</v>
      </c>
      <c r="D31" s="171"/>
    </row>
    <row r="32" spans="1:5">
      <c r="A32" s="168" t="s">
        <v>72</v>
      </c>
      <c r="B32" s="33">
        <f>IF((B21*($B$26-($B$27-0.05*$B$27)-$B$60))&lt;0,0,B21*($B$26-($B$27-0.05*$B$27)-$B$60))</f>
        <v>3.8833852749115372</v>
      </c>
      <c r="C32" s="34" t="s">
        <v>104</v>
      </c>
      <c r="D32" s="171"/>
    </row>
    <row r="33" spans="1:6">
      <c r="A33" s="168" t="s">
        <v>73</v>
      </c>
      <c r="B33" s="33">
        <f>IF((B22*($B$26-($B$27-0.05*$B$27)-$B$60))&lt;0,0,B22*($B$26-($B$27-0.05*$B$27)-$B$60))</f>
        <v>135.23358250241989</v>
      </c>
      <c r="C33" s="34" t="s">
        <v>104</v>
      </c>
      <c r="D33" s="171"/>
    </row>
    <row r="34" spans="1:6">
      <c r="A34" s="168" t="s">
        <v>74</v>
      </c>
      <c r="B34" s="33">
        <f>IF((B24*($B$26-($B$27-0.05*$B$27)-$B$60))&lt;0,0,B24*($B$26-($B$27-0.05*$B$27)-$B$60))</f>
        <v>26.843267863411633</v>
      </c>
      <c r="C34" s="33">
        <f>B26*C24</f>
        <v>919.47097281569836</v>
      </c>
      <c r="D34" s="230"/>
    </row>
    <row r="35" spans="1:6">
      <c r="A35" s="168" t="s">
        <v>76</v>
      </c>
      <c r="B35" s="33">
        <f>IF((B19*($B$26-($B$27-0.05*$B$27)-$B$60))&lt;0,0,B19*($B$26-($B$27-0.05*$B$27)-$B$60))</f>
        <v>13.114462916604165</v>
      </c>
      <c r="C35" s="33">
        <f>B35/2</f>
        <v>6.5572314583020823</v>
      </c>
      <c r="D35" s="230"/>
    </row>
    <row r="36" spans="1:6">
      <c r="A36" s="168" t="s">
        <v>77</v>
      </c>
      <c r="B36" s="33">
        <f>IF((B18*($B$26-($B$27-0.05*$B$27)-$B$60))&lt;0,0,B18*($B$26-($B$27-0.05*$B$27)-$B$60))</f>
        <v>436.82530144265303</v>
      </c>
      <c r="C36" s="34" t="s">
        <v>104</v>
      </c>
      <c r="D36" s="171"/>
    </row>
    <row r="37" spans="1:6">
      <c r="A37" s="168" t="s">
        <v>78</v>
      </c>
      <c r="B37" s="33">
        <f>B60</f>
        <v>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8651.8457801047116</v>
      </c>
      <c r="C5" s="17">
        <f>IF(ISERROR('Eigen informatie GS &amp; warmtenet'!B58),0,'Eigen informatie GS &amp; warmtenet'!B58)</f>
        <v>0</v>
      </c>
      <c r="D5" s="30">
        <f>SUM(D6:D12)</f>
        <v>14799.929408</v>
      </c>
      <c r="E5" s="17">
        <f>SUM(E6:E12)</f>
        <v>102.84569267023682</v>
      </c>
      <c r="F5" s="17">
        <f>SUM(F6:F12)</f>
        <v>1250.4416897887304</v>
      </c>
      <c r="G5" s="18"/>
      <c r="H5" s="17"/>
      <c r="I5" s="17"/>
      <c r="J5" s="17">
        <f>SUM(J6:J12)</f>
        <v>0</v>
      </c>
      <c r="K5" s="17"/>
      <c r="L5" s="17"/>
      <c r="M5" s="17"/>
      <c r="N5" s="17">
        <f>SUM(N6:N12)</f>
        <v>571.46567014750849</v>
      </c>
      <c r="O5" s="17">
        <f>B38*B39*B40</f>
        <v>1.5633333333333335</v>
      </c>
      <c r="P5" s="17">
        <f>B46*B47*B48/1000-B46*B47*B48/1000/B49</f>
        <v>19.066666666666666</v>
      </c>
      <c r="R5" s="32"/>
    </row>
    <row r="6" spans="1:18">
      <c r="A6" s="32" t="s">
        <v>53</v>
      </c>
      <c r="B6" s="37">
        <f>B26</f>
        <v>1814.896</v>
      </c>
      <c r="C6" s="33"/>
      <c r="D6" s="37">
        <f>IF(ISERROR(TER_kantoor_gas_kWh/1000),0,TER_kantoor_gas_kWh/1000)*0.902</f>
        <v>10695.09518</v>
      </c>
      <c r="E6" s="33">
        <f>$C$26*'E Balans VL '!I12/100/3.6*1000000</f>
        <v>5.2580199950001587</v>
      </c>
      <c r="F6" s="33">
        <f>$C$26*('E Balans VL '!L12+'E Balans VL '!N12)/100/3.6*1000000</f>
        <v>205.40624194096912</v>
      </c>
      <c r="G6" s="34"/>
      <c r="H6" s="33"/>
      <c r="I6" s="33"/>
      <c r="J6" s="33">
        <f>$C$26*('E Balans VL '!D12+'E Balans VL '!E12)/100/3.6*1000000</f>
        <v>0</v>
      </c>
      <c r="K6" s="33"/>
      <c r="L6" s="33"/>
      <c r="M6" s="33"/>
      <c r="N6" s="33">
        <f>$C$26*'E Balans VL '!Y12/100/3.6*1000000</f>
        <v>18.165771684919516</v>
      </c>
      <c r="O6" s="33"/>
      <c r="P6" s="33"/>
      <c r="R6" s="32"/>
    </row>
    <row r="7" spans="1:18">
      <c r="A7" s="32" t="s">
        <v>52</v>
      </c>
      <c r="B7" s="37">
        <f t="shared" ref="B7:B12" si="0">B27</f>
        <v>999.87278010471209</v>
      </c>
      <c r="C7" s="33"/>
      <c r="D7" s="37">
        <f>IF(ISERROR(TER_horeca_gas_kWh/1000),0,TER_horeca_gas_kWh/1000)*0.902</f>
        <v>1320.4296820000002</v>
      </c>
      <c r="E7" s="33">
        <f>$C$27*'E Balans VL '!I9/100/3.6*1000000</f>
        <v>41.971865719460233</v>
      </c>
      <c r="F7" s="33">
        <f>$C$27*('E Balans VL '!L9+'E Balans VL '!N9)/100/3.6*1000000</f>
        <v>214.84317112801094</v>
      </c>
      <c r="G7" s="34"/>
      <c r="H7" s="33"/>
      <c r="I7" s="33"/>
      <c r="J7" s="33">
        <f>$C$27*('E Balans VL '!D9+'E Balans VL '!E9)/100/3.6*1000000</f>
        <v>0</v>
      </c>
      <c r="K7" s="33"/>
      <c r="L7" s="33"/>
      <c r="M7" s="33"/>
      <c r="N7" s="33">
        <f>$C$27*'E Balans VL '!Y9/100/3.6*1000000</f>
        <v>0.25765847122830604</v>
      </c>
      <c r="O7" s="33"/>
      <c r="P7" s="33"/>
      <c r="R7" s="32"/>
    </row>
    <row r="8" spans="1:18">
      <c r="A8" s="6" t="s">
        <v>51</v>
      </c>
      <c r="B8" s="37">
        <f t="shared" si="0"/>
        <v>4933.5069999999996</v>
      </c>
      <c r="C8" s="33"/>
      <c r="D8" s="37">
        <f>IF(ISERROR(TER_handel_gas_kWh/1000),0,TER_handel_gas_kWh/1000)*0.902</f>
        <v>1273.459836</v>
      </c>
      <c r="E8" s="33">
        <f>$C$28*'E Balans VL '!I13/100/3.6*1000000</f>
        <v>52.989971221155336</v>
      </c>
      <c r="F8" s="33">
        <f>$C$28*('E Balans VL '!L13+'E Balans VL '!N13)/100/3.6*1000000</f>
        <v>638.68322121095787</v>
      </c>
      <c r="G8" s="34"/>
      <c r="H8" s="33"/>
      <c r="I8" s="33"/>
      <c r="J8" s="33">
        <f>$C$28*('E Balans VL '!D13+'E Balans VL '!E13)/100/3.6*1000000</f>
        <v>0</v>
      </c>
      <c r="K8" s="33"/>
      <c r="L8" s="33"/>
      <c r="M8" s="33"/>
      <c r="N8" s="33">
        <f>$C$28*'E Balans VL '!Y13/100/3.6*1000000</f>
        <v>40.020878165194759</v>
      </c>
      <c r="O8" s="33"/>
      <c r="P8" s="33"/>
      <c r="R8" s="32"/>
    </row>
    <row r="9" spans="1:18">
      <c r="A9" s="32" t="s">
        <v>50</v>
      </c>
      <c r="B9" s="37">
        <f t="shared" si="0"/>
        <v>121.968</v>
      </c>
      <c r="C9" s="33"/>
      <c r="D9" s="37">
        <f>IF(ISERROR(TER_gezond_gas_kWh/1000),0,TER_gezond_gas_kWh/1000)*0.902</f>
        <v>240.541752</v>
      </c>
      <c r="E9" s="33">
        <f>$C$29*'E Balans VL '!I10/100/3.6*1000000</f>
        <v>9.7094416678896039E-2</v>
      </c>
      <c r="F9" s="33">
        <f>$C$29*('E Balans VL '!L10+'E Balans VL '!N10)/100/3.6*1000000</f>
        <v>14.826972996357769</v>
      </c>
      <c r="G9" s="34"/>
      <c r="H9" s="33"/>
      <c r="I9" s="33"/>
      <c r="J9" s="33">
        <f>$C$29*('E Balans VL '!D10+'E Balans VL '!E10)/100/3.6*1000000</f>
        <v>0</v>
      </c>
      <c r="K9" s="33"/>
      <c r="L9" s="33"/>
      <c r="M9" s="33"/>
      <c r="N9" s="33">
        <f>$C$29*'E Balans VL '!Y10/100/3.6*1000000</f>
        <v>0.98522519070150338</v>
      </c>
      <c r="O9" s="33"/>
      <c r="P9" s="33"/>
      <c r="R9" s="32"/>
    </row>
    <row r="10" spans="1:18">
      <c r="A10" s="32" t="s">
        <v>49</v>
      </c>
      <c r="B10" s="37">
        <f t="shared" si="0"/>
        <v>726.82799999999997</v>
      </c>
      <c r="C10" s="33"/>
      <c r="D10" s="37">
        <f>IF(ISERROR(TER_ander_gas_kWh/1000),0,TER_ander_gas_kWh/1000)*0.902</f>
        <v>1049.904548</v>
      </c>
      <c r="E10" s="33">
        <f>$C$30*'E Balans VL '!I14/100/3.6*1000000</f>
        <v>2.4908777386486416</v>
      </c>
      <c r="F10" s="33">
        <f>$C$30*('E Balans VL '!L14+'E Balans VL '!N14)/100/3.6*1000000</f>
        <v>162.34384038917739</v>
      </c>
      <c r="G10" s="34"/>
      <c r="H10" s="33"/>
      <c r="I10" s="33"/>
      <c r="J10" s="33">
        <f>$C$30*('E Balans VL '!D14+'E Balans VL '!E14)/100/3.6*1000000</f>
        <v>0</v>
      </c>
      <c r="K10" s="33"/>
      <c r="L10" s="33"/>
      <c r="M10" s="33"/>
      <c r="N10" s="33">
        <f>$C$30*'E Balans VL '!Y14/100/3.6*1000000</f>
        <v>511.98161378374982</v>
      </c>
      <c r="O10" s="33"/>
      <c r="P10" s="33"/>
      <c r="R10" s="32"/>
    </row>
    <row r="11" spans="1:18">
      <c r="A11" s="32" t="s">
        <v>54</v>
      </c>
      <c r="B11" s="37">
        <f t="shared" si="0"/>
        <v>54.774000000000001</v>
      </c>
      <c r="C11" s="33"/>
      <c r="D11" s="37">
        <f>IF(ISERROR(TER_onderwijs_gas_kWh/1000),0,TER_onderwijs_gas_kWh/1000)*0.902</f>
        <v>220.49841000000001</v>
      </c>
      <c r="E11" s="33">
        <f>$C$31*'E Balans VL '!I11/100/3.6*1000000</f>
        <v>3.7863579293561628E-2</v>
      </c>
      <c r="F11" s="33">
        <f>$C$31*('E Balans VL '!L11+'E Balans VL '!N11)/100/3.6*1000000</f>
        <v>14.338242123257151</v>
      </c>
      <c r="G11" s="34"/>
      <c r="H11" s="33"/>
      <c r="I11" s="33"/>
      <c r="J11" s="33">
        <f>$C$31*('E Balans VL '!D11+'E Balans VL '!E11)/100/3.6*1000000</f>
        <v>0</v>
      </c>
      <c r="K11" s="33"/>
      <c r="L11" s="33"/>
      <c r="M11" s="33"/>
      <c r="N11" s="33">
        <f>$C$31*'E Balans VL '!Y11/100/3.6*1000000</f>
        <v>5.4522851714610798E-2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8651.8457801047116</v>
      </c>
      <c r="C16" s="21">
        <f t="shared" ca="1" si="1"/>
        <v>0</v>
      </c>
      <c r="D16" s="21">
        <f t="shared" ca="1" si="1"/>
        <v>14799.929408</v>
      </c>
      <c r="E16" s="21">
        <f t="shared" si="1"/>
        <v>102.84569267023682</v>
      </c>
      <c r="F16" s="21">
        <f t="shared" ca="1" si="1"/>
        <v>1250.4416897887304</v>
      </c>
      <c r="G16" s="21">
        <f t="shared" si="1"/>
        <v>0</v>
      </c>
      <c r="H16" s="21">
        <f t="shared" si="1"/>
        <v>0</v>
      </c>
      <c r="I16" s="21">
        <f t="shared" si="1"/>
        <v>0</v>
      </c>
      <c r="J16" s="21">
        <f t="shared" si="1"/>
        <v>0</v>
      </c>
      <c r="K16" s="21">
        <f t="shared" si="1"/>
        <v>0</v>
      </c>
      <c r="L16" s="21">
        <f t="shared" ca="1" si="1"/>
        <v>0</v>
      </c>
      <c r="M16" s="21">
        <f t="shared" si="1"/>
        <v>0</v>
      </c>
      <c r="N16" s="21">
        <f t="shared" ca="1" si="1"/>
        <v>571.46567014750849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0.21625937950251531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1871.0427999569004</v>
      </c>
      <c r="C20" s="23">
        <f t="shared" ref="C20:P20" ca="1" si="2">C16*C18</f>
        <v>0</v>
      </c>
      <c r="D20" s="23">
        <f t="shared" ca="1" si="2"/>
        <v>2989.5857404160001</v>
      </c>
      <c r="E20" s="23">
        <f t="shared" si="2"/>
        <v>23.345972236143758</v>
      </c>
      <c r="F20" s="23">
        <f t="shared" ca="1" si="2"/>
        <v>333.86793117359105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1814.896</v>
      </c>
      <c r="C26" s="39">
        <f>IF(ISERROR(B26*3.6/1000000/'E Balans VL '!Z12*100),0,B26*3.6/1000000/'E Balans VL '!Z12*100)</f>
        <v>3.9866288869886961E-2</v>
      </c>
      <c r="D26" s="233" t="s">
        <v>676</v>
      </c>
      <c r="F26" s="6"/>
    </row>
    <row r="27" spans="1:18">
      <c r="A27" s="228" t="s">
        <v>52</v>
      </c>
      <c r="B27" s="33">
        <f>IF(ISERROR(TER_horeca_ele_kWh/1000),0,TER_horeca_ele_kWh/1000)</f>
        <v>999.87278010471209</v>
      </c>
      <c r="C27" s="39">
        <f>IF(ISERROR(B27*3.6/1000000/'E Balans VL '!Z9*100),0,B27*3.6/1000000/'E Balans VL '!Z9*100)</f>
        <v>8.0349744731004952E-2</v>
      </c>
      <c r="D27" s="233" t="s">
        <v>676</v>
      </c>
      <c r="F27" s="6"/>
    </row>
    <row r="28" spans="1:18">
      <c r="A28" s="168" t="s">
        <v>51</v>
      </c>
      <c r="B28" s="33">
        <f>IF(ISERROR(TER_handel_ele_kWh/1000),0,TER_handel_ele_kWh/1000)</f>
        <v>4933.5069999999996</v>
      </c>
      <c r="C28" s="39">
        <f>IF(ISERROR(B28*3.6/1000000/'E Balans VL '!Z13*100),0,B28*3.6/1000000/'E Balans VL '!Z13*100)</f>
        <v>0.14588035536964256</v>
      </c>
      <c r="D28" s="233" t="s">
        <v>676</v>
      </c>
      <c r="F28" s="6"/>
    </row>
    <row r="29" spans="1:18">
      <c r="A29" s="228" t="s">
        <v>50</v>
      </c>
      <c r="B29" s="33">
        <f>IF(ISERROR(TER_gezond_ele_kWh/1000),0,TER_gezond_ele_kWh/1000)</f>
        <v>121.968</v>
      </c>
      <c r="C29" s="39">
        <f>IF(ISERROR(B29*3.6/1000000/'E Balans VL '!Z10*100),0,B29*3.6/1000000/'E Balans VL '!Z10*100)</f>
        <v>1.3742644663819427E-2</v>
      </c>
      <c r="D29" s="233" t="s">
        <v>676</v>
      </c>
      <c r="F29" s="6"/>
    </row>
    <row r="30" spans="1:18">
      <c r="A30" s="228" t="s">
        <v>49</v>
      </c>
      <c r="B30" s="33">
        <f>IF(ISERROR(TER_ander_ele_kWh/1000),0,TER_ander_ele_kWh/1000)</f>
        <v>726.82799999999997</v>
      </c>
      <c r="C30" s="39">
        <f>IF(ISERROR(B30*3.6/1000000/'E Balans VL '!Z14*100),0,B30*3.6/1000000/'E Balans VL '!Z14*100)</f>
        <v>5.496875918365584E-2</v>
      </c>
      <c r="D30" s="233" t="s">
        <v>676</v>
      </c>
      <c r="F30" s="6"/>
    </row>
    <row r="31" spans="1:18">
      <c r="A31" s="228" t="s">
        <v>54</v>
      </c>
      <c r="B31" s="33">
        <f>IF(ISERROR(TER_onderwijs_ele_kWh/1000),0,TER_onderwijs_ele_kWh/1000)</f>
        <v>54.774000000000001</v>
      </c>
      <c r="C31" s="39">
        <f>IF(ISERROR(B31*3.6/1000000/'E Balans VL '!Z11*100),0,B31*3.6/1000000/'E Balans VL '!Z11*100)</f>
        <v>1.1369810876177057E-2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21332.173999999999</v>
      </c>
      <c r="C5" s="17">
        <f>IF(ISERROR('Eigen informatie GS &amp; warmtenet'!B59),0,'Eigen informatie GS &amp; warmtenet'!B59)</f>
        <v>0</v>
      </c>
      <c r="D5" s="30">
        <f>SUM(D6:D15)</f>
        <v>46684.107734000005</v>
      </c>
      <c r="E5" s="17">
        <f>SUM(E6:E15)</f>
        <v>1202.8869070753606</v>
      </c>
      <c r="F5" s="17">
        <f>SUM(F6:F15)</f>
        <v>5520.1785445678051</v>
      </c>
      <c r="G5" s="18"/>
      <c r="H5" s="17"/>
      <c r="I5" s="17"/>
      <c r="J5" s="17">
        <f>SUM(J6:J15)</f>
        <v>87.867491965726373</v>
      </c>
      <c r="K5" s="17"/>
      <c r="L5" s="17"/>
      <c r="M5" s="17"/>
      <c r="N5" s="17">
        <f>SUM(N6:N15)</f>
        <v>1238.7395012530828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530.56399999999996</v>
      </c>
      <c r="C8" s="33"/>
      <c r="D8" s="37">
        <f>IF( ISERROR(IND_metaal_Gas_kWH/1000),0,IND_metaal_Gas_kWH/1000)*0.902</f>
        <v>0</v>
      </c>
      <c r="E8" s="33">
        <f>C30*'E Balans VL '!I18/100/3.6*1000000</f>
        <v>13.278159985782221</v>
      </c>
      <c r="F8" s="33">
        <f>C30*'E Balans VL '!L18/100/3.6*1000000+C30*'E Balans VL '!N18/100/3.6*1000000</f>
        <v>166.28139676106269</v>
      </c>
      <c r="G8" s="34"/>
      <c r="H8" s="33"/>
      <c r="I8" s="33"/>
      <c r="J8" s="40">
        <f>C30*'E Balans VL '!D18/100/3.6*1000000+C30*'E Balans VL '!E18/100/3.6*1000000</f>
        <v>0</v>
      </c>
      <c r="K8" s="33"/>
      <c r="L8" s="33"/>
      <c r="M8" s="33"/>
      <c r="N8" s="33">
        <f>C30*'E Balans VL '!Y18/100/3.6*1000000</f>
        <v>13.329144613649541</v>
      </c>
      <c r="O8" s="33"/>
      <c r="P8" s="33"/>
      <c r="R8" s="32"/>
    </row>
    <row r="9" spans="1:18">
      <c r="A9" s="6" t="s">
        <v>32</v>
      </c>
      <c r="B9" s="37">
        <f t="shared" si="0"/>
        <v>615.47799999999995</v>
      </c>
      <c r="C9" s="33"/>
      <c r="D9" s="37">
        <f>IF( ISERROR(IND_andere_gas_kWh/1000),0,IND_andere_gas_kWh/1000)*0.902</f>
        <v>616.11741400000005</v>
      </c>
      <c r="E9" s="33">
        <f>C31*'E Balans VL '!I19/100/3.6*1000000</f>
        <v>169.23120613561295</v>
      </c>
      <c r="F9" s="33">
        <f>C31*'E Balans VL '!L19/100/3.6*1000000+C31*'E Balans VL '!N19/100/3.6*1000000</f>
        <v>485.10376486162323</v>
      </c>
      <c r="G9" s="34"/>
      <c r="H9" s="33"/>
      <c r="I9" s="33"/>
      <c r="J9" s="40">
        <f>C31*'E Balans VL '!D19/100/3.6*1000000+C31*'E Balans VL '!E19/100/3.6*1000000</f>
        <v>0</v>
      </c>
      <c r="K9" s="33"/>
      <c r="L9" s="33"/>
      <c r="M9" s="33"/>
      <c r="N9" s="33">
        <f>C31*'E Balans VL '!Y19/100/3.6*1000000</f>
        <v>49.583295526830256</v>
      </c>
      <c r="O9" s="33"/>
      <c r="P9" s="33"/>
      <c r="R9" s="32"/>
    </row>
    <row r="10" spans="1:18">
      <c r="A10" s="6" t="s">
        <v>40</v>
      </c>
      <c r="B10" s="37">
        <f t="shared" si="0"/>
        <v>161.11099999999999</v>
      </c>
      <c r="C10" s="33"/>
      <c r="D10" s="37">
        <f>IF( ISERROR(IND_voed_gas_kWh/1000),0,IND_voed_gas_kWh/1000)*0.902</f>
        <v>108.117328</v>
      </c>
      <c r="E10" s="33">
        <f>C32*'E Balans VL '!I20/100/3.6*1000000</f>
        <v>1.642437888443653</v>
      </c>
      <c r="F10" s="33">
        <f>C32*'E Balans VL '!L20/100/3.6*1000000+C32*'E Balans VL '!N20/100/3.6*1000000</f>
        <v>304.3376713479646</v>
      </c>
      <c r="G10" s="34"/>
      <c r="H10" s="33"/>
      <c r="I10" s="33"/>
      <c r="J10" s="40">
        <f>C32*'E Balans VL '!D20/100/3.6*1000000+C32*'E Balans VL '!E20/100/3.6*1000000</f>
        <v>3.8559133875786515</v>
      </c>
      <c r="K10" s="33"/>
      <c r="L10" s="33"/>
      <c r="M10" s="33"/>
      <c r="N10" s="33">
        <f>C32*'E Balans VL '!Y20/100/3.6*1000000</f>
        <v>84.924054711587218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332.78207600000002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20025.021000000001</v>
      </c>
      <c r="C15" s="33"/>
      <c r="D15" s="37">
        <f>IF( ISERROR(IND_rest_gas_kWh/1000),0,IND_rest_gas_kWh/1000)*0.902</f>
        <v>45627.090916000001</v>
      </c>
      <c r="E15" s="33">
        <f>C37*'E Balans VL '!I15/100/3.6*1000000</f>
        <v>1018.7351030655218</v>
      </c>
      <c r="F15" s="33">
        <f>C37*'E Balans VL '!L15/100/3.6*1000000+C37*'E Balans VL '!N15/100/3.6*1000000</f>
        <v>4564.4557115971547</v>
      </c>
      <c r="G15" s="34"/>
      <c r="H15" s="33"/>
      <c r="I15" s="33"/>
      <c r="J15" s="40">
        <f>C37*'E Balans VL '!D15/100/3.6*1000000+C37*'E Balans VL '!E15/100/3.6*1000000</f>
        <v>84.01157857814772</v>
      </c>
      <c r="K15" s="33"/>
      <c r="L15" s="33"/>
      <c r="M15" s="33"/>
      <c r="N15" s="33">
        <f>C37*'E Balans VL '!Y15/100/3.6*1000000</f>
        <v>1090.9030064010158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21332.173999999999</v>
      </c>
      <c r="C18" s="21">
        <f>C5+C16</f>
        <v>0</v>
      </c>
      <c r="D18" s="21">
        <f>MAX((D5+D16),0)</f>
        <v>46684.107734000005</v>
      </c>
      <c r="E18" s="21">
        <f>MAX((E5+E16),0)</f>
        <v>1202.8869070753606</v>
      </c>
      <c r="F18" s="21">
        <f>MAX((F5+F16),0)</f>
        <v>5520.1785445678051</v>
      </c>
      <c r="G18" s="21"/>
      <c r="H18" s="21"/>
      <c r="I18" s="21"/>
      <c r="J18" s="21">
        <f>MAX((J5+J16),0)</f>
        <v>87.867491965726373</v>
      </c>
      <c r="K18" s="21"/>
      <c r="L18" s="21">
        <f>MAX((L5+L16),0)</f>
        <v>0</v>
      </c>
      <c r="M18" s="21"/>
      <c r="N18" s="21">
        <f>MAX((N5+N16),0)</f>
        <v>1238.7395012530828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0.21625937950251531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4613.2827126796901</v>
      </c>
      <c r="C22" s="23">
        <f ca="1">C18*C20</f>
        <v>0</v>
      </c>
      <c r="D22" s="23">
        <f>D18*D20</f>
        <v>9430.1897622680008</v>
      </c>
      <c r="E22" s="23">
        <f>E18*E20</f>
        <v>273.05532790610687</v>
      </c>
      <c r="F22" s="23">
        <f>F18*F20</f>
        <v>1473.887671399604</v>
      </c>
      <c r="G22" s="23"/>
      <c r="H22" s="23"/>
      <c r="I22" s="23"/>
      <c r="J22" s="23">
        <f>J18*J20</f>
        <v>31.105092155867133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530.56399999999996</v>
      </c>
      <c r="C30" s="39">
        <f>IF(ISERROR(B30*3.6/1000000/'E Balans VL '!Z18*100),0,B30*3.6/1000000/'E Balans VL '!Z18*100)</f>
        <v>7.4261278759369942E-2</v>
      </c>
      <c r="D30" s="233" t="s">
        <v>676</v>
      </c>
    </row>
    <row r="31" spans="1:18">
      <c r="A31" s="6" t="s">
        <v>32</v>
      </c>
      <c r="B31" s="37">
        <f>IF( ISERROR(IND_ander_ele_kWh/1000),0,IND_ander_ele_kWh/1000)</f>
        <v>615.47799999999995</v>
      </c>
      <c r="C31" s="39">
        <f>IF(ISERROR(B31*3.6/1000000/'E Balans VL '!Z19*100),0,B31*3.6/1000000/'E Balans VL '!Z19*100)</f>
        <v>2.6939372215283024E-2</v>
      </c>
      <c r="D31" s="233" t="s">
        <v>676</v>
      </c>
    </row>
    <row r="32" spans="1:18">
      <c r="A32" s="168" t="s">
        <v>40</v>
      </c>
      <c r="B32" s="37">
        <f>IF( ISERROR(IND_voed_ele_kWh/1000),0,IND_voed_ele_kWh/1000)</f>
        <v>161.11099999999999</v>
      </c>
      <c r="C32" s="39">
        <f>IF(ISERROR(B32*3.6/1000000/'E Balans VL '!Z20*100),0,B32*3.6/1000000/'E Balans VL '!Z20*100)</f>
        <v>3.9885733367592782E-2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20025.021000000001</v>
      </c>
      <c r="C37" s="39">
        <f>IF(ISERROR(B37*3.6/1000000/'E Balans VL '!Z15*100),0,B37*3.6/1000000/'E Balans VL '!Z15*100)</f>
        <v>0.14848210228632591</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37.021999999999998</v>
      </c>
      <c r="C5" s="17">
        <f>'Eigen informatie GS &amp; warmtenet'!B60</f>
        <v>0</v>
      </c>
      <c r="D5" s="30">
        <f>IF(ISERROR(SUM(LB_lb_gas_kWh,LB_rest_gas_kWh)/1000),0,SUM(LB_lb_gas_kWh,LB_rest_gas_kWh)/1000)*0.902</f>
        <v>39.741217999999996</v>
      </c>
      <c r="E5" s="17">
        <f>B17*'E Balans VL '!I25/3.6*1000000/100</f>
        <v>0.34291327023896334</v>
      </c>
      <c r="F5" s="17">
        <f>B17*('E Balans VL '!L25/3.6*1000000+'E Balans VL '!N25/3.6*1000000)/100</f>
        <v>93.931866683762422</v>
      </c>
      <c r="G5" s="18"/>
      <c r="H5" s="17"/>
      <c r="I5" s="17"/>
      <c r="J5" s="17">
        <f>('E Balans VL '!D25+'E Balans VL '!E25)/3.6*1000000*landbouw!B17/100</f>
        <v>5.6758857667258678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37.021999999999998</v>
      </c>
      <c r="C8" s="21">
        <f>C5+C6</f>
        <v>0</v>
      </c>
      <c r="D8" s="21">
        <f>MAX((D5+D6),0)</f>
        <v>39.741217999999996</v>
      </c>
      <c r="E8" s="21">
        <f>MAX((E5+E6),0)</f>
        <v>0.34291327023896334</v>
      </c>
      <c r="F8" s="21">
        <f>MAX((F5+F6),0)</f>
        <v>93.931866683762422</v>
      </c>
      <c r="G8" s="21"/>
      <c r="H8" s="21"/>
      <c r="I8" s="21"/>
      <c r="J8" s="21">
        <f>MAX((J5+J6),0)</f>
        <v>5.6758857667258678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0.21625937950251531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8.0063547479421207</v>
      </c>
      <c r="C12" s="23">
        <f ca="1">C8*C10</f>
        <v>0</v>
      </c>
      <c r="D12" s="23">
        <f>D8*D10</f>
        <v>8.0277260359999989</v>
      </c>
      <c r="E12" s="23">
        <f>E8*E10</f>
        <v>7.7841312344244684E-2</v>
      </c>
      <c r="F12" s="23">
        <f>F8*F10</f>
        <v>25.079808404564567</v>
      </c>
      <c r="G12" s="23"/>
      <c r="H12" s="23"/>
      <c r="I12" s="23"/>
      <c r="J12" s="23">
        <f>J8*J10</f>
        <v>2.0092635614209571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5.2637433979131204E-3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3">
        <f>B26*'GWP N2O_CH4'!B5</f>
        <v>0</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3">
        <f>B27*'GWP N2O_CH4'!B5</f>
        <v>0</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3">
        <f>B28*'GWP N2O_CH4'!B4</f>
        <v>0</v>
      </c>
      <c r="D28" s="50"/>
    </row>
    <row r="29" spans="1:4">
      <c r="A29" s="41" t="s">
        <v>266</v>
      </c>
      <c r="B29" s="243">
        <f>B34*'ha_N2O bodem landbouw'!B4</f>
        <v>3.3098935737946887E-2</v>
      </c>
      <c r="C29" s="243">
        <f>B29*'GWP N2O_CH4'!B4</f>
        <v>10.260670078763535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7.4235081717977952E-6</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1.6182785705141829E-5</v>
      </c>
      <c r="C5" s="430" t="s">
        <v>204</v>
      </c>
      <c r="D5" s="415">
        <f>SUM(D6:D11)</f>
        <v>2.4180674931868768E-5</v>
      </c>
      <c r="E5" s="415">
        <f>SUM(E6:E11)</f>
        <v>2.3733493481163166E-4</v>
      </c>
      <c r="F5" s="428" t="s">
        <v>204</v>
      </c>
      <c r="G5" s="415">
        <f>SUM(G6:G11)</f>
        <v>7.6596593240719268E-2</v>
      </c>
      <c r="H5" s="415">
        <f>SUM(H6:H11)</f>
        <v>1.4025585960067049E-2</v>
      </c>
      <c r="I5" s="430" t="s">
        <v>204</v>
      </c>
      <c r="J5" s="430" t="s">
        <v>204</v>
      </c>
      <c r="K5" s="430" t="s">
        <v>204</v>
      </c>
      <c r="L5" s="430" t="s">
        <v>204</v>
      </c>
      <c r="M5" s="415">
        <f>SUM(M6:M11)</f>
        <v>4.8686728404656252E-3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1.4800490572182715E-5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2.2353744507465434E-5</v>
      </c>
      <c r="E6" s="858">
        <f>vkm_GW_PW*SUMIFS(TableVerdeelsleutelVkm[LPG],TableVerdeelsleutelVkm[Voertuigtype],"Lichte voertuigen")*SUMIFS(TableECFTransport[EnergieConsumptieFactor (PJ per km)],TableECFTransport[Index],CONCATENATE($A6,"_LPG_LPG"))</f>
        <v>2.2017341990969623E-4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5.0371053285870986E-2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1.2998892552891196E-2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3.3168737258104054E-3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5.5253915180324117E-7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2.1206682816134709E-2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4.0098504750298847E-7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1.2295152129235339E-3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8.0187494590673433E-7</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1.8269304244033341E-6</v>
      </c>
      <c r="E8" s="418">
        <f>vkm_NGW_PW*SUMIFS(TableVerdeelsleutelVkm[LPG],TableVerdeelsleutelVkm[Voertuigtype],"Lichte voertuigen")*SUMIFS(TableECFTransport[EnergieConsumptieFactor (PJ per km)],TableECFTransport[Index],CONCATENATE($A8,"_LPG_LPG"))</f>
        <v>1.7161514901935434E-5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3.6439957148307529E-3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1.026267999608942E-3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2.4257261294367401E-4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2.7881035249137114E-8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1.374861423882819E-3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2.4422519407332588E-8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7.9711288788011757E-5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4.4952182514282857</v>
      </c>
      <c r="C14" s="21"/>
      <c r="D14" s="21">
        <f t="shared" ref="D14:M14" si="0">((D5)*10^9/3600)+D12</f>
        <v>6.7168541477413246</v>
      </c>
      <c r="E14" s="21">
        <f t="shared" si="0"/>
        <v>65.926370781008799</v>
      </c>
      <c r="F14" s="21"/>
      <c r="G14" s="21">
        <f t="shared" si="0"/>
        <v>21276.831455755353</v>
      </c>
      <c r="H14" s="21">
        <f t="shared" si="0"/>
        <v>3895.9961000186245</v>
      </c>
      <c r="I14" s="21"/>
      <c r="J14" s="21"/>
      <c r="K14" s="21"/>
      <c r="L14" s="21"/>
      <c r="M14" s="21">
        <f t="shared" si="0"/>
        <v>1352.4091223515625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0.21625937950251531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0.97213310978226286</v>
      </c>
      <c r="C18" s="23"/>
      <c r="D18" s="23">
        <f t="shared" ref="D18:M18" si="1">D14*D16</f>
        <v>1.3568045378437477</v>
      </c>
      <c r="E18" s="23">
        <f t="shared" si="1"/>
        <v>14.965286167288998</v>
      </c>
      <c r="F18" s="23"/>
      <c r="G18" s="23">
        <f t="shared" si="1"/>
        <v>5680.9139986866794</v>
      </c>
      <c r="H18" s="23">
        <f t="shared" si="1"/>
        <v>970.10302890463754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2.0474588232020311E-5</v>
      </c>
      <c r="C50" s="313">
        <f t="shared" ref="C50:P50" si="2">SUM(C51:C52)</f>
        <v>0</v>
      </c>
      <c r="D50" s="313">
        <f t="shared" si="2"/>
        <v>0</v>
      </c>
      <c r="E50" s="313">
        <f t="shared" si="2"/>
        <v>0</v>
      </c>
      <c r="F50" s="313">
        <f t="shared" si="2"/>
        <v>0</v>
      </c>
      <c r="G50" s="313">
        <f t="shared" si="2"/>
        <v>3.8796643088294686E-3</v>
      </c>
      <c r="H50" s="313">
        <f t="shared" si="2"/>
        <v>0</v>
      </c>
      <c r="I50" s="313">
        <f t="shared" si="2"/>
        <v>0</v>
      </c>
      <c r="J50" s="313">
        <f t="shared" si="2"/>
        <v>0</v>
      </c>
      <c r="K50" s="313">
        <f t="shared" si="2"/>
        <v>0</v>
      </c>
      <c r="L50" s="313">
        <f t="shared" si="2"/>
        <v>0</v>
      </c>
      <c r="M50" s="313">
        <f t="shared" si="2"/>
        <v>2.233446546712592E-4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2.0474588232020311E-5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3.8796643088294686E-3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2.233446546712592E-4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5.6873856200056423</v>
      </c>
      <c r="C54" s="21">
        <f t="shared" ref="C54:P54" si="3">(C50)*10^9/3600</f>
        <v>0</v>
      </c>
      <c r="D54" s="21">
        <f t="shared" si="3"/>
        <v>0</v>
      </c>
      <c r="E54" s="21">
        <f t="shared" si="3"/>
        <v>0</v>
      </c>
      <c r="F54" s="21">
        <f t="shared" si="3"/>
        <v>0</v>
      </c>
      <c r="G54" s="21">
        <f t="shared" si="3"/>
        <v>1077.684530230408</v>
      </c>
      <c r="H54" s="21">
        <f t="shared" si="3"/>
        <v>0</v>
      </c>
      <c r="I54" s="21">
        <f t="shared" si="3"/>
        <v>0</v>
      </c>
      <c r="J54" s="21">
        <f t="shared" si="3"/>
        <v>0</v>
      </c>
      <c r="K54" s="21">
        <f t="shared" si="3"/>
        <v>0</v>
      </c>
      <c r="L54" s="21">
        <f t="shared" si="3"/>
        <v>0</v>
      </c>
      <c r="M54" s="21">
        <f t="shared" si="3"/>
        <v>62.040181853127557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0.21625937950251531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1.2299504851739484</v>
      </c>
      <c r="C58" s="23">
        <f t="shared" ref="C58:P58" ca="1" si="4">C54*C56</f>
        <v>0</v>
      </c>
      <c r="D58" s="23">
        <f t="shared" si="4"/>
        <v>0</v>
      </c>
      <c r="E58" s="23">
        <f t="shared" si="4"/>
        <v>0</v>
      </c>
      <c r="F58" s="23">
        <f t="shared" si="4"/>
        <v>0</v>
      </c>
      <c r="G58" s="23">
        <f t="shared" si="4"/>
        <v>287.74176957151894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1004.6551219442561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1004.6551219442561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2021-11-11T13:06:32Z</dcterms:modified>
</cp:coreProperties>
</file>