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DCE3FA4A-7789-435E-9540-33CAB329E38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H10" i="14" l="1"/>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Q90" i="14" s="1"/>
  <c r="B17" i="6" s="1"/>
  <c r="O17" i="18"/>
  <c r="O20" i="18" s="1"/>
  <c r="I76" i="14"/>
  <c r="I8" i="59" s="1"/>
  <c r="I10" i="59" s="1"/>
  <c r="O8" i="18"/>
  <c r="O10" i="18" s="1"/>
  <c r="I20" i="18"/>
  <c r="I17" i="59"/>
  <c r="I20" i="59" s="1"/>
  <c r="C87" i="14"/>
  <c r="C17" i="59" s="1"/>
  <c r="C20" i="59" s="1"/>
  <c r="J10" i="18"/>
  <c r="J76" i="14"/>
  <c r="J8" i="59" s="1"/>
  <c r="J10" i="59" s="1"/>
  <c r="Q78" i="14"/>
  <c r="B9" i="6" s="1"/>
  <c r="P8" i="59"/>
  <c r="P10" i="59" s="1"/>
  <c r="B87" i="14"/>
  <c r="I90" i="14"/>
  <c r="B10" i="44"/>
  <c r="B25" i="44"/>
  <c r="B24" i="44"/>
  <c r="P17" i="59" l="1"/>
  <c r="P20" i="59" s="1"/>
  <c r="I78" i="14"/>
  <c r="C90" i="14"/>
  <c r="J78" i="14"/>
  <c r="B76" i="14"/>
  <c r="B78" i="14" s="1"/>
  <c r="C76" i="14"/>
  <c r="C78" i="14" s="1"/>
  <c r="B90" i="14"/>
  <c r="B17" i="59"/>
  <c r="B20" i="59" s="1"/>
  <c r="A6" i="23"/>
  <c r="A5" i="23"/>
  <c r="B8" i="59" l="1"/>
  <c r="B10" i="59" s="1"/>
  <c r="B4" i="6"/>
  <c r="C8" i="59"/>
  <c r="C10" i="59" s="1"/>
  <c r="A2" i="23"/>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<sst xmlns="http://schemas.openxmlformats.org/spreadsheetml/2006/main" count="2506" uniqueCount="925">
  <si>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</si>
  <si>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</si>
  <si>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</si>
  <si>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</si>
  <si>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</si>
  <si>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</si>
  <si>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</si>
  <si>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</si>
  <si>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</si>
  <si>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</si>
  <si>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</si>
  <si>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</si>
  <si>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</si>
  <si>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</si>
  <si>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</si>
  <si>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</si>
  <si>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</si>
  <si>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</si>
  <si>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</si>
  <si>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</si>
  <si>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</si>
  <si>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</si>
  <si>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</si>
  <si>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</si>
  <si>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</si>
  <si>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</si>
  <si>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</si>
  <si>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</si>
  <si>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</si>
  <si>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</si>
  <si>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</si>
  <si>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</si>
  <si>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</si>
  <si>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</si>
  <si>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</si>
  <si>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</si>
  <si>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</si>
  <si>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</si>
  <si>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</si>
  <si>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</si>
  <si>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</si>
  <si>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</si>
  <si>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</si>
  <si>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</si>
  <si>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</si>
  <si>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</si>
  <si>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</si>
  <si>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</si>
  <si>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</si>
  <si>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</si>
  <si>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</si>
  <si>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</si>
  <si>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</si>
  <si>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</si>
  <si>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</si>
  <si>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</si>
  <si>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</si>
  <si>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</si>
  <si>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</si>
  <si>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</si>
  <si>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</si>
  <si>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</si>
  <si>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</si>
  <si>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</si>
  <si>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</si>
  <si>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</si>
  <si>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</si>
  <si>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</si>
  <si>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</si>
  <si>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</si>
  <si>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</si>
  <si>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</si>
  <si>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</si>
  <si>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</si>
  <si>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</si>
  <si>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</si>
  <si>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</si>
  <si>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</si>
  <si>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</si>
  <si>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</si>
  <si>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</si>
  <si>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</si>
  <si>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</si>
  <si>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</si>
  <si>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</si>
  <si>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</si>
  <si>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</si>
  <si>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</si>
  <si>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</si>
  <si>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</si>
  <si>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</si>
  <si>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</si>
  <si>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</si>
  <si>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</si>
  <si>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</si>
  <si>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</si>
  <si>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</si>
  <si>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</si>
  <si>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</si>
  <si>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</si>
  <si>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</si>
  <si>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</si>
  <si>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</si>
  <si>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</si>
  <si>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</si>
  <si>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</si>
  <si>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</si>
  <si>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</si>
  <si>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</si>
  <si>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</si>
  <si>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</si>
  <si>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</si>
  <si>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</si>
  <si>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</si>
  <si>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</si>
  <si>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</si>
  <si>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</si>
  <si>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</si>
  <si>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</si>
  <si>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</si>
  <si>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</si>
  <si>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</si>
  <si>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</si>
  <si>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</si>
  <si>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</si>
  <si>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</si>
  <si>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</si>
  <si>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</si>
  <si>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</si>
  <si>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</si>
  <si>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</si>
  <si>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</si>
  <si>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</si>
  <si>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</si>
  <si>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</si>
  <si>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</si>
  <si>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</si>
  <si>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</si>
  <si>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</si>
  <si>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</si>
  <si>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</si>
  <si>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</si>
  <si>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</si>
  <si>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</si>
  <si>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</si>
  <si>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</si>
  <si>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</si>
  <si>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</si>
  <si>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</si>
  <si>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</si>
  <si>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</si>
  <si>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</si>
  <si>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</si>
  <si>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</si>
  <si>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</si>
  <si>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</si>
  <si>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</si>
  <si>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</si>
  <si>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</si>
  <si>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</si>
  <si>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</si>
  <si>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</si>
  <si>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</si>
  <si>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</si>
  <si>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</si>
  <si>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</si>
  <si>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</si>
  <si>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</si>
  <si>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</si>
  <si>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</si>
  <si>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</si>
  <si>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</si>
  <si>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</si>
  <si>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</si>
  <si>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</si>
  <si>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</si>
  <si>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</si>
  <si>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</si>
  <si>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</si>
  <si>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</si>
  <si>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</si>
  <si>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</si>
  <si>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</si>
  <si>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</si>
  <si>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</si>
  <si>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</si>
  <si>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</si>
  <si>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</si>
  <si>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</si>
  <si>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</si>
  <si>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</si>
  <si>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</si>
  <si>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</si>
  <si>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</si>
  <si>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</si>
  <si>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</si>
  <si>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</si>
  <si>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</si>
  <si>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</si>
  <si>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</si>
  <si>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</si>
  <si>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</si>
  <si>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</si>
  <si>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</si>
  <si>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</si>
  <si>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</si>
  <si>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</si>
  <si>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</si>
  <si>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</si>
  <si>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</si>
  <si>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</si>
  <si>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</si>
  <si>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</si>
  <si>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</si>
  <si>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</si>
  <si>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</si>
  <si>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</si>
  <si>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</si>
  <si>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</si>
  <si>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</si>
  <si>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</si>
  <si>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</si>
  <si>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</si>
  <si>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</si>
  <si>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</si>
  <si>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</si>
  <si>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</si>
  <si>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</si>
  <si>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</si>
  <si>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</si>
  <si>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</si>
  <si>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</si>
  <si>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</si>
  <si>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</si>
  <si>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</si>
  <si>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</si>
  <si>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</si>
  <si>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</si>
  <si>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</si>
  <si>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</si>
  <si>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</si>
  <si>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</si>
  <si>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</si>
  <si>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</si>
  <si>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</si>
  <si>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</si>
  <si>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</si>
  <si>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</si>
  <si>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</si>
  <si>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</si>
  <si>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</si>
  <si>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</si>
  <si>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</si>
  <si>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</si>
  <si>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</si>
  <si>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</si>
  <si>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</si>
  <si>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</si>
  <si>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</si>
  <si>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</si>
  <si>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</si>
  <si>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</si>
  <si>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</si>
  <si>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</si>
  <si>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</si>
  <si>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</si>
  <si>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</si>
  <si>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</si>
  <si>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</si>
  <si>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</si>
  <si>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</si>
  <si>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</si>
  <si>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</si>
  <si>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</si>
  <si>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</si>
  <si>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</si>
  <si>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</si>
  <si>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</si>
  <si>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</si>
  <si>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</si>
  <si>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</si>
  <si>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</si>
  <si>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</si>
  <si>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</si>
  <si>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</si>
  <si>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</si>
  <si>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</si>
  <si>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</si>
  <si>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</si>
  <si>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</si>
  <si>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</si>
  <si>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</si>
  <si>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</si>
  <si>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</si>
  <si>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</si>
  <si>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</si>
  <si>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</si>
  <si>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</si>
  <si>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</si>
  <si>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</si>
  <si>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</si>
  <si>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</si>
  <si>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</si>
  <si>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</si>
  <si>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</si>
  <si>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</si>
  <si>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</si>
  <si>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</si>
  <si>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</si>
  <si>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</si>
  <si>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</si>
  <si>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</si>
  <si>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</si>
  <si>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</si>
  <si>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</si>
  <si>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</si>
  <si>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</si>
  <si>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</si>
  <si>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</si>
  <si>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</si>
  <si>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</si>
  <si>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</si>
  <si>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</si>
  <si>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</si>
  <si>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</si>
  <si>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</si>
  <si>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</si>
  <si>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</si>
  <si>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</si>
  <si>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</si>
  <si>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</si>
  <si>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</si>
  <si>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</si>
  <si>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</si>
  <si>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</si>
  <si>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</si>
  <si>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</si>
  <si>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</si>
  <si>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</si>
  <si>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</si>
  <si>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</si>
  <si>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</si>
  <si>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</si>
  <si>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</si>
  <si>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</si>
  <si>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</si>
  <si>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</si>
  <si>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</si>
  <si>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</si>
  <si>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</si>
  <si>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</si>
  <si>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</si>
  <si>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</si>
  <si>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</si>
  <si>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</si>
  <si>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</si>
  <si>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</si>
  <si>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</si>
  <si>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</si>
  <si>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</si>
  <si>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</si>
  <si>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</si>
  <si>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</si>
  <si>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</si>
  <si>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</si>
  <si>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</si>
  <si>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</si>
  <si>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</si>
  <si>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</si>
  <si>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</si>
  <si>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</si>
  <si>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</si>
  <si>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</si>
  <si>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</si>
  <si>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</si>
  <si>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</si>
  <si>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</si>
  <si>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</si>
  <si>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</si>
  <si>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</si>
  <si>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</si>
  <si>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</si>
  <si>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</si>
  <si>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</si>
  <si>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</si>
  <si>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</si>
  <si>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</si>
  <si>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</si>
  <si>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</si>
  <si>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</si>
  <si>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</si>
  <si>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</si>
  <si>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</si>
  <si>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</si>
  <si>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</si>
  <si>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</si>
  <si>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</si>
  <si>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</si>
  <si>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</si>
  <si>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</si>
  <si>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</si>
  <si>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</si>
  <si>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</si>
  <si>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</si>
  <si>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</si>
  <si>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</si>
  <si>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</si>
  <si>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</si>
  <si>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</si>
  <si>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</si>
  <si>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</si>
  <si>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</si>
  <si>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</si>
  <si>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</si>
  <si>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</si>
  <si>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</si>
  <si>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</si>
  <si>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</si>
  <si>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</si>
  <si>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</si>
  <si>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</si>
  <si>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</si>
  <si>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</si>
  <si>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</si>
  <si>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</si>
  <si>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</si>
  <si>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</si>
  <si>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</si>
  <si>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</si>
  <si>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</si>
  <si>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</si>
  <si>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</si>
  <si>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</si>
  <si>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</si>
  <si>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</si>
  <si>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</si>
  <si>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</si>
  <si>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</si>
  <si>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</si>
  <si>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</si>
  <si>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</si>
  <si>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</si>
  <si>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</si>
  <si>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</si>
  <si>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</si>
  <si>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</si>
  <si>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</si>
  <si>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</si>
  <si>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</si>
  <si>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</si>
  <si>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</si>
  <si>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</si>
  <si>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</si>
  <si>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</si>
  <si>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</si>
  <si>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</si>
  <si>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</si>
  <si>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</si>
  <si>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</si>
  <si>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</si>
  <si>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</si>
  <si>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</si>
  <si>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</si>
  <si>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</si>
  <si>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</si>
  <si>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</si>
  <si>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</si>
  <si>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</si>
  <si>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</si>
  <si>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</si>
  <si>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</si>
  <si>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</si>
  <si>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</si>
  <si>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</si>
  <si>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</si>
  <si>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</si>
  <si>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</si>
  <si>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</si>
  <si>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</si>
  <si>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</si>
  <si>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</si>
  <si>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</si>
  <si>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</si>
  <si>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</si>
  <si>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</si>
  <si>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</si>
  <si>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</si>
  <si>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</si>
  <si>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</si>
  <si>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</si>
  <si>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</si>
  <si>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</si>
  <si>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</si>
  <si>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</si>
  <si>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</si>
  <si>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</si>
  <si>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</si>
  <si>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</si>
  <si>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</si>
  <si>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</si>
  <si>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</si>
  <si>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</si>
  <si>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</si>
  <si>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</si>
  <si>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</si>
  <si>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</si>
  <si>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</si>
  <si>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</si>
  <si>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</si>
  <si>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</si>
  <si>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</si>
  <si>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</si>
  <si>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</si>
  <si>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</si>
  <si>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</si>
  <si>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</si>
  <si>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</si>
  <si>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</si>
  <si>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</si>
  <si>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</si>
  <si>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</si>
  <si>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</si>
  <si>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</si>
  <si>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</si>
  <si>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</si>
  <si>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</si>
  <si>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</si>
  <si>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</si>
  <si>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</si>
  <si>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</si>
  <si>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</si>
  <si>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</si>
  <si>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</si>
  <si>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</si>
  <si>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</si>
  <si>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</si>
  <si>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</si>
  <si>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</si>
  <si>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</si>
  <si>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</si>
  <si>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</si>
  <si>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</si>
  <si>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</si>
  <si>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</si>
  <si>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</si>
  <si>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</si>
  <si>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</si>
  <si>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</si>
  <si>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</si>
  <si>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</si>
  <si>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</si>
  <si>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</si>
  <si>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</si>
  <si>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</si>
  <si>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</si>
  <si>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</si>
  <si>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</si>
  <si>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</si>
  <si>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</si>
  <si>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</si>
  <si>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</si>
  <si>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</si>
  <si>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</si>
  <si>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</si>
  <si>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</si>
  <si>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</si>
  <si>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</si>
  <si>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</si>
  <si>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</si>
  <si>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</si>
  <si>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</si>
  <si>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</si>
  <si>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</si>
  <si>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</si>
  <si>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</si>
  <si>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</si>
  <si>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</si>
  <si>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</si>
  <si>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</si>
  <si>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</si>
  <si>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</si>
  <si>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</si>
  <si>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</si>
  <si>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</si>
  <si>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</si>
  <si>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</si>
  <si>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</si>
  <si>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</si>
  <si>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</si>
  <si>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</si>
  <si>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</si>
  <si>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</si>
  <si>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</si>
  <si>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</si>
  <si>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</si>
  <si>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</si>
  <si>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</si>
  <si>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</si>
  <si>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</si>
  <si>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</si>
  <si>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</si>
  <si>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</si>
  <si>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</si>
  <si>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</si>
  <si>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</si>
  <si>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</si>
  <si>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</si>
  <si>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</si>
  <si>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</si>
  <si>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</si>
  <si>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</si>
  <si>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</si>
  <si>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</si>
  <si>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</si>
  <si>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</si>
  <si>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</si>
  <si>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</si>
  <si>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</si>
  <si>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</si>
  <si>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</si>
  <si>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</si>
  <si>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</si>
  <si>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</si>
  <si>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</si>
  <si>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</si>
  <si>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</si>
  <si>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</si>
  <si>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</si>
  <si>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</si>
  <si>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</si>
  <si>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</si>
  <si>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</si>
  <si>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</si>
  <si>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</si>
  <si>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</si>
  <si>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</si>
  <si>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</si>
  <si>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</si>
  <si>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</si>
  <si>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</si>
  <si>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</si>
  <si>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</si>
  <si>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</si>
  <si>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</si>
  <si>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</si>
  <si>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</si>
  <si>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</si>
  <si>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</si>
  <si>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</si>
  <si>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</si>
  <si>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</si>
  <si>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</si>
  <si>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</si>
  <si>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</si>
  <si>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</si>
  <si>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</si>
  <si>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</si>
  <si>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</si>
  <si>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</si>
  <si>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</si>
  <si>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</si>
  <si>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</si>
  <si>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</si>
  <si>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</si>
  <si>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</si>
  <si>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</si>
  <si>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</si>
  <si>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</si>
  <si>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</si>
  <si>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</si>
  <si>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</si>
  <si>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</si>
  <si>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</si>
  <si>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</si>
  <si>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</si>
  <si>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</si>
  <si>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</si>
  <si>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</si>
  <si>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</si>
  <si>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</si>
  <si>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</si>
  <si>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</si>
  <si>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</si>
  <si>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</si>
  <si>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</si>
  <si>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</si>
  <si>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</si>
  <si>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</si>
  <si>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</si>
  <si>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</si>
  <si>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</si>
  <si>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</si>
  <si>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</si>
  <si>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</si>
  <si>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</si>
  <si>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</si>
  <si>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</si>
  <si>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</si>
  <si>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</si>
  <si>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</si>
  <si>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</si>
  <si>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</si>
  <si>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</si>
  <si>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</si>
  <si>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</si>
  <si>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</si>
  <si>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</si>
  <si>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</si>
  <si>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</si>
  <si>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</si>
  <si>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</si>
  <si>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</si>
  <si>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</si>
  <si>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</si>
  <si>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</si>
  <si>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</si>
  <si>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</si>
  <si>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</si>
  <si>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</si>
  <si>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</si>
  <si>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</si>
  <si>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</si>
  <si>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</si>
  <si>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</si>
  <si>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</si>
  <si>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</si>
  <si>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</si>
  <si>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</si>
  <si>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</si>
  <si>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</si>
  <si>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</si>
  <si>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</si>
  <si>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</si>
  <si>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</si>
  <si>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</si>
  <si>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</si>
  <si>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</si>
  <si>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</si>
  <si>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</si>
  <si>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</si>
  <si>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</si>
  <si>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</si>
  <si>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</si>
  <si>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</si>
  <si>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</si>
  <si>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</si>
  <si>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</si>
  <si>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</si>
  <si>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</si>
  <si>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</si>
  <si>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</si>
  <si>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</si>
  <si>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</si>
  <si>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</si>
  <si>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</si>
  <si>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</si>
  <si>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</si>
  <si>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</si>
  <si>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</si>
  <si>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</si>
  <si>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</si>
  <si>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</si>
  <si>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</si>
  <si>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</si>
  <si>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</si>
  <si>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</si>
  <si>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</si>
  <si>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</si>
  <si>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</si>
  <si>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</si>
  <si>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</si>
  <si>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</si>
  <si>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</si>
  <si>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</si>
  <si>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</si>
  <si>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</si>
  <si>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</si>
  <si>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</si>
  <si>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</si>
  <si>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</si>
  <si>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</si>
  <si>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</si>
  <si>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</si>
  <si>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</si>
  <si>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</si>
  <si>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</si>
  <si>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</si>
  <si>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</si>
  <si>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</si>
  <si>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</si>
  <si>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</si>
  <si>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</si>
  <si>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</si>
  <si>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</si>
  <si>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</si>
  <si>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</si>
  <si>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</si>
  <si>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</si>
  <si>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</si>
  <si>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</si>
  <si>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</si>
  <si>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</si>
  <si>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</si>
  <si>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</si>
  <si>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</si>
  <si>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</si>
  <si>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</si>
  <si>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</si>
  <si>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</si>
  <si>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</si>
  <si>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</si>
  <si>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</si>
  <si>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</si>
  <si>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</si>
  <si>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</si>
  <si>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</si>
  <si>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</si>
  <si>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</si>
  <si>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</si>
  <si>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</si>
  <si>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</si>
  <si>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</si>
  <si>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</si>
  <si>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</si>
  <si>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</si>
  <si>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</si>
  <si>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</si>
  <si>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</si>
  <si>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</si>
  <si>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</si>
  <si>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</si>
  <si>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</si>
  <si>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</si>
  <si>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</si>
  <si>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</si>
  <si>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</si>
  <si>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</si>
  <si>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</si>
  <si>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</si>
  <si>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</si>
  <si>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</si>
  <si>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</si>
  <si>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</si>
  <si>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</si>
  <si>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</si>
  <si>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</si>
  <si>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</si>
  <si>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</si>
  <si>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</si>
  <si>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</si>
  <si>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</si>
  <si>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</si>
  <si>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</si>
  <si>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</si>
  <si>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</si>
  <si>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</si>
  <si>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</si>
  <si>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</si>
  <si>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</si>
  <si>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</si>
  <si>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</si>
  <si>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</si>
  <si>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</si>
  <si>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</si>
  <si>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</si>
  <si>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</si>
  <si>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</si>
  <si>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</si>
  <si>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</si>
  <si>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</si>
  <si>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</si>
  <si>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</si>
  <si>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</si>
  <si>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</si>
  <si>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</si>
  <si>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</si>
  <si>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</si>
  <si>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</si>
  <si>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</si>
  <si>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</si>
  <si>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</si>
  <si>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</si>
  <si>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</si>
  <si>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</si>
  <si>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</si>
  <si>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</si>
  <si>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</si>
  <si>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</si>
  <si>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</si>
  <si>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</si>
  <si>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</si>
  <si>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</si>
  <si>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</si>
  <si>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</si>
  <si>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</si>
  <si>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</si>
  <si>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</si>
  <si>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</si>
  <si>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</si>
  <si>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</si>
  <si>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</si>
  <si>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</si>
  <si>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</si>
  <si>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</si>
  <si>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</si>
  <si>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</si>
  <si>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</si>
  <si>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</si>
  <si>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</si>
  <si>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</si>
  <si>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</si>
  <si>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</si>
  <si>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</si>
  <si>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</si>
  <si>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</si>
  <si>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</si>
  <si>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11007</t>
  </si>
  <si>
    <t>BORSBEEK</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</si>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</sst>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0A2F72AD-B11B-4469-8BA6-4CFBE6456EE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80531.414396168606</c:v>
                </c:pt>
                <c:pt idx="1">
                  <c:v>21341.036134632253</c:v>
                </c:pt>
                <c:pt idx="2">
                  <c:v>460.82900000000001</c:v>
                </c:pt>
                <c:pt idx="3">
                  <c:v>20965.288871345416</c:v>
                </c:pt>
                <c:pt idx="4">
                  <c:v>4275.5051254756163</c:v>
                </c:pt>
                <c:pt idx="5">
                  <c:v>31094.12050950816</c:v>
                </c:pt>
                <c:pt idx="6">
                  <c:v>1097.8095026313256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80531.414396168606</c:v>
                </c:pt>
                <c:pt idx="1">
                  <c:v>21341.036134632253</c:v>
                </c:pt>
                <c:pt idx="2">
                  <c:v>460.82900000000001</c:v>
                </c:pt>
                <c:pt idx="3">
                  <c:v>20965.288871345416</c:v>
                </c:pt>
                <c:pt idx="4">
                  <c:v>4275.5051254756163</c:v>
                </c:pt>
                <c:pt idx="5">
                  <c:v>31094.12050950816</c:v>
                </c:pt>
                <c:pt idx="6">
                  <c:v>1097.8095026313256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16361.449182674238</c:v>
                </c:pt>
                <c:pt idx="2">
                  <c:v>4525.1713037812533</c:v>
                </c:pt>
                <c:pt idx="3">
                  <c:v>103.28499775417589</c:v>
                </c:pt>
                <c:pt idx="4">
                  <c:v>5002.2027578483821</c:v>
                </c:pt>
                <c:pt idx="5">
                  <c:v>931.20537384105887</c:v>
                </c:pt>
                <c:pt idx="6">
                  <c:v>7797.5905285350545</c:v>
                </c:pt>
                <c:pt idx="7">
                  <c:v>277.00513572429583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16361.449182674238</c:v>
                </c:pt>
                <c:pt idx="2">
                  <c:v>4525.1713037812533</c:v>
                </c:pt>
                <c:pt idx="3">
                  <c:v>103.28499775417589</c:v>
                </c:pt>
                <c:pt idx="4">
                  <c:v>5002.2027578483821</c:v>
                </c:pt>
                <c:pt idx="5">
                  <c:v>931.20537384105887</c:v>
                </c:pt>
                <c:pt idx="6">
                  <c:v>7797.5905285350545</c:v>
                </c:pt>
                <c:pt idx="7">
                  <c:v>277.00513572429583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11007</v>
      </c>
      <c r="B6" s="383"/>
      <c r="C6" s="384"/>
    </row>
    <row r="7" spans="1:7" s="381" customFormat="1" ht="15.75" customHeight="1">
      <c r="A7" s="385" t="str">
        <f>txtMunicipality</f>
        <v>BORSBEEK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10019.003219999999</v>
      </c>
      <c r="D10" s="983">
        <f ca="1">tertiair!C16</f>
        <v>0</v>
      </c>
      <c r="E10" s="983">
        <f ca="1">tertiair!D16</f>
        <v>9873.6423120182408</v>
      </c>
      <c r="F10" s="983">
        <f>tertiair!E16</f>
        <v>107.66492926936527</v>
      </c>
      <c r="G10" s="983">
        <f ca="1">tertiair!F16</f>
        <v>1363.2756532312596</v>
      </c>
      <c r="H10" s="983">
        <f>tertiair!G16</f>
        <v>0</v>
      </c>
      <c r="I10" s="983">
        <f>tertiair!H16</f>
        <v>0</v>
      </c>
      <c r="J10" s="983">
        <f>tertiair!I16</f>
        <v>0</v>
      </c>
      <c r="K10" s="983">
        <f>tertiair!J16</f>
        <v>0</v>
      </c>
      <c r="L10" s="983">
        <f>tertiair!K16</f>
        <v>0</v>
      </c>
      <c r="M10" s="983">
        <f ca="1">tertiair!L16</f>
        <v>0</v>
      </c>
      <c r="N10" s="983">
        <f>tertiair!M16</f>
        <v>0</v>
      </c>
      <c r="O10" s="983">
        <f ca="1">tertiair!N16</f>
        <v>438.27902011338995</v>
      </c>
      <c r="P10" s="983">
        <f>tertiair!O16</f>
        <v>0</v>
      </c>
      <c r="Q10" s="984">
        <f>tertiair!P16</f>
        <v>0</v>
      </c>
      <c r="R10" s="667">
        <f ca="1">SUM(C10:Q10)</f>
        <v>21801.865134632255</v>
      </c>
      <c r="S10" s="67"/>
    </row>
    <row r="11" spans="1:19" s="440" customFormat="1">
      <c r="A11" s="776" t="s">
        <v>214</v>
      </c>
      <c r="B11" s="781"/>
      <c r="C11" s="983">
        <f>huishoudens!B8</f>
        <v>16065.263178278368</v>
      </c>
      <c r="D11" s="983">
        <f>huishoudens!C8</f>
        <v>0</v>
      </c>
      <c r="E11" s="983">
        <f>huishoudens!D8</f>
        <v>48055.575719444474</v>
      </c>
      <c r="F11" s="983">
        <f>huishoudens!E8</f>
        <v>342.69181904917417</v>
      </c>
      <c r="G11" s="983">
        <f>huishoudens!F8</f>
        <v>10810.857759253104</v>
      </c>
      <c r="H11" s="983">
        <f>huishoudens!G8</f>
        <v>0</v>
      </c>
      <c r="I11" s="983">
        <f>huishoudens!H8</f>
        <v>0</v>
      </c>
      <c r="J11" s="983">
        <f>huishoudens!I8</f>
        <v>0</v>
      </c>
      <c r="K11" s="983">
        <f>huishoudens!J8</f>
        <v>252.10879455035945</v>
      </c>
      <c r="L11" s="983">
        <f>huishoudens!K8</f>
        <v>0</v>
      </c>
      <c r="M11" s="983">
        <f>huishoudens!L8</f>
        <v>0</v>
      </c>
      <c r="N11" s="983">
        <f>huishoudens!M8</f>
        <v>0</v>
      </c>
      <c r="O11" s="983">
        <f>huishoudens!N8</f>
        <v>4916.4504589264752</v>
      </c>
      <c r="P11" s="983">
        <f>huishoudens!O8</f>
        <v>31.266666666666666</v>
      </c>
      <c r="Q11" s="984">
        <f>huishoudens!P8</f>
        <v>57.2</v>
      </c>
      <c r="R11" s="667">
        <f>SUM(C11:Q11)</f>
        <v>80531.414396168606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1645.5352</v>
      </c>
      <c r="D13" s="983">
        <f>industrie!C18</f>
        <v>0</v>
      </c>
      <c r="E13" s="983">
        <f>industrie!D18</f>
        <v>898.44943274642776</v>
      </c>
      <c r="F13" s="983">
        <f>industrie!E18</f>
        <v>168.11875762834947</v>
      </c>
      <c r="G13" s="983">
        <f>industrie!F18</f>
        <v>1266.910324418732</v>
      </c>
      <c r="H13" s="983">
        <f>industrie!G18</f>
        <v>0</v>
      </c>
      <c r="I13" s="983">
        <f>industrie!H18</f>
        <v>0</v>
      </c>
      <c r="J13" s="983">
        <f>industrie!I18</f>
        <v>0</v>
      </c>
      <c r="K13" s="983">
        <f>industrie!J18</f>
        <v>12.652354291984743</v>
      </c>
      <c r="L13" s="983">
        <f>industrie!K18</f>
        <v>0</v>
      </c>
      <c r="M13" s="983">
        <f>industrie!L18</f>
        <v>0</v>
      </c>
      <c r="N13" s="983">
        <f>industrie!M18</f>
        <v>0</v>
      </c>
      <c r="O13" s="983">
        <f>industrie!N18</f>
        <v>283.83905639012198</v>
      </c>
      <c r="P13" s="983">
        <f>industrie!O18</f>
        <v>0</v>
      </c>
      <c r="Q13" s="984">
        <f>industrie!P18</f>
        <v>0</v>
      </c>
      <c r="R13" s="667">
        <f>SUM(C13:Q13)</f>
        <v>4275.5051254756163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27729.801598278365</v>
      </c>
      <c r="D16" s="699">
        <f t="shared" ref="D16:R16" ca="1" si="0">SUM(D9:D15)</f>
        <v>0</v>
      </c>
      <c r="E16" s="699">
        <f t="shared" ca="1" si="0"/>
        <v>58827.667464209146</v>
      </c>
      <c r="F16" s="699">
        <f t="shared" si="0"/>
        <v>618.47550594688892</v>
      </c>
      <c r="G16" s="699">
        <f t="shared" ca="1" si="0"/>
        <v>13441.043736903095</v>
      </c>
      <c r="H16" s="699">
        <f t="shared" si="0"/>
        <v>0</v>
      </c>
      <c r="I16" s="699">
        <f t="shared" si="0"/>
        <v>0</v>
      </c>
      <c r="J16" s="699">
        <f t="shared" si="0"/>
        <v>0</v>
      </c>
      <c r="K16" s="699">
        <f t="shared" si="0"/>
        <v>264.7611488423442</v>
      </c>
      <c r="L16" s="699">
        <f t="shared" si="0"/>
        <v>0</v>
      </c>
      <c r="M16" s="699">
        <f t="shared" ca="1" si="0"/>
        <v>0</v>
      </c>
      <c r="N16" s="699">
        <f t="shared" si="0"/>
        <v>0</v>
      </c>
      <c r="O16" s="699">
        <f t="shared" ca="1" si="0"/>
        <v>5638.5685354299876</v>
      </c>
      <c r="P16" s="699">
        <f t="shared" si="0"/>
        <v>31.266666666666666</v>
      </c>
      <c r="Q16" s="699">
        <f t="shared" si="0"/>
        <v>57.2</v>
      </c>
      <c r="R16" s="699">
        <f t="shared" ca="1" si="0"/>
        <v>106608.78465627648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5.4510215068349579</v>
      </c>
      <c r="D19" s="983">
        <f>transport!C54</f>
        <v>0</v>
      </c>
      <c r="E19" s="983">
        <f>transport!D54</f>
        <v>0</v>
      </c>
      <c r="F19" s="983">
        <f>transport!E54</f>
        <v>0</v>
      </c>
      <c r="G19" s="983">
        <f>transport!F54</f>
        <v>0</v>
      </c>
      <c r="H19" s="983">
        <f>transport!G54</f>
        <v>1032.8966495968766</v>
      </c>
      <c r="I19" s="983">
        <f>transport!H54</f>
        <v>0</v>
      </c>
      <c r="J19" s="983">
        <f>transport!I54</f>
        <v>0</v>
      </c>
      <c r="K19" s="983">
        <f>transport!J54</f>
        <v>0</v>
      </c>
      <c r="L19" s="983">
        <f>transport!K54</f>
        <v>0</v>
      </c>
      <c r="M19" s="983">
        <f>transport!L54</f>
        <v>0</v>
      </c>
      <c r="N19" s="983">
        <f>transport!M54</f>
        <v>59.461831527614038</v>
      </c>
      <c r="O19" s="983">
        <f>transport!N54</f>
        <v>0</v>
      </c>
      <c r="P19" s="983">
        <f>transport!O54</f>
        <v>0</v>
      </c>
      <c r="Q19" s="984">
        <f>transport!P54</f>
        <v>0</v>
      </c>
      <c r="R19" s="667">
        <f>SUM(C19:Q19)</f>
        <v>1097.8095026313256</v>
      </c>
      <c r="S19" s="67"/>
    </row>
    <row r="20" spans="1:19" s="440" customFormat="1">
      <c r="A20" s="776" t="s">
        <v>296</v>
      </c>
      <c r="B20" s="781"/>
      <c r="C20" s="983">
        <f>transport!B14</f>
        <v>4.7875853445245982</v>
      </c>
      <c r="D20" s="983">
        <f>transport!C14</f>
        <v>0</v>
      </c>
      <c r="E20" s="983">
        <f>transport!D14</f>
        <v>7.3930382648497703</v>
      </c>
      <c r="F20" s="983">
        <f>transport!E14</f>
        <v>72.126189919763831</v>
      </c>
      <c r="G20" s="983">
        <f>transport!F14</f>
        <v>0</v>
      </c>
      <c r="H20" s="983">
        <f>transport!G14</f>
        <v>25152.045474320446</v>
      </c>
      <c r="I20" s="983">
        <f>transport!H14</f>
        <v>4269.2984451521397</v>
      </c>
      <c r="J20" s="983">
        <f>transport!I14</f>
        <v>0</v>
      </c>
      <c r="K20" s="983">
        <f>transport!J14</f>
        <v>0</v>
      </c>
      <c r="L20" s="983">
        <f>transport!K14</f>
        <v>0</v>
      </c>
      <c r="M20" s="983">
        <f>transport!L14</f>
        <v>0</v>
      </c>
      <c r="N20" s="983">
        <f>transport!M14</f>
        <v>1588.4697765064332</v>
      </c>
      <c r="O20" s="983">
        <f>transport!N14</f>
        <v>0</v>
      </c>
      <c r="P20" s="983">
        <f>transport!O14</f>
        <v>0</v>
      </c>
      <c r="Q20" s="984">
        <f>transport!P14</f>
        <v>0</v>
      </c>
      <c r="R20" s="667">
        <f>SUM(C20:Q20)</f>
        <v>31094.12050950816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10.238606851359556</v>
      </c>
      <c r="D22" s="779">
        <f t="shared" ref="D22:R22" si="1">SUM(D18:D21)</f>
        <v>0</v>
      </c>
      <c r="E22" s="779">
        <f t="shared" si="1"/>
        <v>7.3930382648497703</v>
      </c>
      <c r="F22" s="779">
        <f t="shared" si="1"/>
        <v>72.126189919763831</v>
      </c>
      <c r="G22" s="779">
        <f t="shared" si="1"/>
        <v>0</v>
      </c>
      <c r="H22" s="779">
        <f t="shared" si="1"/>
        <v>26184.942123917324</v>
      </c>
      <c r="I22" s="779">
        <f t="shared" si="1"/>
        <v>4269.2984451521397</v>
      </c>
      <c r="J22" s="779">
        <f t="shared" si="1"/>
        <v>0</v>
      </c>
      <c r="K22" s="779">
        <f t="shared" si="1"/>
        <v>0</v>
      </c>
      <c r="L22" s="779">
        <f t="shared" si="1"/>
        <v>0</v>
      </c>
      <c r="M22" s="779">
        <f t="shared" si="1"/>
        <v>0</v>
      </c>
      <c r="N22" s="779">
        <f t="shared" si="1"/>
        <v>1647.9316080340473</v>
      </c>
      <c r="O22" s="779">
        <f t="shared" si="1"/>
        <v>0</v>
      </c>
      <c r="P22" s="779">
        <f t="shared" si="1"/>
        <v>0</v>
      </c>
      <c r="Q22" s="779">
        <f t="shared" si="1"/>
        <v>0</v>
      </c>
      <c r="R22" s="779">
        <f t="shared" si="1"/>
        <v>32191.930012139484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252.41076999999999</v>
      </c>
      <c r="D24" s="983">
        <f>+landbouw!C8</f>
        <v>20031.428571428572</v>
      </c>
      <c r="E24" s="983">
        <f>+landbouw!D8</f>
        <v>0</v>
      </c>
      <c r="F24" s="983">
        <f>+landbouw!E8</f>
        <v>2.3379342710884017</v>
      </c>
      <c r="G24" s="983">
        <f>+landbouw!F8</f>
        <v>640.41420769234003</v>
      </c>
      <c r="H24" s="983">
        <f>+landbouw!G8</f>
        <v>0</v>
      </c>
      <c r="I24" s="983">
        <f>+landbouw!H8</f>
        <v>0</v>
      </c>
      <c r="J24" s="983">
        <f>+landbouw!I8</f>
        <v>0</v>
      </c>
      <c r="K24" s="983">
        <f>+landbouw!J8</f>
        <v>38.697387953414626</v>
      </c>
      <c r="L24" s="983">
        <f>+landbouw!K8</f>
        <v>0</v>
      </c>
      <c r="M24" s="983">
        <f>+landbouw!L8</f>
        <v>0</v>
      </c>
      <c r="N24" s="983">
        <f>+landbouw!M8</f>
        <v>0</v>
      </c>
      <c r="O24" s="983">
        <f>+landbouw!N8</f>
        <v>0</v>
      </c>
      <c r="P24" s="983">
        <f>+landbouw!O8</f>
        <v>0</v>
      </c>
      <c r="Q24" s="984">
        <f>+landbouw!P8</f>
        <v>0</v>
      </c>
      <c r="R24" s="667">
        <f>SUM(C24:Q24)</f>
        <v>20965.288871345416</v>
      </c>
      <c r="S24" s="67"/>
    </row>
    <row r="25" spans="1:19" s="440" customFormat="1" ht="15" thickBot="1">
      <c r="A25" s="798" t="s">
        <v>829</v>
      </c>
      <c r="B25" s="986"/>
      <c r="C25" s="987">
        <f>IF(Onbekend_ele_kWh="---",0,Onbekend_ele_kWh)/1000+IF(REST_rest_ele_kWh="---",0,REST_rest_ele_kWh)/1000</f>
        <v>713.8691</v>
      </c>
      <c r="D25" s="987"/>
      <c r="E25" s="987">
        <f>IF(onbekend_gas_kWh="---",0,onbekend_gas_kWh)/1000+IF(REST_rest_gas_kWh="---",0,REST_rest_gas_kWh)/1000</f>
        <v>1154.93185664418</v>
      </c>
      <c r="F25" s="987"/>
      <c r="G25" s="987"/>
      <c r="H25" s="987"/>
      <c r="I25" s="987"/>
      <c r="J25" s="987"/>
      <c r="K25" s="987"/>
      <c r="L25" s="987"/>
      <c r="M25" s="987"/>
      <c r="N25" s="987"/>
      <c r="O25" s="987"/>
      <c r="P25" s="987"/>
      <c r="Q25" s="988"/>
      <c r="R25" s="667">
        <f>SUM(C25:Q25)</f>
        <v>1868.8009566441801</v>
      </c>
      <c r="S25" s="67"/>
    </row>
    <row r="26" spans="1:19" s="440" customFormat="1" ht="15.75" thickBot="1">
      <c r="A26" s="672" t="s">
        <v>830</v>
      </c>
      <c r="B26" s="784"/>
      <c r="C26" s="779">
        <f>SUM(C24:C25)</f>
        <v>966.27986999999996</v>
      </c>
      <c r="D26" s="779">
        <f t="shared" ref="D26:R26" si="2">SUM(D24:D25)</f>
        <v>20031.428571428572</v>
      </c>
      <c r="E26" s="779">
        <f t="shared" si="2"/>
        <v>1154.93185664418</v>
      </c>
      <c r="F26" s="779">
        <f t="shared" si="2"/>
        <v>2.3379342710884017</v>
      </c>
      <c r="G26" s="779">
        <f t="shared" si="2"/>
        <v>640.41420769234003</v>
      </c>
      <c r="H26" s="779">
        <f t="shared" si="2"/>
        <v>0</v>
      </c>
      <c r="I26" s="779">
        <f t="shared" si="2"/>
        <v>0</v>
      </c>
      <c r="J26" s="779">
        <f t="shared" si="2"/>
        <v>0</v>
      </c>
      <c r="K26" s="779">
        <f t="shared" si="2"/>
        <v>38.697387953414626</v>
      </c>
      <c r="L26" s="779">
        <f t="shared" si="2"/>
        <v>0</v>
      </c>
      <c r="M26" s="779">
        <f t="shared" si="2"/>
        <v>0</v>
      </c>
      <c r="N26" s="779">
        <f t="shared" si="2"/>
        <v>0</v>
      </c>
      <c r="O26" s="779">
        <f t="shared" si="2"/>
        <v>0</v>
      </c>
      <c r="P26" s="779">
        <f t="shared" si="2"/>
        <v>0</v>
      </c>
      <c r="Q26" s="779">
        <f t="shared" si="2"/>
        <v>0</v>
      </c>
      <c r="R26" s="779">
        <f t="shared" si="2"/>
        <v>22834.089827989596</v>
      </c>
      <c r="S26" s="67"/>
    </row>
    <row r="27" spans="1:19" s="440" customFormat="1" ht="17.25" thickTop="1" thickBot="1">
      <c r="A27" s="673" t="s">
        <v>109</v>
      </c>
      <c r="B27" s="772"/>
      <c r="C27" s="674">
        <f ca="1">C22+C16+C26</f>
        <v>28706.320075129723</v>
      </c>
      <c r="D27" s="674">
        <f t="shared" ref="D27:R27" ca="1" si="3">D22+D16+D26</f>
        <v>20031.428571428572</v>
      </c>
      <c r="E27" s="674">
        <f t="shared" ca="1" si="3"/>
        <v>59989.992359118172</v>
      </c>
      <c r="F27" s="674">
        <f t="shared" si="3"/>
        <v>692.93963013774123</v>
      </c>
      <c r="G27" s="674">
        <f t="shared" ca="1" si="3"/>
        <v>14081.457944595435</v>
      </c>
      <c r="H27" s="674">
        <f t="shared" si="3"/>
        <v>26184.942123917324</v>
      </c>
      <c r="I27" s="674">
        <f t="shared" si="3"/>
        <v>4269.2984451521397</v>
      </c>
      <c r="J27" s="674">
        <f t="shared" si="3"/>
        <v>0</v>
      </c>
      <c r="K27" s="674">
        <f t="shared" si="3"/>
        <v>303.45853679575885</v>
      </c>
      <c r="L27" s="674">
        <f t="shared" si="3"/>
        <v>0</v>
      </c>
      <c r="M27" s="674">
        <f t="shared" ca="1" si="3"/>
        <v>0</v>
      </c>
      <c r="N27" s="674">
        <f t="shared" si="3"/>
        <v>1647.9316080340473</v>
      </c>
      <c r="O27" s="674">
        <f t="shared" ca="1" si="3"/>
        <v>5638.5685354299876</v>
      </c>
      <c r="P27" s="674">
        <f t="shared" si="3"/>
        <v>31.266666666666666</v>
      </c>
      <c r="Q27" s="674">
        <f t="shared" si="3"/>
        <v>57.2</v>
      </c>
      <c r="R27" s="674">
        <f t="shared" ca="1" si="3"/>
        <v>161634.80449640556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2245.5460161508518</v>
      </c>
      <c r="D40" s="983">
        <f ca="1">tertiair!C20</f>
        <v>0</v>
      </c>
      <c r="E40" s="983">
        <f ca="1">tertiair!D20</f>
        <v>1994.4757470276847</v>
      </c>
      <c r="F40" s="983">
        <f>tertiair!E20</f>
        <v>24.439938944145918</v>
      </c>
      <c r="G40" s="983">
        <f ca="1">tertiair!F20</f>
        <v>363.99459941274637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4628.4563015354288</v>
      </c>
    </row>
    <row r="41" spans="1:18">
      <c r="A41" s="789" t="s">
        <v>214</v>
      </c>
      <c r="B41" s="796"/>
      <c r="C41" s="983">
        <f ca="1">huishoudens!B12</f>
        <v>3600.686309430886</v>
      </c>
      <c r="D41" s="983">
        <f ca="1">huishoudens!C12</f>
        <v>0</v>
      </c>
      <c r="E41" s="983">
        <f>huishoudens!D12</f>
        <v>9707.2262953277841</v>
      </c>
      <c r="F41" s="983">
        <f>huishoudens!E12</f>
        <v>77.791042924162539</v>
      </c>
      <c r="G41" s="983">
        <f>huishoudens!F12</f>
        <v>2886.4990217205786</v>
      </c>
      <c r="H41" s="983">
        <f>huishoudens!G12</f>
        <v>0</v>
      </c>
      <c r="I41" s="983">
        <f>huishoudens!H12</f>
        <v>0</v>
      </c>
      <c r="J41" s="983">
        <f>huishoudens!I12</f>
        <v>0</v>
      </c>
      <c r="K41" s="983">
        <f>huishoudens!J12</f>
        <v>89.246513270827236</v>
      </c>
      <c r="L41" s="983">
        <f>huishoudens!K12</f>
        <v>0</v>
      </c>
      <c r="M41" s="983">
        <f>huishoudens!L12</f>
        <v>0</v>
      </c>
      <c r="N41" s="983">
        <f>huishoudens!M12</f>
        <v>0</v>
      </c>
      <c r="O41" s="983">
        <f>huishoudens!N12</f>
        <v>0</v>
      </c>
      <c r="P41" s="983">
        <f>huishoudens!O12</f>
        <v>0</v>
      </c>
      <c r="Q41" s="741">
        <f>huishoudens!P12</f>
        <v>0</v>
      </c>
      <c r="R41" s="817">
        <f t="shared" ca="1" si="4"/>
        <v>16361.449182674238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368.81164040548094</v>
      </c>
      <c r="D43" s="983">
        <f ca="1">industrie!C22</f>
        <v>0</v>
      </c>
      <c r="E43" s="983">
        <f>industrie!D22</f>
        <v>181.48678541477841</v>
      </c>
      <c r="F43" s="983">
        <f>industrie!E22</f>
        <v>38.16295798163533</v>
      </c>
      <c r="G43" s="983">
        <f>industrie!F22</f>
        <v>338.26505661980144</v>
      </c>
      <c r="H43" s="983">
        <f>industrie!G22</f>
        <v>0</v>
      </c>
      <c r="I43" s="983">
        <f>industrie!H22</f>
        <v>0</v>
      </c>
      <c r="J43" s="983">
        <f>industrie!I22</f>
        <v>0</v>
      </c>
      <c r="K43" s="983">
        <f>industrie!J22</f>
        <v>4.4789334193625985</v>
      </c>
      <c r="L43" s="983">
        <f>industrie!K22</f>
        <v>0</v>
      </c>
      <c r="M43" s="983">
        <f>industrie!L22</f>
        <v>0</v>
      </c>
      <c r="N43" s="983">
        <f>industrie!M22</f>
        <v>0</v>
      </c>
      <c r="O43" s="983">
        <f>industrie!N22</f>
        <v>0</v>
      </c>
      <c r="P43" s="983">
        <f>industrie!O22</f>
        <v>0</v>
      </c>
      <c r="Q43" s="741">
        <f>industrie!P22</f>
        <v>0</v>
      </c>
      <c r="R43" s="816">
        <f t="shared" ca="1" si="4"/>
        <v>931.20537384105887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6215.0439659872181</v>
      </c>
      <c r="D46" s="699">
        <f t="shared" ref="D46:Q46" ca="1" si="5">SUM(D39:D45)</f>
        <v>0</v>
      </c>
      <c r="E46" s="699">
        <f t="shared" ca="1" si="5"/>
        <v>11883.188827770247</v>
      </c>
      <c r="F46" s="699">
        <f t="shared" si="5"/>
        <v>140.39393984994379</v>
      </c>
      <c r="G46" s="699">
        <f t="shared" ca="1" si="5"/>
        <v>3588.7586777531264</v>
      </c>
      <c r="H46" s="699">
        <f t="shared" si="5"/>
        <v>0</v>
      </c>
      <c r="I46" s="699">
        <f t="shared" si="5"/>
        <v>0</v>
      </c>
      <c r="J46" s="699">
        <f t="shared" si="5"/>
        <v>0</v>
      </c>
      <c r="K46" s="699">
        <f t="shared" si="5"/>
        <v>93.725446690189841</v>
      </c>
      <c r="L46" s="699">
        <f t="shared" si="5"/>
        <v>0</v>
      </c>
      <c r="M46" s="699">
        <f t="shared" ca="1" si="5"/>
        <v>0</v>
      </c>
      <c r="N46" s="699">
        <f t="shared" si="5"/>
        <v>0</v>
      </c>
      <c r="O46" s="699">
        <f t="shared" ca="1" si="5"/>
        <v>0</v>
      </c>
      <c r="P46" s="699">
        <f t="shared" si="5"/>
        <v>0</v>
      </c>
      <c r="Q46" s="699">
        <f t="shared" si="5"/>
        <v>0</v>
      </c>
      <c r="R46" s="699">
        <f ca="1">SUM(R39:R45)</f>
        <v>21921.110858050724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1.221730281929768</v>
      </c>
      <c r="D49" s="983">
        <f ca="1">transport!C58</f>
        <v>0</v>
      </c>
      <c r="E49" s="983">
        <f>transport!D58</f>
        <v>0</v>
      </c>
      <c r="F49" s="983">
        <f>transport!E58</f>
        <v>0</v>
      </c>
      <c r="G49" s="983">
        <f>transport!F58</f>
        <v>0</v>
      </c>
      <c r="H49" s="983">
        <f>transport!G58</f>
        <v>275.78340544236607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277.00513572429583</v>
      </c>
    </row>
    <row r="50" spans="1:18">
      <c r="A50" s="792" t="s">
        <v>296</v>
      </c>
      <c r="B50" s="802"/>
      <c r="C50" s="670">
        <f ca="1">transport!B18</f>
        <v>1.073035207326684</v>
      </c>
      <c r="D50" s="670">
        <f>transport!C18</f>
        <v>0</v>
      </c>
      <c r="E50" s="670">
        <f>transport!D18</f>
        <v>1.4933937294996538</v>
      </c>
      <c r="F50" s="670">
        <f>transport!E18</f>
        <v>16.37264511178639</v>
      </c>
      <c r="G50" s="670">
        <f>transport!F18</f>
        <v>0</v>
      </c>
      <c r="H50" s="670">
        <f>transport!G18</f>
        <v>6715.5961416435593</v>
      </c>
      <c r="I50" s="670">
        <f>transport!H18</f>
        <v>1063.0553128428828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7797.5905285350545</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2.2947654892564522</v>
      </c>
      <c r="D52" s="699">
        <f t="shared" ref="D52:Q52" ca="1" si="6">SUM(D48:D51)</f>
        <v>0</v>
      </c>
      <c r="E52" s="699">
        <f t="shared" si="6"/>
        <v>1.4933937294996538</v>
      </c>
      <c r="F52" s="699">
        <f t="shared" si="6"/>
        <v>16.37264511178639</v>
      </c>
      <c r="G52" s="699">
        <f t="shared" si="6"/>
        <v>0</v>
      </c>
      <c r="H52" s="699">
        <f t="shared" si="6"/>
        <v>6991.3795470859259</v>
      </c>
      <c r="I52" s="699">
        <f t="shared" si="6"/>
        <v>1063.0553128428828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8074.5956642593501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56.572493945866697</v>
      </c>
      <c r="D54" s="670">
        <f ca="1">+landbouw!C12</f>
        <v>4760.4100840336141</v>
      </c>
      <c r="E54" s="670">
        <f>+landbouw!D12</f>
        <v>0</v>
      </c>
      <c r="F54" s="670">
        <f>+landbouw!E12</f>
        <v>0.5307110795370672</v>
      </c>
      <c r="G54" s="670">
        <f>+landbouw!F12</f>
        <v>170.99059345385479</v>
      </c>
      <c r="H54" s="670">
        <f>+landbouw!G12</f>
        <v>0</v>
      </c>
      <c r="I54" s="670">
        <f>+landbouw!H12</f>
        <v>0</v>
      </c>
      <c r="J54" s="670">
        <f>+landbouw!I12</f>
        <v>0</v>
      </c>
      <c r="K54" s="670">
        <f>+landbouw!J12</f>
        <v>13.698875335508777</v>
      </c>
      <c r="L54" s="670">
        <f>+landbouw!K12</f>
        <v>0</v>
      </c>
      <c r="M54" s="670">
        <f>+landbouw!L12</f>
        <v>0</v>
      </c>
      <c r="N54" s="670">
        <f>+landbouw!M12</f>
        <v>0</v>
      </c>
      <c r="O54" s="670">
        <f>+landbouw!N12</f>
        <v>0</v>
      </c>
      <c r="P54" s="670">
        <f>+landbouw!O12</f>
        <v>0</v>
      </c>
      <c r="Q54" s="671">
        <f>+landbouw!P12</f>
        <v>0</v>
      </c>
      <c r="R54" s="698">
        <f ca="1">SUM(C54:Q54)</f>
        <v>5002.2027578483821</v>
      </c>
    </row>
    <row r="55" spans="1:18" ht="15" thickBot="1">
      <c r="A55" s="792" t="s">
        <v>829</v>
      </c>
      <c r="B55" s="802"/>
      <c r="C55" s="670">
        <f ca="1">C25*'EF ele_warmte'!B12</f>
        <v>159.99854260533854</v>
      </c>
      <c r="D55" s="670"/>
      <c r="E55" s="670">
        <f>E25*EF_CO2_aardgas</f>
        <v>233.29623504212438</v>
      </c>
      <c r="F55" s="670"/>
      <c r="G55" s="670"/>
      <c r="H55" s="670"/>
      <c r="I55" s="670"/>
      <c r="J55" s="670"/>
      <c r="K55" s="670"/>
      <c r="L55" s="670"/>
      <c r="M55" s="670"/>
      <c r="N55" s="670"/>
      <c r="O55" s="670"/>
      <c r="P55" s="670"/>
      <c r="Q55" s="671"/>
      <c r="R55" s="698">
        <f ca="1">SUM(C55:Q55)</f>
        <v>393.29477764746292</v>
      </c>
    </row>
    <row r="56" spans="1:18" ht="15.75" thickBot="1">
      <c r="A56" s="790" t="s">
        <v>830</v>
      </c>
      <c r="B56" s="803"/>
      <c r="C56" s="699">
        <f ca="1">SUM(C54:C55)</f>
        <v>216.57103655120522</v>
      </c>
      <c r="D56" s="699">
        <f t="shared" ref="D56:Q56" ca="1" si="7">SUM(D54:D55)</f>
        <v>4760.4100840336141</v>
      </c>
      <c r="E56" s="699">
        <f t="shared" si="7"/>
        <v>233.29623504212438</v>
      </c>
      <c r="F56" s="699">
        <f t="shared" si="7"/>
        <v>0.5307110795370672</v>
      </c>
      <c r="G56" s="699">
        <f t="shared" si="7"/>
        <v>170.99059345385479</v>
      </c>
      <c r="H56" s="699">
        <f t="shared" si="7"/>
        <v>0</v>
      </c>
      <c r="I56" s="699">
        <f t="shared" si="7"/>
        <v>0</v>
      </c>
      <c r="J56" s="699">
        <f t="shared" si="7"/>
        <v>0</v>
      </c>
      <c r="K56" s="699">
        <f t="shared" si="7"/>
        <v>13.698875335508777</v>
      </c>
      <c r="L56" s="699">
        <f t="shared" si="7"/>
        <v>0</v>
      </c>
      <c r="M56" s="699">
        <f t="shared" si="7"/>
        <v>0</v>
      </c>
      <c r="N56" s="699">
        <f t="shared" si="7"/>
        <v>0</v>
      </c>
      <c r="O56" s="699">
        <f t="shared" si="7"/>
        <v>0</v>
      </c>
      <c r="P56" s="699">
        <f t="shared" si="7"/>
        <v>0</v>
      </c>
      <c r="Q56" s="700">
        <f t="shared" si="7"/>
        <v>0</v>
      </c>
      <c r="R56" s="701">
        <f ca="1">SUM(R54:R55)</f>
        <v>5395.4975354958451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6433.90976802768</v>
      </c>
      <c r="D61" s="707">
        <f t="shared" ref="D61:Q61" ca="1" si="8">D46+D52+D56</f>
        <v>4760.4100840336141</v>
      </c>
      <c r="E61" s="707">
        <f t="shared" ca="1" si="8"/>
        <v>12117.97845654187</v>
      </c>
      <c r="F61" s="707">
        <f t="shared" si="8"/>
        <v>157.29729604126726</v>
      </c>
      <c r="G61" s="707">
        <f t="shared" ca="1" si="8"/>
        <v>3759.7492712069811</v>
      </c>
      <c r="H61" s="707">
        <f t="shared" si="8"/>
        <v>6991.3795470859259</v>
      </c>
      <c r="I61" s="707">
        <f t="shared" si="8"/>
        <v>1063.0553128428828</v>
      </c>
      <c r="J61" s="707">
        <f t="shared" si="8"/>
        <v>0</v>
      </c>
      <c r="K61" s="707">
        <f t="shared" si="8"/>
        <v>107.42432202569861</v>
      </c>
      <c r="L61" s="707">
        <f t="shared" si="8"/>
        <v>0</v>
      </c>
      <c r="M61" s="707">
        <f t="shared" ca="1" si="8"/>
        <v>0</v>
      </c>
      <c r="N61" s="707">
        <f t="shared" si="8"/>
        <v>0</v>
      </c>
      <c r="O61" s="707">
        <f t="shared" ca="1" si="8"/>
        <v>0</v>
      </c>
      <c r="P61" s="707">
        <f t="shared" si="8"/>
        <v>0</v>
      </c>
      <c r="Q61" s="707">
        <f t="shared" si="8"/>
        <v>0</v>
      </c>
      <c r="R61" s="707">
        <f ca="1">R46+R52+R56</f>
        <v>35391.204057805917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0.22412868494425459</v>
      </c>
      <c r="D63" s="748">
        <f t="shared" ca="1" si="9"/>
        <v>0.23764705882352943</v>
      </c>
      <c r="E63" s="994">
        <f t="shared" ca="1" si="9"/>
        <v>0.20199999999999999</v>
      </c>
      <c r="F63" s="748">
        <f t="shared" si="9"/>
        <v>0.22700000000000001</v>
      </c>
      <c r="G63" s="748">
        <f t="shared" ca="1" si="9"/>
        <v>0.26700000000000002</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649.82817827836948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14022</v>
      </c>
      <c r="D76" s="1004">
        <f>'lokale energieproductie'!C8</f>
        <v>16496.470588235294</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3332.2870588235296</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649.82817827836948</v>
      </c>
      <c r="C78" s="722">
        <f>SUM(C72:C77)</f>
        <v>14022</v>
      </c>
      <c r="D78" s="723">
        <f t="shared" ref="D78:H78" si="10">SUM(D76:D77)</f>
        <v>16496.470588235294</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3332.2870588235296</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20031.428571428572</v>
      </c>
      <c r="D87" s="744">
        <f>'lokale energieproductie'!C17</f>
        <v>23566.386554621851</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4760.4100840336141</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20031.428571428572</v>
      </c>
      <c r="D90" s="722">
        <f t="shared" ref="D90:H90" si="12">SUM(D87:D89)</f>
        <v>23566.386554621851</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4760.4100840336141</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16065.263178278368</v>
      </c>
      <c r="C4" s="444">
        <f>huishoudens!C8</f>
        <v>0</v>
      </c>
      <c r="D4" s="444">
        <f>huishoudens!D8</f>
        <v>48055.575719444474</v>
      </c>
      <c r="E4" s="444">
        <f>huishoudens!E8</f>
        <v>342.69181904917417</v>
      </c>
      <c r="F4" s="444">
        <f>huishoudens!F8</f>
        <v>10810.857759253104</v>
      </c>
      <c r="G4" s="444">
        <f>huishoudens!G8</f>
        <v>0</v>
      </c>
      <c r="H4" s="444">
        <f>huishoudens!H8</f>
        <v>0</v>
      </c>
      <c r="I4" s="444">
        <f>huishoudens!I8</f>
        <v>0</v>
      </c>
      <c r="J4" s="444">
        <f>huishoudens!J8</f>
        <v>252.10879455035945</v>
      </c>
      <c r="K4" s="444">
        <f>huishoudens!K8</f>
        <v>0</v>
      </c>
      <c r="L4" s="444">
        <f>huishoudens!L8</f>
        <v>0</v>
      </c>
      <c r="M4" s="444">
        <f>huishoudens!M8</f>
        <v>0</v>
      </c>
      <c r="N4" s="444">
        <f>huishoudens!N8</f>
        <v>4916.4504589264752</v>
      </c>
      <c r="O4" s="444">
        <f>huishoudens!O8</f>
        <v>31.266666666666666</v>
      </c>
      <c r="P4" s="445">
        <f>huishoudens!P8</f>
        <v>57.2</v>
      </c>
      <c r="Q4" s="446">
        <f>SUM(B4:P4)</f>
        <v>80531.414396168606</v>
      </c>
    </row>
    <row r="5" spans="1:17">
      <c r="A5" s="443" t="s">
        <v>149</v>
      </c>
      <c r="B5" s="444">
        <f ca="1">tertiair!B16</f>
        <v>9558.174219999999</v>
      </c>
      <c r="C5" s="444">
        <f ca="1">tertiair!C16</f>
        <v>0</v>
      </c>
      <c r="D5" s="444">
        <f ca="1">tertiair!D16</f>
        <v>9873.6423120182408</v>
      </c>
      <c r="E5" s="444">
        <f>tertiair!E16</f>
        <v>107.66492926936527</v>
      </c>
      <c r="F5" s="444">
        <f ca="1">tertiair!F16</f>
        <v>1363.2756532312596</v>
      </c>
      <c r="G5" s="444">
        <f>tertiair!G16</f>
        <v>0</v>
      </c>
      <c r="H5" s="444">
        <f>tertiair!H16</f>
        <v>0</v>
      </c>
      <c r="I5" s="444">
        <f>tertiair!I16</f>
        <v>0</v>
      </c>
      <c r="J5" s="444">
        <f>tertiair!J16</f>
        <v>0</v>
      </c>
      <c r="K5" s="444">
        <f>tertiair!K16</f>
        <v>0</v>
      </c>
      <c r="L5" s="444">
        <f ca="1">tertiair!L16</f>
        <v>0</v>
      </c>
      <c r="M5" s="444">
        <f>tertiair!M16</f>
        <v>0</v>
      </c>
      <c r="N5" s="444">
        <f ca="1">tertiair!N16</f>
        <v>438.27902011338995</v>
      </c>
      <c r="O5" s="444">
        <f>tertiair!O16</f>
        <v>0</v>
      </c>
      <c r="P5" s="445">
        <f>tertiair!P16</f>
        <v>0</v>
      </c>
      <c r="Q5" s="443">
        <f t="shared" ref="Q5:Q14" ca="1" si="0">SUM(B5:P5)</f>
        <v>21341.036134632253</v>
      </c>
    </row>
    <row r="6" spans="1:17">
      <c r="A6" s="443" t="s">
        <v>187</v>
      </c>
      <c r="B6" s="444">
        <f>'openbare verlichting'!B8</f>
        <v>460.82900000000001</v>
      </c>
      <c r="C6" s="444"/>
      <c r="D6" s="444"/>
      <c r="E6" s="444"/>
      <c r="F6" s="444"/>
      <c r="G6" s="444"/>
      <c r="H6" s="444"/>
      <c r="I6" s="444"/>
      <c r="J6" s="444"/>
      <c r="K6" s="444"/>
      <c r="L6" s="444"/>
      <c r="M6" s="444"/>
      <c r="N6" s="444"/>
      <c r="O6" s="444"/>
      <c r="P6" s="445"/>
      <c r="Q6" s="443">
        <f t="shared" si="0"/>
        <v>460.82900000000001</v>
      </c>
    </row>
    <row r="7" spans="1:17">
      <c r="A7" s="443" t="s">
        <v>105</v>
      </c>
      <c r="B7" s="444">
        <f>landbouw!B8</f>
        <v>252.41076999999999</v>
      </c>
      <c r="C7" s="444">
        <f>landbouw!C8</f>
        <v>20031.428571428572</v>
      </c>
      <c r="D7" s="444">
        <f>landbouw!D8</f>
        <v>0</v>
      </c>
      <c r="E7" s="444">
        <f>landbouw!E8</f>
        <v>2.3379342710884017</v>
      </c>
      <c r="F7" s="444">
        <f>landbouw!F8</f>
        <v>640.41420769234003</v>
      </c>
      <c r="G7" s="444">
        <f>landbouw!G8</f>
        <v>0</v>
      </c>
      <c r="H7" s="444">
        <f>landbouw!H8</f>
        <v>0</v>
      </c>
      <c r="I7" s="444">
        <f>landbouw!I8</f>
        <v>0</v>
      </c>
      <c r="J7" s="444">
        <f>landbouw!J8</f>
        <v>38.697387953414626</v>
      </c>
      <c r="K7" s="444">
        <f>landbouw!K8</f>
        <v>0</v>
      </c>
      <c r="L7" s="444">
        <f>landbouw!L8</f>
        <v>0</v>
      </c>
      <c r="M7" s="444">
        <f>landbouw!M8</f>
        <v>0</v>
      </c>
      <c r="N7" s="444">
        <f>landbouw!N8</f>
        <v>0</v>
      </c>
      <c r="O7" s="444">
        <f>landbouw!O8</f>
        <v>0</v>
      </c>
      <c r="P7" s="445">
        <f>landbouw!P8</f>
        <v>0</v>
      </c>
      <c r="Q7" s="443">
        <f t="shared" si="0"/>
        <v>20965.288871345416</v>
      </c>
    </row>
    <row r="8" spans="1:17">
      <c r="A8" s="443" t="s">
        <v>637</v>
      </c>
      <c r="B8" s="444">
        <f>industrie!B18</f>
        <v>1645.5352</v>
      </c>
      <c r="C8" s="444">
        <f>industrie!C18</f>
        <v>0</v>
      </c>
      <c r="D8" s="444">
        <f>industrie!D18</f>
        <v>898.44943274642776</v>
      </c>
      <c r="E8" s="444">
        <f>industrie!E18</f>
        <v>168.11875762834947</v>
      </c>
      <c r="F8" s="444">
        <f>industrie!F18</f>
        <v>1266.910324418732</v>
      </c>
      <c r="G8" s="444">
        <f>industrie!G18</f>
        <v>0</v>
      </c>
      <c r="H8" s="444">
        <f>industrie!H18</f>
        <v>0</v>
      </c>
      <c r="I8" s="444">
        <f>industrie!I18</f>
        <v>0</v>
      </c>
      <c r="J8" s="444">
        <f>industrie!J18</f>
        <v>12.652354291984743</v>
      </c>
      <c r="K8" s="444">
        <f>industrie!K18</f>
        <v>0</v>
      </c>
      <c r="L8" s="444">
        <f>industrie!L18</f>
        <v>0</v>
      </c>
      <c r="M8" s="444">
        <f>industrie!M18</f>
        <v>0</v>
      </c>
      <c r="N8" s="444">
        <f>industrie!N18</f>
        <v>283.83905639012198</v>
      </c>
      <c r="O8" s="444">
        <f>industrie!O18</f>
        <v>0</v>
      </c>
      <c r="P8" s="445">
        <f>industrie!P18</f>
        <v>0</v>
      </c>
      <c r="Q8" s="443">
        <f t="shared" si="0"/>
        <v>4275.5051254756163</v>
      </c>
    </row>
    <row r="9" spans="1:17" s="449" customFormat="1">
      <c r="A9" s="447" t="s">
        <v>558</v>
      </c>
      <c r="B9" s="448">
        <f>transport!B14</f>
        <v>4.7875853445245982</v>
      </c>
      <c r="C9" s="448">
        <f>transport!C14</f>
        <v>0</v>
      </c>
      <c r="D9" s="448">
        <f>transport!D14</f>
        <v>7.3930382648497703</v>
      </c>
      <c r="E9" s="448">
        <f>transport!E14</f>
        <v>72.126189919763831</v>
      </c>
      <c r="F9" s="448">
        <f>transport!F14</f>
        <v>0</v>
      </c>
      <c r="G9" s="448">
        <f>transport!G14</f>
        <v>25152.045474320446</v>
      </c>
      <c r="H9" s="448">
        <f>transport!H14</f>
        <v>4269.2984451521397</v>
      </c>
      <c r="I9" s="448">
        <f>transport!I14</f>
        <v>0</v>
      </c>
      <c r="J9" s="448">
        <f>transport!J14</f>
        <v>0</v>
      </c>
      <c r="K9" s="448">
        <f>transport!K14</f>
        <v>0</v>
      </c>
      <c r="L9" s="448">
        <f>transport!L14</f>
        <v>0</v>
      </c>
      <c r="M9" s="448">
        <f>transport!M14</f>
        <v>1588.4697765064332</v>
      </c>
      <c r="N9" s="448">
        <f>transport!N14</f>
        <v>0</v>
      </c>
      <c r="O9" s="448">
        <f>transport!O14</f>
        <v>0</v>
      </c>
      <c r="P9" s="448">
        <f>transport!P14</f>
        <v>0</v>
      </c>
      <c r="Q9" s="447">
        <f>SUM(B9:P9)</f>
        <v>31094.12050950816</v>
      </c>
    </row>
    <row r="10" spans="1:17">
      <c r="A10" s="443" t="s">
        <v>548</v>
      </c>
      <c r="B10" s="444">
        <f>transport!B54</f>
        <v>5.4510215068349579</v>
      </c>
      <c r="C10" s="444">
        <f>transport!C54</f>
        <v>0</v>
      </c>
      <c r="D10" s="444">
        <f>transport!D54</f>
        <v>0</v>
      </c>
      <c r="E10" s="444">
        <f>transport!E54</f>
        <v>0</v>
      </c>
      <c r="F10" s="444">
        <f>transport!F54</f>
        <v>0</v>
      </c>
      <c r="G10" s="444">
        <f>transport!G54</f>
        <v>1032.8966495968766</v>
      </c>
      <c r="H10" s="444">
        <f>transport!H54</f>
        <v>0</v>
      </c>
      <c r="I10" s="444">
        <f>transport!I54</f>
        <v>0</v>
      </c>
      <c r="J10" s="444">
        <f>transport!J54</f>
        <v>0</v>
      </c>
      <c r="K10" s="444">
        <f>transport!K54</f>
        <v>0</v>
      </c>
      <c r="L10" s="444">
        <f>transport!L54</f>
        <v>0</v>
      </c>
      <c r="M10" s="444">
        <f>transport!M54</f>
        <v>59.461831527614038</v>
      </c>
      <c r="N10" s="444">
        <f>transport!N54</f>
        <v>0</v>
      </c>
      <c r="O10" s="444">
        <f>transport!O54</f>
        <v>0</v>
      </c>
      <c r="P10" s="445">
        <f>transport!P54</f>
        <v>0</v>
      </c>
      <c r="Q10" s="443">
        <f t="shared" si="0"/>
        <v>1097.8095026313256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713.8691</v>
      </c>
      <c r="C14" s="451"/>
      <c r="D14" s="451">
        <f>'SEAP template'!E25</f>
        <v>1154.93185664418</v>
      </c>
      <c r="E14" s="451"/>
      <c r="F14" s="451"/>
      <c r="G14" s="451"/>
      <c r="H14" s="451"/>
      <c r="I14" s="451"/>
      <c r="J14" s="451"/>
      <c r="K14" s="451"/>
      <c r="L14" s="451"/>
      <c r="M14" s="451"/>
      <c r="N14" s="451"/>
      <c r="O14" s="451"/>
      <c r="P14" s="452"/>
      <c r="Q14" s="443">
        <f t="shared" si="0"/>
        <v>1868.8009566441801</v>
      </c>
    </row>
    <row r="15" spans="1:17" s="453" customFormat="1">
      <c r="A15" s="1009" t="s">
        <v>552</v>
      </c>
      <c r="B15" s="949">
        <f ca="1">SUM(B4:B14)</f>
        <v>28706.320075129726</v>
      </c>
      <c r="C15" s="949">
        <f t="shared" ref="C15:Q15" ca="1" si="1">SUM(C4:C14)</f>
        <v>20031.428571428572</v>
      </c>
      <c r="D15" s="949">
        <f t="shared" ca="1" si="1"/>
        <v>59989.992359118172</v>
      </c>
      <c r="E15" s="949">
        <f t="shared" si="1"/>
        <v>692.93963013774112</v>
      </c>
      <c r="F15" s="949">
        <f t="shared" ca="1" si="1"/>
        <v>14081.457944595435</v>
      </c>
      <c r="G15" s="949">
        <f t="shared" si="1"/>
        <v>26184.942123917324</v>
      </c>
      <c r="H15" s="949">
        <f t="shared" si="1"/>
        <v>4269.2984451521397</v>
      </c>
      <c r="I15" s="949">
        <f t="shared" si="1"/>
        <v>0</v>
      </c>
      <c r="J15" s="949">
        <f t="shared" si="1"/>
        <v>303.45853679575885</v>
      </c>
      <c r="K15" s="949">
        <f t="shared" si="1"/>
        <v>0</v>
      </c>
      <c r="L15" s="949">
        <f t="shared" ca="1" si="1"/>
        <v>0</v>
      </c>
      <c r="M15" s="949">
        <f t="shared" si="1"/>
        <v>1647.9316080340473</v>
      </c>
      <c r="N15" s="949">
        <f t="shared" ca="1" si="1"/>
        <v>5638.5685354299876</v>
      </c>
      <c r="O15" s="949">
        <f t="shared" si="1"/>
        <v>31.266666666666666</v>
      </c>
      <c r="P15" s="949">
        <f t="shared" si="1"/>
        <v>57.2</v>
      </c>
      <c r="Q15" s="949">
        <f t="shared" ca="1" si="1"/>
        <v>161634.80449640556</v>
      </c>
    </row>
    <row r="17" spans="1:17">
      <c r="A17" s="454" t="s">
        <v>553</v>
      </c>
      <c r="B17" s="753">
        <f ca="1">huishoudens!B10</f>
        <v>0.22412868494425456</v>
      </c>
      <c r="C17" s="753">
        <f ca="1">huishoudens!C10</f>
        <v>0.23764705882352943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3600.686309430886</v>
      </c>
      <c r="C22" s="444">
        <f t="shared" ref="C22:C32" ca="1" si="3">C4*$C$17</f>
        <v>0</v>
      </c>
      <c r="D22" s="444">
        <f t="shared" ref="D22:D32" si="4">D4*$D$17</f>
        <v>9707.2262953277841</v>
      </c>
      <c r="E22" s="444">
        <f t="shared" ref="E22:E32" si="5">E4*$E$17</f>
        <v>77.791042924162539</v>
      </c>
      <c r="F22" s="444">
        <f t="shared" ref="F22:F32" si="6">F4*$F$17</f>
        <v>2886.4990217205786</v>
      </c>
      <c r="G22" s="444">
        <f t="shared" ref="G22:G32" si="7">G4*$G$17</f>
        <v>0</v>
      </c>
      <c r="H22" s="444">
        <f t="shared" ref="H22:H32" si="8">H4*$H$17</f>
        <v>0</v>
      </c>
      <c r="I22" s="444">
        <f t="shared" ref="I22:I32" si="9">I4*$I$17</f>
        <v>0</v>
      </c>
      <c r="J22" s="444">
        <f t="shared" ref="J22:J32" si="10">J4*$J$17</f>
        <v>89.246513270827236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16361.449182674238</v>
      </c>
    </row>
    <row r="23" spans="1:17">
      <c r="A23" s="443" t="s">
        <v>149</v>
      </c>
      <c r="B23" s="444">
        <f t="shared" ca="1" si="2"/>
        <v>2142.2610183966758</v>
      </c>
      <c r="C23" s="444">
        <f t="shared" ca="1" si="3"/>
        <v>0</v>
      </c>
      <c r="D23" s="444">
        <f t="shared" ca="1" si="4"/>
        <v>1994.4757470276847</v>
      </c>
      <c r="E23" s="444">
        <f t="shared" si="5"/>
        <v>24.439938944145918</v>
      </c>
      <c r="F23" s="444">
        <f t="shared" ca="1" si="6"/>
        <v>363.99459941274637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4525.1713037812533</v>
      </c>
    </row>
    <row r="24" spans="1:17">
      <c r="A24" s="443" t="s">
        <v>187</v>
      </c>
      <c r="B24" s="444">
        <f t="shared" ca="1" si="2"/>
        <v>103.28499775417589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103.28499775417589</v>
      </c>
    </row>
    <row r="25" spans="1:17">
      <c r="A25" s="443" t="s">
        <v>105</v>
      </c>
      <c r="B25" s="444">
        <f t="shared" ca="1" si="2"/>
        <v>56.572493945866697</v>
      </c>
      <c r="C25" s="444">
        <f t="shared" ca="1" si="3"/>
        <v>4760.4100840336141</v>
      </c>
      <c r="D25" s="444">
        <f t="shared" si="4"/>
        <v>0</v>
      </c>
      <c r="E25" s="444">
        <f t="shared" si="5"/>
        <v>0.5307110795370672</v>
      </c>
      <c r="F25" s="444">
        <f t="shared" si="6"/>
        <v>170.99059345385479</v>
      </c>
      <c r="G25" s="444">
        <f t="shared" si="7"/>
        <v>0</v>
      </c>
      <c r="H25" s="444">
        <f t="shared" si="8"/>
        <v>0</v>
      </c>
      <c r="I25" s="444">
        <f t="shared" si="9"/>
        <v>0</v>
      </c>
      <c r="J25" s="444">
        <f t="shared" si="10"/>
        <v>13.698875335508777</v>
      </c>
      <c r="K25" s="444">
        <f t="shared" si="11"/>
        <v>0</v>
      </c>
      <c r="L25" s="444">
        <f t="shared" si="12"/>
        <v>0</v>
      </c>
      <c r="M25" s="444">
        <f t="shared" si="13"/>
        <v>0</v>
      </c>
      <c r="N25" s="444">
        <f t="shared" si="14"/>
        <v>0</v>
      </c>
      <c r="O25" s="444">
        <f t="shared" si="15"/>
        <v>0</v>
      </c>
      <c r="P25" s="445">
        <f t="shared" si="16"/>
        <v>0</v>
      </c>
      <c r="Q25" s="443">
        <f t="shared" ca="1" si="17"/>
        <v>5002.2027578483821</v>
      </c>
    </row>
    <row r="26" spans="1:17">
      <c r="A26" s="443" t="s">
        <v>637</v>
      </c>
      <c r="B26" s="444">
        <f t="shared" ca="1" si="2"/>
        <v>368.81164040548094</v>
      </c>
      <c r="C26" s="444">
        <f t="shared" ca="1" si="3"/>
        <v>0</v>
      </c>
      <c r="D26" s="444">
        <f t="shared" si="4"/>
        <v>181.48678541477841</v>
      </c>
      <c r="E26" s="444">
        <f t="shared" si="5"/>
        <v>38.16295798163533</v>
      </c>
      <c r="F26" s="444">
        <f t="shared" si="6"/>
        <v>338.26505661980144</v>
      </c>
      <c r="G26" s="444">
        <f t="shared" si="7"/>
        <v>0</v>
      </c>
      <c r="H26" s="444">
        <f t="shared" si="8"/>
        <v>0</v>
      </c>
      <c r="I26" s="444">
        <f t="shared" si="9"/>
        <v>0</v>
      </c>
      <c r="J26" s="444">
        <f t="shared" si="10"/>
        <v>4.4789334193625985</v>
      </c>
      <c r="K26" s="444">
        <f t="shared" si="11"/>
        <v>0</v>
      </c>
      <c r="L26" s="444">
        <f t="shared" si="12"/>
        <v>0</v>
      </c>
      <c r="M26" s="444">
        <f t="shared" si="13"/>
        <v>0</v>
      </c>
      <c r="N26" s="444">
        <f t="shared" si="14"/>
        <v>0</v>
      </c>
      <c r="O26" s="444">
        <f t="shared" si="15"/>
        <v>0</v>
      </c>
      <c r="P26" s="445">
        <f t="shared" si="16"/>
        <v>0</v>
      </c>
      <c r="Q26" s="443">
        <f t="shared" ca="1" si="17"/>
        <v>931.20537384105887</v>
      </c>
    </row>
    <row r="27" spans="1:17" s="449" customFormat="1">
      <c r="A27" s="447" t="s">
        <v>558</v>
      </c>
      <c r="B27" s="747">
        <f t="shared" ca="1" si="2"/>
        <v>1.073035207326684</v>
      </c>
      <c r="C27" s="448">
        <f t="shared" ca="1" si="3"/>
        <v>0</v>
      </c>
      <c r="D27" s="448">
        <f t="shared" si="4"/>
        <v>1.4933937294996538</v>
      </c>
      <c r="E27" s="448">
        <f t="shared" si="5"/>
        <v>16.37264511178639</v>
      </c>
      <c r="F27" s="448">
        <f t="shared" si="6"/>
        <v>0</v>
      </c>
      <c r="G27" s="448">
        <f t="shared" si="7"/>
        <v>6715.5961416435593</v>
      </c>
      <c r="H27" s="448">
        <f t="shared" si="8"/>
        <v>1063.0553128428828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7797.5905285350545</v>
      </c>
    </row>
    <row r="28" spans="1:17">
      <c r="A28" s="443" t="s">
        <v>548</v>
      </c>
      <c r="B28" s="444">
        <f t="shared" ca="1" si="2"/>
        <v>1.221730281929768</v>
      </c>
      <c r="C28" s="444">
        <f t="shared" ca="1" si="3"/>
        <v>0</v>
      </c>
      <c r="D28" s="444">
        <f t="shared" si="4"/>
        <v>0</v>
      </c>
      <c r="E28" s="444">
        <f t="shared" si="5"/>
        <v>0</v>
      </c>
      <c r="F28" s="444">
        <f t="shared" si="6"/>
        <v>0</v>
      </c>
      <c r="G28" s="444">
        <f t="shared" si="7"/>
        <v>275.78340544236607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277.00513572429583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159.99854260533854</v>
      </c>
      <c r="C32" s="444">
        <f t="shared" ca="1" si="3"/>
        <v>0</v>
      </c>
      <c r="D32" s="444">
        <f t="shared" si="4"/>
        <v>233.29623504212438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393.29477764746292</v>
      </c>
    </row>
    <row r="33" spans="1:17" s="453" customFormat="1">
      <c r="A33" s="1009" t="s">
        <v>552</v>
      </c>
      <c r="B33" s="949">
        <f ca="1">SUM(B22:B32)</f>
        <v>6433.90976802768</v>
      </c>
      <c r="C33" s="949">
        <f t="shared" ref="C33:Q33" ca="1" si="18">SUM(C22:C32)</f>
        <v>4760.4100840336141</v>
      </c>
      <c r="D33" s="949">
        <f t="shared" ca="1" si="18"/>
        <v>12117.97845654187</v>
      </c>
      <c r="E33" s="949">
        <f t="shared" si="18"/>
        <v>157.29729604126726</v>
      </c>
      <c r="F33" s="949">
        <f t="shared" ca="1" si="18"/>
        <v>3759.7492712069811</v>
      </c>
      <c r="G33" s="949">
        <f t="shared" si="18"/>
        <v>6991.3795470859259</v>
      </c>
      <c r="H33" s="949">
        <f t="shared" si="18"/>
        <v>1063.0553128428828</v>
      </c>
      <c r="I33" s="949">
        <f t="shared" si="18"/>
        <v>0</v>
      </c>
      <c r="J33" s="949">
        <f t="shared" si="18"/>
        <v>107.42432202569861</v>
      </c>
      <c r="K33" s="949">
        <f t="shared" si="18"/>
        <v>0</v>
      </c>
      <c r="L33" s="949">
        <f t="shared" ca="1" si="18"/>
        <v>0</v>
      </c>
      <c r="M33" s="949">
        <f t="shared" si="18"/>
        <v>0</v>
      </c>
      <c r="N33" s="949">
        <f t="shared" ca="1" si="18"/>
        <v>0</v>
      </c>
      <c r="O33" s="949">
        <f t="shared" si="18"/>
        <v>0</v>
      </c>
      <c r="P33" s="949">
        <f t="shared" si="18"/>
        <v>0</v>
      </c>
      <c r="Q33" s="949">
        <f t="shared" ca="1" si="18"/>
        <v>35391.204057805924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649.82817827836948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14022</v>
      </c>
      <c r="D8" s="1026">
        <f>'SEAP template'!D76</f>
        <v>16496.470588235294</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3332.2870588235296</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649.82817827836948</v>
      </c>
      <c r="C10" s="1030">
        <f>SUM(C4:C9)</f>
        <v>14022</v>
      </c>
      <c r="D10" s="1030">
        <f t="shared" ref="D10:H10" si="0">SUM(D8:D9)</f>
        <v>16496.470588235294</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3332.2870588235296</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0.22412868494425456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20031.428571428572</v>
      </c>
      <c r="D17" s="1027">
        <f>'SEAP template'!D87</f>
        <v>23566.386554621851</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4760.4100840336141</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20031.428571428572</v>
      </c>
      <c r="D20" s="1030">
        <f t="shared" ref="D20:H20" si="2">SUM(D17:D19)</f>
        <v>23566.386554621851</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4760.4100840336141</v>
      </c>
    </row>
    <row r="22" spans="1:16">
      <c r="A22" s="454" t="s">
        <v>853</v>
      </c>
      <c r="B22" s="753" t="s">
        <v>847</v>
      </c>
      <c r="C22" s="753">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0.22412868494425456</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0.22412868494425456</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0.22412868494425456</v>
      </c>
      <c r="C29" s="492">
        <f ca="1">'EF ele_warmte'!B22</f>
        <v>0.23764705882352943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4633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68</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0</v>
      </c>
      <c r="C17" s="324"/>
      <c r="D17" s="324"/>
      <c r="E17" s="324"/>
      <c r="F17" s="324"/>
    </row>
    <row r="18" spans="1:6">
      <c r="A18" s="1302" t="s">
        <v>8</v>
      </c>
      <c r="B18" s="1303">
        <v>3</v>
      </c>
      <c r="C18" s="324"/>
      <c r="D18" s="324"/>
      <c r="E18" s="324"/>
      <c r="F18" s="324"/>
    </row>
    <row r="19" spans="1:6">
      <c r="A19" s="1302" t="s">
        <v>9</v>
      </c>
      <c r="B19" s="1303">
        <v>3</v>
      </c>
      <c r="C19" s="324"/>
      <c r="D19" s="324"/>
      <c r="E19" s="324"/>
      <c r="F19" s="324"/>
    </row>
    <row r="20" spans="1:6">
      <c r="A20" s="1302" t="s">
        <v>10</v>
      </c>
      <c r="B20" s="1303">
        <v>6</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24</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67</v>
      </c>
      <c r="C29" s="324"/>
      <c r="D29" s="324"/>
      <c r="E29" s="324"/>
      <c r="F29" s="324"/>
    </row>
    <row r="30" spans="1:6">
      <c r="A30" s="1297" t="s">
        <v>919</v>
      </c>
      <c r="B30" s="1305">
        <v>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12876.1988801026</v>
      </c>
      <c r="E38" s="1303">
        <v>3</v>
      </c>
      <c r="F38" s="1303">
        <v>15578.81</v>
      </c>
    </row>
    <row r="39" spans="1:6">
      <c r="A39" s="1302" t="s">
        <v>29</v>
      </c>
      <c r="B39" s="1302" t="s">
        <v>30</v>
      </c>
      <c r="C39" s="1303">
        <v>4157</v>
      </c>
      <c r="D39" s="1303">
        <v>53276691.484971702</v>
      </c>
      <c r="E39" s="1303">
        <v>4990</v>
      </c>
      <c r="F39" s="1303">
        <v>15415435</v>
      </c>
    </row>
    <row r="40" spans="1:6">
      <c r="A40" s="1302" t="s">
        <v>29</v>
      </c>
      <c r="B40" s="1302" t="s">
        <v>28</v>
      </c>
      <c r="C40" s="1303">
        <v>0</v>
      </c>
      <c r="D40" s="1303">
        <v>0</v>
      </c>
      <c r="E40" s="1303">
        <v>0</v>
      </c>
      <c r="F40" s="1303">
        <v>0</v>
      </c>
    </row>
    <row r="41" spans="1:6">
      <c r="A41" s="1302" t="s">
        <v>31</v>
      </c>
      <c r="B41" s="1302" t="s">
        <v>32</v>
      </c>
      <c r="C41" s="1303">
        <v>12</v>
      </c>
      <c r="D41" s="1303">
        <v>173490.98528689501</v>
      </c>
      <c r="E41" s="1303">
        <v>53</v>
      </c>
      <c r="F41" s="1303">
        <v>446775.7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23</v>
      </c>
      <c r="D48" s="1303">
        <v>822572.68738098501</v>
      </c>
      <c r="E48" s="1303">
        <v>17</v>
      </c>
      <c r="F48" s="1303">
        <v>812540.8</v>
      </c>
    </row>
    <row r="49" spans="1:6">
      <c r="A49" s="1302" t="s">
        <v>31</v>
      </c>
      <c r="B49" s="1302" t="s">
        <v>39</v>
      </c>
      <c r="C49" s="1303">
        <v>0</v>
      </c>
      <c r="D49" s="1303">
        <v>0</v>
      </c>
      <c r="E49" s="1303">
        <v>0</v>
      </c>
      <c r="F49" s="1303">
        <v>0</v>
      </c>
    </row>
    <row r="50" spans="1:6">
      <c r="A50" s="1302" t="s">
        <v>31</v>
      </c>
      <c r="B50" s="1302" t="s">
        <v>40</v>
      </c>
      <c r="C50" s="1303">
        <v>0</v>
      </c>
      <c r="D50" s="1303">
        <v>0</v>
      </c>
      <c r="E50" s="1303">
        <v>4</v>
      </c>
      <c r="F50" s="1303">
        <v>386218.7</v>
      </c>
    </row>
    <row r="51" spans="1:6">
      <c r="A51" s="1302" t="s">
        <v>41</v>
      </c>
      <c r="B51" s="1302" t="s">
        <v>42</v>
      </c>
      <c r="C51" s="1303">
        <v>0</v>
      </c>
      <c r="D51" s="1303">
        <v>0</v>
      </c>
      <c r="E51" s="1303">
        <v>8</v>
      </c>
      <c r="F51" s="1303">
        <v>238063.9</v>
      </c>
    </row>
    <row r="52" spans="1:6">
      <c r="A52" s="1302" t="s">
        <v>41</v>
      </c>
      <c r="B52" s="1302" t="s">
        <v>28</v>
      </c>
      <c r="C52" s="1303">
        <v>4</v>
      </c>
      <c r="D52" s="1303">
        <v>37015393.144254804</v>
      </c>
      <c r="E52" s="1303">
        <v>6</v>
      </c>
      <c r="F52" s="1303">
        <v>14346.87</v>
      </c>
    </row>
    <row r="53" spans="1:6">
      <c r="A53" s="1302" t="s">
        <v>43</v>
      </c>
      <c r="B53" s="1302" t="s">
        <v>44</v>
      </c>
      <c r="C53" s="1303">
        <v>80</v>
      </c>
      <c r="D53" s="1303">
        <v>1154931.8566441799</v>
      </c>
      <c r="E53" s="1303">
        <v>220</v>
      </c>
      <c r="F53" s="1303">
        <v>713869.1</v>
      </c>
    </row>
    <row r="54" spans="1:6">
      <c r="A54" s="1302" t="s">
        <v>45</v>
      </c>
      <c r="B54" s="1302" t="s">
        <v>46</v>
      </c>
      <c r="C54" s="1303">
        <v>0</v>
      </c>
      <c r="D54" s="1303">
        <v>0</v>
      </c>
      <c r="E54" s="1303">
        <v>1</v>
      </c>
      <c r="F54" s="1303">
        <v>460829</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19</v>
      </c>
      <c r="D57" s="1303">
        <v>658071.12468251097</v>
      </c>
      <c r="E57" s="1303">
        <v>32</v>
      </c>
      <c r="F57" s="1303">
        <v>298546.90000000002</v>
      </c>
    </row>
    <row r="58" spans="1:6">
      <c r="A58" s="1302" t="s">
        <v>48</v>
      </c>
      <c r="B58" s="1302" t="s">
        <v>50</v>
      </c>
      <c r="C58" s="1303">
        <v>7</v>
      </c>
      <c r="D58" s="1303">
        <v>123182.840275904</v>
      </c>
      <c r="E58" s="1303">
        <v>8</v>
      </c>
      <c r="F58" s="1303">
        <v>56680.92</v>
      </c>
    </row>
    <row r="59" spans="1:6">
      <c r="A59" s="1302" t="s">
        <v>48</v>
      </c>
      <c r="B59" s="1302" t="s">
        <v>51</v>
      </c>
      <c r="C59" s="1303">
        <v>35</v>
      </c>
      <c r="D59" s="1303">
        <v>1347525.1339970101</v>
      </c>
      <c r="E59" s="1303">
        <v>71</v>
      </c>
      <c r="F59" s="1303">
        <v>4925226</v>
      </c>
    </row>
    <row r="60" spans="1:6">
      <c r="A60" s="1302" t="s">
        <v>48</v>
      </c>
      <c r="B60" s="1302" t="s">
        <v>52</v>
      </c>
      <c r="C60" s="1303">
        <v>24</v>
      </c>
      <c r="D60" s="1303">
        <v>1299113.0755371701</v>
      </c>
      <c r="E60" s="1303">
        <v>26</v>
      </c>
      <c r="F60" s="1303">
        <v>745060.2</v>
      </c>
    </row>
    <row r="61" spans="1:6">
      <c r="A61" s="1302" t="s">
        <v>48</v>
      </c>
      <c r="B61" s="1302" t="s">
        <v>53</v>
      </c>
      <c r="C61" s="1303">
        <v>75</v>
      </c>
      <c r="D61" s="1303">
        <v>2564239.4842826501</v>
      </c>
      <c r="E61" s="1303">
        <v>190</v>
      </c>
      <c r="F61" s="1303">
        <v>1344154</v>
      </c>
    </row>
    <row r="62" spans="1:6">
      <c r="A62" s="1302" t="s">
        <v>48</v>
      </c>
      <c r="B62" s="1302" t="s">
        <v>54</v>
      </c>
      <c r="C62" s="1303">
        <v>0</v>
      </c>
      <c r="D62" s="1303">
        <v>0</v>
      </c>
      <c r="E62" s="1303">
        <v>5</v>
      </c>
      <c r="F62" s="1303">
        <v>150987.20000000001</v>
      </c>
    </row>
    <row r="63" spans="1:6">
      <c r="A63" s="1302" t="s">
        <v>48</v>
      </c>
      <c r="B63" s="1302" t="s">
        <v>28</v>
      </c>
      <c r="C63" s="1303">
        <v>84</v>
      </c>
      <c r="D63" s="1303">
        <v>4954256.7137505198</v>
      </c>
      <c r="E63" s="1303">
        <v>90</v>
      </c>
      <c r="F63" s="1303">
        <v>2037519</v>
      </c>
    </row>
    <row r="64" spans="1:6">
      <c r="A64" s="1302" t="s">
        <v>55</v>
      </c>
      <c r="B64" s="1302" t="s">
        <v>56</v>
      </c>
      <c r="C64" s="1303">
        <v>0</v>
      </c>
      <c r="D64" s="1303">
        <v>0</v>
      </c>
      <c r="E64" s="1303">
        <v>0</v>
      </c>
      <c r="F64" s="1303">
        <v>0</v>
      </c>
    </row>
    <row r="65" spans="1:6">
      <c r="A65" s="1302" t="s">
        <v>55</v>
      </c>
      <c r="B65" s="1302" t="s">
        <v>28</v>
      </c>
      <c r="C65" s="1303">
        <v>2</v>
      </c>
      <c r="D65" s="1303">
        <v>71947.157810108605</v>
      </c>
      <c r="E65" s="1303">
        <v>3</v>
      </c>
      <c r="F65" s="1303">
        <v>15571.28</v>
      </c>
    </row>
    <row r="66" spans="1:6">
      <c r="A66" s="1302" t="s">
        <v>55</v>
      </c>
      <c r="B66" s="1302" t="s">
        <v>57</v>
      </c>
      <c r="C66" s="1303">
        <v>0</v>
      </c>
      <c r="D66" s="1303">
        <v>0</v>
      </c>
      <c r="E66" s="1303">
        <v>3</v>
      </c>
      <c r="F66" s="1303">
        <v>116665.9</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11473.86</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29859792</v>
      </c>
      <c r="E73" s="442"/>
      <c r="F73" s="324"/>
    </row>
    <row r="74" spans="1:6">
      <c r="A74" s="1302" t="s">
        <v>63</v>
      </c>
      <c r="B74" s="1302" t="s">
        <v>695</v>
      </c>
      <c r="C74" s="1315" t="s">
        <v>697</v>
      </c>
      <c r="D74" s="1303">
        <v>3399952.5354673103</v>
      </c>
      <c r="E74" s="442"/>
      <c r="F74" s="324"/>
    </row>
    <row r="75" spans="1:6">
      <c r="A75" s="1302" t="s">
        <v>64</v>
      </c>
      <c r="B75" s="1302" t="s">
        <v>694</v>
      </c>
      <c r="C75" s="1315" t="s">
        <v>698</v>
      </c>
      <c r="D75" s="1303">
        <v>4485984</v>
      </c>
      <c r="E75" s="442"/>
      <c r="F75" s="324"/>
    </row>
    <row r="76" spans="1:6">
      <c r="A76" s="1302" t="s">
        <v>64</v>
      </c>
      <c r="B76" s="1302" t="s">
        <v>695</v>
      </c>
      <c r="C76" s="1315" t="s">
        <v>699</v>
      </c>
      <c r="D76" s="1303">
        <v>14858.1</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294852.92906537908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649.82817827836948</v>
      </c>
      <c r="C91" s="324"/>
      <c r="D91" s="324"/>
      <c r="E91" s="324"/>
      <c r="F91" s="324"/>
    </row>
    <row r="92" spans="1:6">
      <c r="A92" s="1297" t="s">
        <v>68</v>
      </c>
      <c r="B92" s="1298">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3365</v>
      </c>
      <c r="C97" s="324"/>
      <c r="D97" s="324"/>
      <c r="E97" s="324"/>
      <c r="F97" s="324"/>
    </row>
    <row r="98" spans="1:6">
      <c r="A98" s="1302" t="s">
        <v>71</v>
      </c>
      <c r="B98" s="1303">
        <v>3</v>
      </c>
      <c r="C98" s="324"/>
      <c r="D98" s="324"/>
      <c r="E98" s="324"/>
      <c r="F98" s="324"/>
    </row>
    <row r="99" spans="1:6">
      <c r="A99" s="1302" t="s">
        <v>72</v>
      </c>
      <c r="B99" s="1303">
        <v>5</v>
      </c>
      <c r="C99" s="324"/>
      <c r="D99" s="324"/>
      <c r="E99" s="324"/>
      <c r="F99" s="324"/>
    </row>
    <row r="100" spans="1:6">
      <c r="A100" s="1302" t="s">
        <v>73</v>
      </c>
      <c r="B100" s="1303">
        <v>256</v>
      </c>
      <c r="C100" s="324"/>
      <c r="D100" s="324"/>
      <c r="E100" s="324"/>
      <c r="F100" s="324"/>
    </row>
    <row r="101" spans="1:6">
      <c r="A101" s="1302" t="s">
        <v>74</v>
      </c>
      <c r="B101" s="1303">
        <v>14</v>
      </c>
      <c r="C101" s="324"/>
      <c r="D101" s="324"/>
      <c r="E101" s="324"/>
      <c r="F101" s="324"/>
    </row>
    <row r="102" spans="1:6">
      <c r="A102" s="1302" t="s">
        <v>75</v>
      </c>
      <c r="B102" s="1303">
        <v>57</v>
      </c>
      <c r="C102" s="324"/>
      <c r="D102" s="324"/>
      <c r="E102" s="324"/>
      <c r="F102" s="324"/>
    </row>
    <row r="103" spans="1:6">
      <c r="A103" s="1302" t="s">
        <v>76</v>
      </c>
      <c r="B103" s="1303">
        <v>40</v>
      </c>
      <c r="C103" s="324"/>
      <c r="D103" s="324"/>
      <c r="E103" s="324"/>
      <c r="F103" s="324"/>
    </row>
    <row r="104" spans="1:6">
      <c r="A104" s="1302" t="s">
        <v>77</v>
      </c>
      <c r="B104" s="1303">
        <v>517</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3</v>
      </c>
      <c r="C123" s="1303">
        <v>3</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17</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28706.320075129723</v>
      </c>
      <c r="C3" s="43" t="s">
        <v>163</v>
      </c>
      <c r="D3" s="43"/>
      <c r="E3" s="154"/>
      <c r="F3" s="43"/>
      <c r="G3" s="43"/>
      <c r="H3" s="43"/>
      <c r="I3" s="43"/>
      <c r="J3" s="43"/>
      <c r="K3" s="96"/>
    </row>
    <row r="4" spans="1:11">
      <c r="A4" s="351" t="s">
        <v>164</v>
      </c>
      <c r="B4" s="49">
        <f>IF(ISERROR('SEAP template'!B78+'SEAP template'!C78),0,'SEAP template'!B78+'SEAP template'!C78)</f>
        <v>14671.828178278369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3332.2870588235296</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0.22412868494425456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4760.4100840336141</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20031.428571428572</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460.82900000000001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460.82900000000001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0.22412868494425456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103.28499775417589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15415.434999999999</v>
      </c>
      <c r="C5" s="17">
        <f>IF(ISERROR('Eigen informatie GS &amp; warmtenet'!B57),0,'Eigen informatie GS &amp; warmtenet'!B57)</f>
        <v>0</v>
      </c>
      <c r="D5" s="30">
        <f>(SUM(HH_hh_gas_kWh,HH_rest_gas_kWh)/1000)*0.902</f>
        <v>48055.575719444474</v>
      </c>
      <c r="E5" s="17">
        <f>B32*B41</f>
        <v>342.69181904917417</v>
      </c>
      <c r="F5" s="17">
        <f>B36*B45</f>
        <v>10810.857759253104</v>
      </c>
      <c r="G5" s="18"/>
      <c r="H5" s="17"/>
      <c r="I5" s="17"/>
      <c r="J5" s="17">
        <f>B35*B44+C35*C44</f>
        <v>252.10879455035945</v>
      </c>
      <c r="K5" s="17"/>
      <c r="L5" s="17"/>
      <c r="M5" s="17"/>
      <c r="N5" s="17">
        <f>B34*B43+C34*C43</f>
        <v>4916.4504589264752</v>
      </c>
      <c r="O5" s="17">
        <f>B52*B53*B54</f>
        <v>31.266666666666666</v>
      </c>
      <c r="P5" s="17">
        <f>B60*B61*B62/1000-B60*B61*B62/1000/B63</f>
        <v>57.2</v>
      </c>
    </row>
    <row r="6" spans="1:16">
      <c r="A6" s="16" t="s">
        <v>618</v>
      </c>
      <c r="B6" s="755">
        <f>kWh_PV_kleiner_dan_10kW</f>
        <v>649.82817827836948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16065.263178278368</v>
      </c>
      <c r="C8" s="21">
        <f>C5</f>
        <v>0</v>
      </c>
      <c r="D8" s="21">
        <f>D5</f>
        <v>48055.575719444474</v>
      </c>
      <c r="E8" s="21">
        <f>E5</f>
        <v>342.69181904917417</v>
      </c>
      <c r="F8" s="21">
        <f>F5</f>
        <v>10810.857759253104</v>
      </c>
      <c r="G8" s="21"/>
      <c r="H8" s="21"/>
      <c r="I8" s="21"/>
      <c r="J8" s="21">
        <f>J5</f>
        <v>252.10879455035945</v>
      </c>
      <c r="K8" s="21"/>
      <c r="L8" s="21">
        <f>L5</f>
        <v>0</v>
      </c>
      <c r="M8" s="21">
        <f>M5</f>
        <v>0</v>
      </c>
      <c r="N8" s="21">
        <f>N5</f>
        <v>4916.4504589264752</v>
      </c>
      <c r="O8" s="21">
        <f>O5</f>
        <v>31.266666666666666</v>
      </c>
      <c r="P8" s="21">
        <f>P5</f>
        <v>57.2</v>
      </c>
    </row>
    <row r="9" spans="1:16">
      <c r="B9" s="19"/>
      <c r="C9" s="19"/>
      <c r="D9" s="254"/>
      <c r="E9" s="19"/>
      <c r="F9" s="19"/>
      <c r="G9" s="19"/>
      <c r="H9" s="19"/>
      <c r="I9" s="19"/>
      <c r="J9" s="19"/>
      <c r="K9" s="19"/>
      <c r="L9" s="19"/>
      <c r="M9" s="19"/>
      <c r="N9" s="19"/>
      <c r="O9" s="19"/>
      <c r="P9" s="19"/>
    </row>
    <row r="10" spans="1:16">
      <c r="A10" s="24" t="s">
        <v>207</v>
      </c>
      <c r="B10" s="25">
        <f ca="1">'EF ele_warmte'!B12</f>
        <v>0.22412868494425456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3600.686309430886</v>
      </c>
      <c r="C12" s="23">
        <f ca="1">C10*C8</f>
        <v>0</v>
      </c>
      <c r="D12" s="23">
        <f>D8*D10</f>
        <v>9707.2262953277841</v>
      </c>
      <c r="E12" s="23">
        <f>E10*E8</f>
        <v>77.791042924162539</v>
      </c>
      <c r="F12" s="23">
        <f>F10*F8</f>
        <v>2886.4990217205786</v>
      </c>
      <c r="G12" s="23"/>
      <c r="H12" s="23"/>
      <c r="I12" s="23"/>
      <c r="J12" s="23">
        <f>J10*J8</f>
        <v>89.246513270827236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4633</v>
      </c>
      <c r="C26" s="36"/>
      <c r="D26" s="225"/>
    </row>
    <row r="27" spans="1:5" s="15" customFormat="1">
      <c r="A27" s="227" t="s">
        <v>721</v>
      </c>
      <c r="B27" s="37">
        <f>SUM(HH_hh_gas_aantal,HH_rest_gas_aantal)</f>
        <v>4157</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3949.15</v>
      </c>
      <c r="C31" s="34" t="s">
        <v>104</v>
      </c>
      <c r="D31" s="171"/>
    </row>
    <row r="32" spans="1:5">
      <c r="A32" s="168" t="s">
        <v>72</v>
      </c>
      <c r="B32" s="33">
        <f>IF((B21*($B$26-($B$27-0.05*$B$27)-$B$60))&lt;0,0,B21*($B$26-($B$27-0.05*$B$27)-$B$60))</f>
        <v>4.2929093431133616</v>
      </c>
      <c r="C32" s="34" t="s">
        <v>104</v>
      </c>
      <c r="D32" s="171"/>
    </row>
    <row r="33" spans="1:6">
      <c r="A33" s="168" t="s">
        <v>73</v>
      </c>
      <c r="B33" s="33">
        <f>IF((B22*($B$26-($B$27-0.05*$B$27)-$B$60))&lt;0,0,B22*($B$26-($B$27-0.05*$B$27)-$B$60))</f>
        <v>149.49469824122841</v>
      </c>
      <c r="C33" s="34" t="s">
        <v>104</v>
      </c>
      <c r="D33" s="171"/>
    </row>
    <row r="34" spans="1:6">
      <c r="A34" s="168" t="s">
        <v>74</v>
      </c>
      <c r="B34" s="33">
        <f>IF((B24*($B$26-($B$27-0.05*$B$27)-$B$60))&lt;0,0,B24*($B$26-($B$27-0.05*$B$27)-$B$60))</f>
        <v>29.674036247448946</v>
      </c>
      <c r="C34" s="33">
        <f>B26*C24</f>
        <v>947.91032867270371</v>
      </c>
      <c r="D34" s="230"/>
    </row>
    <row r="35" spans="1:6">
      <c r="A35" s="168" t="s">
        <v>76</v>
      </c>
      <c r="B35" s="33">
        <f>IF((B19*($B$26-($B$27-0.05*$B$27)-$B$60))&lt;0,0,B19*($B$26-($B$27-0.05*$B$27)-$B$60))</f>
        <v>14.497454256811078</v>
      </c>
      <c r="C35" s="33">
        <f>B35/2</f>
        <v>7.2487271284055392</v>
      </c>
      <c r="D35" s="230"/>
    </row>
    <row r="36" spans="1:6">
      <c r="A36" s="168" t="s">
        <v>77</v>
      </c>
      <c r="B36" s="33">
        <f>IF((B18*($B$26-($B$27-0.05*$B$27)-$B$60))&lt;0,0,B18*($B$26-($B$27-0.05*$B$27)-$B$60))</f>
        <v>482.89090191139837</v>
      </c>
      <c r="C36" s="34" t="s">
        <v>104</v>
      </c>
      <c r="D36" s="171"/>
    </row>
    <row r="37" spans="1:6">
      <c r="A37" s="168" t="s">
        <v>78</v>
      </c>
      <c r="B37" s="33">
        <f>B60</f>
        <v>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9558.174219999999</v>
      </c>
      <c r="C5" s="17">
        <f>IF(ISERROR('Eigen informatie GS &amp; warmtenet'!B58),0,'Eigen informatie GS &amp; warmtenet'!B58)</f>
        <v>0</v>
      </c>
      <c r="D5" s="30">
        <f>SUM(D6:D12)</f>
        <v>9873.6423120182408</v>
      </c>
      <c r="E5" s="17">
        <f>SUM(E6:E12)</f>
        <v>107.66492926936527</v>
      </c>
      <c r="F5" s="17">
        <f>SUM(F6:F12)</f>
        <v>1363.2756532312596</v>
      </c>
      <c r="G5" s="18"/>
      <c r="H5" s="17"/>
      <c r="I5" s="17"/>
      <c r="J5" s="17">
        <f>SUM(J6:J12)</f>
        <v>0</v>
      </c>
      <c r="K5" s="17"/>
      <c r="L5" s="17"/>
      <c r="M5" s="17"/>
      <c r="N5" s="17">
        <f>SUM(N6:N12)</f>
        <v>438.27902011338995</v>
      </c>
      <c r="O5" s="17">
        <f>B38*B39*B40</f>
        <v>0</v>
      </c>
      <c r="P5" s="17">
        <f>B46*B47*B48/1000-B46*B47*B48/1000/B49</f>
        <v>0</v>
      </c>
      <c r="R5" s="32"/>
    </row>
    <row r="6" spans="1:18">
      <c r="A6" s="32" t="s">
        <v>53</v>
      </c>
      <c r="B6" s="37">
        <f>B26</f>
        <v>1344.154</v>
      </c>
      <c r="C6" s="33"/>
      <c r="D6" s="37">
        <f>IF(ISERROR(TER_kantoor_gas_kWh/1000),0,TER_kantoor_gas_kWh/1000)*0.902</f>
        <v>2312.9440148229505</v>
      </c>
      <c r="E6" s="33">
        <f>$C$26*'E Balans VL '!I12/100/3.6*1000000</f>
        <v>3.8942113533554785</v>
      </c>
      <c r="F6" s="33">
        <f>$C$26*('E Balans VL '!L12+'E Balans VL '!N12)/100/3.6*1000000</f>
        <v>152.12861879133649</v>
      </c>
      <c r="G6" s="34"/>
      <c r="H6" s="33"/>
      <c r="I6" s="33"/>
      <c r="J6" s="33">
        <f>$C$26*('E Balans VL '!D12+'E Balans VL '!E12)/100/3.6*1000000</f>
        <v>0</v>
      </c>
      <c r="K6" s="33"/>
      <c r="L6" s="33"/>
      <c r="M6" s="33"/>
      <c r="N6" s="33">
        <f>$C$26*'E Balans VL '!Y12/100/3.6*1000000</f>
        <v>13.453991123111908</v>
      </c>
      <c r="O6" s="33"/>
      <c r="P6" s="33"/>
      <c r="R6" s="32"/>
    </row>
    <row r="7" spans="1:18">
      <c r="A7" s="32" t="s">
        <v>52</v>
      </c>
      <c r="B7" s="37">
        <f t="shared" ref="B7:B12" si="0">B27</f>
        <v>745.06020000000001</v>
      </c>
      <c r="C7" s="33"/>
      <c r="D7" s="37">
        <f>IF(ISERROR(TER_horeca_gas_kWh/1000),0,TER_horeca_gas_kWh/1000)*0.902</f>
        <v>1171.7999941345274</v>
      </c>
      <c r="E7" s="33">
        <f>$C$27*'E Balans VL '!I9/100/3.6*1000000</f>
        <v>31.275545538942723</v>
      </c>
      <c r="F7" s="33">
        <f>$C$27*('E Balans VL '!L9+'E Balans VL '!N9)/100/3.6*1000000</f>
        <v>160.09146286841269</v>
      </c>
      <c r="G7" s="34"/>
      <c r="H7" s="33"/>
      <c r="I7" s="33"/>
      <c r="J7" s="33">
        <f>$C$27*('E Balans VL '!D9+'E Balans VL '!E9)/100/3.6*1000000</f>
        <v>0</v>
      </c>
      <c r="K7" s="33"/>
      <c r="L7" s="33"/>
      <c r="M7" s="33"/>
      <c r="N7" s="33">
        <f>$C$27*'E Balans VL '!Y9/100/3.6*1000000</f>
        <v>0.19199549775217573</v>
      </c>
      <c r="O7" s="33"/>
      <c r="P7" s="33"/>
      <c r="R7" s="32"/>
    </row>
    <row r="8" spans="1:18">
      <c r="A8" s="6" t="s">
        <v>51</v>
      </c>
      <c r="B8" s="37">
        <f t="shared" si="0"/>
        <v>4925.2259999999997</v>
      </c>
      <c r="C8" s="33"/>
      <c r="D8" s="37">
        <f>IF(ISERROR(TER_handel_gas_kWh/1000),0,TER_handel_gas_kWh/1000)*0.902</f>
        <v>1215.467670865303</v>
      </c>
      <c r="E8" s="33">
        <f>$C$28*'E Balans VL '!I13/100/3.6*1000000</f>
        <v>52.901026389074971</v>
      </c>
      <c r="F8" s="33">
        <f>$C$28*('E Balans VL '!L13+'E Balans VL '!N13)/100/3.6*1000000</f>
        <v>637.61117737786981</v>
      </c>
      <c r="G8" s="34"/>
      <c r="H8" s="33"/>
      <c r="I8" s="33"/>
      <c r="J8" s="33">
        <f>$C$28*('E Balans VL '!D13+'E Balans VL '!E13)/100/3.6*1000000</f>
        <v>0</v>
      </c>
      <c r="K8" s="33"/>
      <c r="L8" s="33"/>
      <c r="M8" s="33"/>
      <c r="N8" s="33">
        <f>$C$28*'E Balans VL '!Y13/100/3.6*1000000</f>
        <v>39.953702241032509</v>
      </c>
      <c r="O8" s="33"/>
      <c r="P8" s="33"/>
      <c r="R8" s="32"/>
    </row>
    <row r="9" spans="1:18">
      <c r="A9" s="32" t="s">
        <v>50</v>
      </c>
      <c r="B9" s="37">
        <f t="shared" si="0"/>
        <v>56.68092</v>
      </c>
      <c r="C9" s="33"/>
      <c r="D9" s="37">
        <f>IF(ISERROR(TER_gezond_gas_kWh/1000),0,TER_gezond_gas_kWh/1000)*0.902</f>
        <v>111.11092192886541</v>
      </c>
      <c r="E9" s="33">
        <f>$C$29*'E Balans VL '!I10/100/3.6*1000000</f>
        <v>4.5121678343689915E-2</v>
      </c>
      <c r="F9" s="33">
        <f>$C$29*('E Balans VL '!L10+'E Balans VL '!N10)/100/3.6*1000000</f>
        <v>6.8903849390718461</v>
      </c>
      <c r="G9" s="34"/>
      <c r="H9" s="33"/>
      <c r="I9" s="33"/>
      <c r="J9" s="33">
        <f>$C$29*('E Balans VL '!D10+'E Balans VL '!E10)/100/3.6*1000000</f>
        <v>0</v>
      </c>
      <c r="K9" s="33"/>
      <c r="L9" s="33"/>
      <c r="M9" s="33"/>
      <c r="N9" s="33">
        <f>$C$29*'E Balans VL '!Y10/100/3.6*1000000</f>
        <v>0.45785345513689379</v>
      </c>
      <c r="O9" s="33"/>
      <c r="P9" s="33"/>
      <c r="R9" s="32"/>
    </row>
    <row r="10" spans="1:18">
      <c r="A10" s="32" t="s">
        <v>49</v>
      </c>
      <c r="B10" s="37">
        <f t="shared" si="0"/>
        <v>298.54690000000005</v>
      </c>
      <c r="C10" s="33"/>
      <c r="D10" s="37">
        <f>IF(ISERROR(TER_ander_gas_kWh/1000),0,TER_ander_gas_kWh/1000)*0.902</f>
        <v>593.58015446362492</v>
      </c>
      <c r="E10" s="33">
        <f>$C$30*'E Balans VL '!I14/100/3.6*1000000</f>
        <v>1.0231359099437032</v>
      </c>
      <c r="F10" s="33">
        <f>$C$30*('E Balans VL '!L14+'E Balans VL '!N14)/100/3.6*1000000</f>
        <v>66.683245943034265</v>
      </c>
      <c r="G10" s="34"/>
      <c r="H10" s="33"/>
      <c r="I10" s="33"/>
      <c r="J10" s="33">
        <f>$C$30*('E Balans VL '!D14+'E Balans VL '!E14)/100/3.6*1000000</f>
        <v>0</v>
      </c>
      <c r="K10" s="33"/>
      <c r="L10" s="33"/>
      <c r="M10" s="33"/>
      <c r="N10" s="33">
        <f>$C$30*'E Balans VL '!Y14/100/3.6*1000000</f>
        <v>210.29806728983448</v>
      </c>
      <c r="O10" s="33"/>
      <c r="P10" s="33"/>
      <c r="R10" s="32"/>
    </row>
    <row r="11" spans="1:18">
      <c r="A11" s="32" t="s">
        <v>54</v>
      </c>
      <c r="B11" s="37">
        <f t="shared" si="0"/>
        <v>150.9872</v>
      </c>
      <c r="C11" s="33"/>
      <c r="D11" s="37">
        <f>IF(ISERROR(TER_onderwijs_gas_kWh/1000),0,TER_onderwijs_gas_kWh/1000)*0.902</f>
        <v>0</v>
      </c>
      <c r="E11" s="33">
        <f>$C$31*'E Balans VL '!I11/100/3.6*1000000</f>
        <v>0.10437280132020389</v>
      </c>
      <c r="F11" s="33">
        <f>$C$31*('E Balans VL '!L11+'E Balans VL '!N11)/100/3.6*1000000</f>
        <v>39.524063079429148</v>
      </c>
      <c r="G11" s="34"/>
      <c r="H11" s="33"/>
      <c r="I11" s="33"/>
      <c r="J11" s="33">
        <f>$C$31*('E Balans VL '!D11+'E Balans VL '!E11)/100/3.6*1000000</f>
        <v>0</v>
      </c>
      <c r="K11" s="33"/>
      <c r="L11" s="33"/>
      <c r="M11" s="33"/>
      <c r="N11" s="33">
        <f>$C$31*'E Balans VL '!Y11/100/3.6*1000000</f>
        <v>0.15029489751349698</v>
      </c>
      <c r="O11" s="33"/>
      <c r="P11" s="33"/>
      <c r="R11" s="32"/>
    </row>
    <row r="12" spans="1:18">
      <c r="A12" s="32" t="s">
        <v>249</v>
      </c>
      <c r="B12" s="37">
        <f t="shared" si="0"/>
        <v>2037.519</v>
      </c>
      <c r="C12" s="33"/>
      <c r="D12" s="37">
        <f>IF(ISERROR(TER_rest_gas_kWh/1000),0,TER_rest_gas_kWh/1000)*0.902</f>
        <v>4468.7395558029684</v>
      </c>
      <c r="E12" s="33">
        <f>$C$32*'E Balans VL '!I8/100/3.6*1000000</f>
        <v>18.421515598384502</v>
      </c>
      <c r="F12" s="33">
        <f>$C$32*('E Balans VL '!L8+'E Balans VL '!N8)/100/3.6*1000000</f>
        <v>300.34670023210538</v>
      </c>
      <c r="G12" s="34"/>
      <c r="H12" s="33"/>
      <c r="I12" s="33"/>
      <c r="J12" s="33">
        <f>$C$32*('E Balans VL '!D8+'E Balans VL '!E8)/100/3.6*1000000</f>
        <v>0</v>
      </c>
      <c r="K12" s="33"/>
      <c r="L12" s="33"/>
      <c r="M12" s="33"/>
      <c r="N12" s="33">
        <f>$C$32*'E Balans VL '!Y8/100/3.6*1000000</f>
        <v>173.77311560900847</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9558.174219999999</v>
      </c>
      <c r="C16" s="21">
        <f t="shared" ca="1" si="1"/>
        <v>0</v>
      </c>
      <c r="D16" s="21">
        <f t="shared" ca="1" si="1"/>
        <v>9873.6423120182408</v>
      </c>
      <c r="E16" s="21">
        <f t="shared" si="1"/>
        <v>107.66492926936527</v>
      </c>
      <c r="F16" s="21">
        <f t="shared" ca="1" si="1"/>
        <v>1363.2756532312596</v>
      </c>
      <c r="G16" s="21">
        <f t="shared" si="1"/>
        <v>0</v>
      </c>
      <c r="H16" s="21">
        <f t="shared" si="1"/>
        <v>0</v>
      </c>
      <c r="I16" s="21">
        <f t="shared" si="1"/>
        <v>0</v>
      </c>
      <c r="J16" s="21">
        <f t="shared" si="1"/>
        <v>0</v>
      </c>
      <c r="K16" s="21">
        <f t="shared" si="1"/>
        <v>0</v>
      </c>
      <c r="L16" s="21">
        <f t="shared" ca="1" si="1"/>
        <v>0</v>
      </c>
      <c r="M16" s="21">
        <f t="shared" si="1"/>
        <v>0</v>
      </c>
      <c r="N16" s="21">
        <f t="shared" ca="1" si="1"/>
        <v>438.27902011338995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0.22412868494425456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2142.2610183966758</v>
      </c>
      <c r="C20" s="23">
        <f t="shared" ref="C20:P20" ca="1" si="2">C16*C18</f>
        <v>0</v>
      </c>
      <c r="D20" s="23">
        <f t="shared" ca="1" si="2"/>
        <v>1994.4757470276847</v>
      </c>
      <c r="E20" s="23">
        <f t="shared" si="2"/>
        <v>24.439938944145918</v>
      </c>
      <c r="F20" s="23">
        <f t="shared" ca="1" si="2"/>
        <v>363.99459941274637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1344.154</v>
      </c>
      <c r="C26" s="39">
        <f>IF(ISERROR(B26*3.6/1000000/'E Balans VL '!Z12*100),0,B26*3.6/1000000/'E Balans VL '!Z12*100)</f>
        <v>2.9525896607637044E-2</v>
      </c>
      <c r="D26" s="233" t="s">
        <v>676</v>
      </c>
      <c r="F26" s="6"/>
    </row>
    <row r="27" spans="1:18">
      <c r="A27" s="228" t="s">
        <v>52</v>
      </c>
      <c r="B27" s="33">
        <f>IF(ISERROR(TER_horeca_ele_kWh/1000),0,TER_horeca_ele_kWh/1000)</f>
        <v>745.06020000000001</v>
      </c>
      <c r="C27" s="39">
        <f>IF(ISERROR(B27*3.6/1000000/'E Balans VL '!Z9*100),0,B27*3.6/1000000/'E Balans VL '!Z9*100)</f>
        <v>5.9873013917792692E-2</v>
      </c>
      <c r="D27" s="233" t="s">
        <v>676</v>
      </c>
      <c r="F27" s="6"/>
    </row>
    <row r="28" spans="1:18">
      <c r="A28" s="168" t="s">
        <v>51</v>
      </c>
      <c r="B28" s="33">
        <f>IF(ISERROR(TER_handel_ele_kWh/1000),0,TER_handel_ele_kWh/1000)</f>
        <v>4925.2259999999997</v>
      </c>
      <c r="C28" s="39">
        <f>IF(ISERROR(B28*3.6/1000000/'E Balans VL '!Z13*100),0,B28*3.6/1000000/'E Balans VL '!Z13*100)</f>
        <v>0.14563549198487066</v>
      </c>
      <c r="D28" s="233" t="s">
        <v>676</v>
      </c>
      <c r="F28" s="6"/>
    </row>
    <row r="29" spans="1:18">
      <c r="A29" s="228" t="s">
        <v>50</v>
      </c>
      <c r="B29" s="33">
        <f>IF(ISERROR(TER_gezond_ele_kWh/1000),0,TER_gezond_ele_kWh/1000)</f>
        <v>56.68092</v>
      </c>
      <c r="C29" s="39">
        <f>IF(ISERROR(B29*3.6/1000000/'E Balans VL '!Z10*100),0,B29*3.6/1000000/'E Balans VL '!Z10*100)</f>
        <v>6.3864763116421993E-3</v>
      </c>
      <c r="D29" s="233" t="s">
        <v>676</v>
      </c>
      <c r="F29" s="6"/>
    </row>
    <row r="30" spans="1:18">
      <c r="A30" s="228" t="s">
        <v>49</v>
      </c>
      <c r="B30" s="33">
        <f>IF(ISERROR(TER_ander_ele_kWh/1000),0,TER_ander_ele_kWh/1000)</f>
        <v>298.54690000000005</v>
      </c>
      <c r="C30" s="39">
        <f>IF(ISERROR(B30*3.6/1000000/'E Balans VL '!Z14*100),0,B30*3.6/1000000/'E Balans VL '!Z14*100)</f>
        <v>2.2578591704126672E-2</v>
      </c>
      <c r="D30" s="233" t="s">
        <v>676</v>
      </c>
      <c r="F30" s="6"/>
    </row>
    <row r="31" spans="1:18">
      <c r="A31" s="228" t="s">
        <v>54</v>
      </c>
      <c r="B31" s="33">
        <f>IF(ISERROR(TER_onderwijs_ele_kWh/1000),0,TER_onderwijs_ele_kWh/1000)</f>
        <v>150.9872</v>
      </c>
      <c r="C31" s="39">
        <f>IF(ISERROR(B31*3.6/1000000/'E Balans VL '!Z11*100),0,B31*3.6/1000000/'E Balans VL '!Z11*100)</f>
        <v>3.1341437702623882E-2</v>
      </c>
      <c r="D31" s="233" t="s">
        <v>676</v>
      </c>
    </row>
    <row r="32" spans="1:18">
      <c r="A32" s="228" t="s">
        <v>249</v>
      </c>
      <c r="B32" s="33">
        <f>IF(ISERROR(TER_rest_ele_kWh/1000),0,TER_rest_ele_kWh/1000)</f>
        <v>2037.519</v>
      </c>
      <c r="C32" s="39">
        <f>IF(ISERROR(B32*3.6/1000000/'E Balans VL '!Z8*100),0,B32*3.6/1000000/'E Balans VL '!Z8*100)</f>
        <v>1.7164898943163542E-2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1645.5352</v>
      </c>
      <c r="C5" s="17">
        <f>IF(ISERROR('Eigen informatie GS &amp; warmtenet'!B59),0,'Eigen informatie GS &amp; warmtenet'!B59)</f>
        <v>0</v>
      </c>
      <c r="D5" s="30">
        <f>SUM(D6:D15)</f>
        <v>898.44943274642776</v>
      </c>
      <c r="E5" s="17">
        <f>SUM(E6:E15)</f>
        <v>168.11875762834947</v>
      </c>
      <c r="F5" s="17">
        <f>SUM(F6:F15)</f>
        <v>1266.910324418732</v>
      </c>
      <c r="G5" s="18"/>
      <c r="H5" s="17"/>
      <c r="I5" s="17"/>
      <c r="J5" s="17">
        <f>SUM(J6:J15)</f>
        <v>12.652354291984743</v>
      </c>
      <c r="K5" s="17"/>
      <c r="L5" s="17"/>
      <c r="M5" s="17"/>
      <c r="N5" s="17">
        <f>SUM(N6:N15)</f>
        <v>283.83905639012198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446.77570000000003</v>
      </c>
      <c r="C9" s="33"/>
      <c r="D9" s="37">
        <f>IF( ISERROR(IND_andere_gas_kWh/1000),0,IND_andere_gas_kWh/1000)*0.902</f>
        <v>156.48886872877929</v>
      </c>
      <c r="E9" s="33">
        <f>C31*'E Balans VL '!I19/100/3.6*1000000</f>
        <v>122.84499296982636</v>
      </c>
      <c r="F9" s="33">
        <f>C31*'E Balans VL '!L19/100/3.6*1000000+C31*'E Balans VL '!N19/100/3.6*1000000</f>
        <v>352.1369961537003</v>
      </c>
      <c r="G9" s="34"/>
      <c r="H9" s="33"/>
      <c r="I9" s="33"/>
      <c r="J9" s="40">
        <f>C31*'E Balans VL '!D19/100/3.6*1000000+C31*'E Balans VL '!E19/100/3.6*1000000</f>
        <v>0</v>
      </c>
      <c r="K9" s="33"/>
      <c r="L9" s="33"/>
      <c r="M9" s="33"/>
      <c r="N9" s="33">
        <f>C31*'E Balans VL '!Y19/100/3.6*1000000</f>
        <v>35.992531930152602</v>
      </c>
      <c r="O9" s="33"/>
      <c r="P9" s="33"/>
      <c r="R9" s="32"/>
    </row>
    <row r="10" spans="1:18">
      <c r="A10" s="6" t="s">
        <v>40</v>
      </c>
      <c r="B10" s="37">
        <f t="shared" si="0"/>
        <v>386.21870000000001</v>
      </c>
      <c r="C10" s="33"/>
      <c r="D10" s="37">
        <f>IF( ISERROR(IND_voed_gas_kWh/1000),0,IND_voed_gas_kWh/1000)*0.902</f>
        <v>0</v>
      </c>
      <c r="E10" s="33">
        <f>C32*'E Balans VL '!I20/100/3.6*1000000</f>
        <v>3.9372868774041043</v>
      </c>
      <c r="F10" s="33">
        <f>C32*'E Balans VL '!L20/100/3.6*1000000+C32*'E Balans VL '!N20/100/3.6*1000000</f>
        <v>729.56470873520834</v>
      </c>
      <c r="G10" s="34"/>
      <c r="H10" s="33"/>
      <c r="I10" s="33"/>
      <c r="J10" s="40">
        <f>C32*'E Balans VL '!D20/100/3.6*1000000+C32*'E Balans VL '!E20/100/3.6*1000000</f>
        <v>9.2434772043077302</v>
      </c>
      <c r="K10" s="33"/>
      <c r="L10" s="33"/>
      <c r="M10" s="33"/>
      <c r="N10" s="33">
        <f>C32*'E Balans VL '!Y20/100/3.6*1000000</f>
        <v>203.58174183909287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812.54079999999999</v>
      </c>
      <c r="C15" s="33"/>
      <c r="D15" s="37">
        <f>IF( ISERROR(IND_rest_gas_kWh/1000),0,IND_rest_gas_kWh/1000)*0.902</f>
        <v>741.96056401764849</v>
      </c>
      <c r="E15" s="33">
        <f>C37*'E Balans VL '!I15/100/3.6*1000000</f>
        <v>41.336477781119008</v>
      </c>
      <c r="F15" s="33">
        <f>C37*'E Balans VL '!L15/100/3.6*1000000+C37*'E Balans VL '!N15/100/3.6*1000000</f>
        <v>185.20861952982332</v>
      </c>
      <c r="G15" s="34"/>
      <c r="H15" s="33"/>
      <c r="I15" s="33"/>
      <c r="J15" s="40">
        <f>C37*'E Balans VL '!D15/100/3.6*1000000+C37*'E Balans VL '!E15/100/3.6*1000000</f>
        <v>3.4088770876770118</v>
      </c>
      <c r="K15" s="33"/>
      <c r="L15" s="33"/>
      <c r="M15" s="33"/>
      <c r="N15" s="33">
        <f>C37*'E Balans VL '!Y15/100/3.6*1000000</f>
        <v>44.264782620876474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1645.5352</v>
      </c>
      <c r="C18" s="21">
        <f>C5+C16</f>
        <v>0</v>
      </c>
      <c r="D18" s="21">
        <f>MAX((D5+D16),0)</f>
        <v>898.44943274642776</v>
      </c>
      <c r="E18" s="21">
        <f>MAX((E5+E16),0)</f>
        <v>168.11875762834947</v>
      </c>
      <c r="F18" s="21">
        <f>MAX((F5+F16),0)</f>
        <v>1266.910324418732</v>
      </c>
      <c r="G18" s="21"/>
      <c r="H18" s="21"/>
      <c r="I18" s="21"/>
      <c r="J18" s="21">
        <f>MAX((J5+J16),0)</f>
        <v>12.652354291984743</v>
      </c>
      <c r="K18" s="21"/>
      <c r="L18" s="21">
        <f>MAX((L5+L16),0)</f>
        <v>0</v>
      </c>
      <c r="M18" s="21"/>
      <c r="N18" s="21">
        <f>MAX((N5+N16),0)</f>
        <v>283.83905639012198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0.22412868494425456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368.81164040548094</v>
      </c>
      <c r="C22" s="23">
        <f ca="1">C18*C20</f>
        <v>0</v>
      </c>
      <c r="D22" s="23">
        <f>D18*D20</f>
        <v>181.48678541477841</v>
      </c>
      <c r="E22" s="23">
        <f>E18*E20</f>
        <v>38.16295798163533</v>
      </c>
      <c r="F22" s="23">
        <f>F18*F20</f>
        <v>338.26505661980144</v>
      </c>
      <c r="G22" s="23"/>
      <c r="H22" s="23"/>
      <c r="I22" s="23"/>
      <c r="J22" s="23">
        <f>J18*J20</f>
        <v>4.4789334193625985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446.77570000000003</v>
      </c>
      <c r="C31" s="39">
        <f>IF(ISERROR(B31*3.6/1000000/'E Balans VL '!Z19*100),0,B31*3.6/1000000/'E Balans VL '!Z19*100)</f>
        <v>1.9555299911684292E-2</v>
      </c>
      <c r="D31" s="233" t="s">
        <v>676</v>
      </c>
    </row>
    <row r="32" spans="1:18">
      <c r="A32" s="168" t="s">
        <v>40</v>
      </c>
      <c r="B32" s="37">
        <f>IF( ISERROR(IND_voed_ele_kWh/1000),0,IND_voed_ele_kWh/1000)</f>
        <v>386.21870000000001</v>
      </c>
      <c r="C32" s="39">
        <f>IF(ISERROR(B32*3.6/1000000/'E Balans VL '!Z20*100),0,B32*3.6/1000000/'E Balans VL '!Z20*100)</f>
        <v>9.5614924429606341E-2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812.54079999999999</v>
      </c>
      <c r="C37" s="39">
        <f>IF(ISERROR(B37*3.6/1000000/'E Balans VL '!Z15*100),0,B37*3.6/1000000/'E Balans VL '!Z15*100)</f>
        <v>6.0248509191282787E-3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252.41076999999999</v>
      </c>
      <c r="C5" s="17">
        <f>'Eigen informatie GS &amp; warmtenet'!B60</f>
        <v>0</v>
      </c>
      <c r="D5" s="30">
        <f>IF(ISERROR(SUM(LB_lb_gas_kWh,LB_rest_gas_kWh)/1000),0,SUM(LB_lb_gas_kWh,LB_rest_gas_kWh)/1000)*0.902</f>
        <v>33387.884616117837</v>
      </c>
      <c r="E5" s="17">
        <f>B17*'E Balans VL '!I25/3.6*1000000/100</f>
        <v>2.3379342710884017</v>
      </c>
      <c r="F5" s="17">
        <f>B17*('E Balans VL '!L25/3.6*1000000+'E Balans VL '!N25/3.6*1000000)/100</f>
        <v>640.41420769234003</v>
      </c>
      <c r="G5" s="18"/>
      <c r="H5" s="17"/>
      <c r="I5" s="17"/>
      <c r="J5" s="17">
        <f>('E Balans VL '!D25+'E Balans VL '!E25)/3.6*1000000*landbouw!B17/100</f>
        <v>38.697387953414626</v>
      </c>
      <c r="K5" s="17"/>
      <c r="L5" s="17">
        <f>L6*(-1)</f>
        <v>0</v>
      </c>
      <c r="M5" s="17"/>
      <c r="N5" s="17">
        <f>N6*(-1)</f>
        <v>0</v>
      </c>
      <c r="O5" s="17"/>
      <c r="P5" s="17"/>
      <c r="R5" s="32"/>
    </row>
    <row r="6" spans="1:18">
      <c r="A6" s="16" t="s">
        <v>481</v>
      </c>
      <c r="B6" s="17" t="s">
        <v>204</v>
      </c>
      <c r="C6" s="17">
        <f>'lokale energieproductie'!O39+'lokale energieproductie'!O32</f>
        <v>20031.428571428572</v>
      </c>
      <c r="D6" s="302">
        <f>('lokale energieproductie'!P32+'lokale energieproductie'!P39)*(-1)</f>
        <v>-40062.857142857145</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252.41076999999999</v>
      </c>
      <c r="C8" s="21">
        <f>C5+C6</f>
        <v>20031.428571428572</v>
      </c>
      <c r="D8" s="21">
        <f>MAX((D5+D6),0)</f>
        <v>0</v>
      </c>
      <c r="E8" s="21">
        <f>MAX((E5+E6),0)</f>
        <v>2.3379342710884017</v>
      </c>
      <c r="F8" s="21">
        <f>MAX((F5+F6),0)</f>
        <v>640.41420769234003</v>
      </c>
      <c r="G8" s="21"/>
      <c r="H8" s="21"/>
      <c r="I8" s="21"/>
      <c r="J8" s="21">
        <f>MAX((J5+J6),0)</f>
        <v>38.697387953414626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0.22412868494425456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56.572493945866697</v>
      </c>
      <c r="C12" s="23">
        <f ca="1">C8*C10</f>
        <v>4760.4100840336141</v>
      </c>
      <c r="D12" s="23">
        <f>D8*D10</f>
        <v>0</v>
      </c>
      <c r="E12" s="23">
        <f>E8*E10</f>
        <v>0.5307110795370672</v>
      </c>
      <c r="F12" s="23">
        <f>F8*F10</f>
        <v>170.99059345385479</v>
      </c>
      <c r="G12" s="23"/>
      <c r="H12" s="23"/>
      <c r="I12" s="23"/>
      <c r="J12" s="23">
        <f>J8*J10</f>
        <v>13.698875335508777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3.5887459460582E-2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1.9454489584485539</v>
      </c>
      <c r="C26" s="243">
        <f>B26*'GWP N2O_CH4'!B5</f>
        <v>40.854428127419631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0.15191600778443715</v>
      </c>
      <c r="C27" s="243">
        <f>B27*'GWP N2O_CH4'!B5</f>
        <v>3.19023616347318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1.7968710807793685E-2</v>
      </c>
      <c r="C28" s="243">
        <f>B28*'GWP N2O_CH4'!B4</f>
        <v>5.5703003504160424</v>
      </c>
      <c r="D28" s="50"/>
    </row>
    <row r="29" spans="1:4">
      <c r="A29" s="41" t="s">
        <v>266</v>
      </c>
      <c r="B29" s="243">
        <f>B34*'ha_N2O bodem landbouw'!B4</f>
        <v>0.45014552603607766</v>
      </c>
      <c r="C29" s="243">
        <f>B29*'GWP N2O_CH4'!B4</f>
        <v>139.54511307118406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1.0095971113645001E-4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1.7235307240288553E-5</v>
      </c>
      <c r="C5" s="430" t="s">
        <v>204</v>
      </c>
      <c r="D5" s="415">
        <f>SUM(D6:D11)</f>
        <v>2.6614937753459174E-5</v>
      </c>
      <c r="E5" s="415">
        <f>SUM(E6:E11)</f>
        <v>2.5965428371114979E-4</v>
      </c>
      <c r="F5" s="428" t="s">
        <v>204</v>
      </c>
      <c r="G5" s="415">
        <f>SUM(G6:G11)</f>
        <v>9.0547363707553605E-2</v>
      </c>
      <c r="H5" s="415">
        <f>SUM(H6:H11)</f>
        <v>1.5369474402547703E-2</v>
      </c>
      <c r="I5" s="430" t="s">
        <v>204</v>
      </c>
      <c r="J5" s="430" t="s">
        <v>204</v>
      </c>
      <c r="K5" s="430" t="s">
        <v>204</v>
      </c>
      <c r="L5" s="430" t="s">
        <v>204</v>
      </c>
      <c r="M5" s="415">
        <f>SUM(M6:M11)</f>
        <v>5.7184911954231595E-3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1.4005715556466973E-5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2.1153365536540119E-5</v>
      </c>
      <c r="E6" s="858">
        <f>vkm_GW_PW*SUMIFS(TableVerdeelsleutelVkm[LPG],TableVerdeelsleutelVkm[Voertuigtype],"Lichte voertuigen")*SUMIFS(TableECFTransport[EnergieConsumptieFactor (PJ per km)],TableECFTransport[Index],CONCATENATE($A6,"_LPG_LPG"))</f>
        <v>2.0835027577704123E-4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4.7666166277453896E-2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1.2300861971902981E-2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3.1387601454056632E-3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8.2878061380419107E-7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3.1808945200982978E-2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6.0145716862100574E-7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1.8442102600744238E-3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2.3971892237976231E-6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5.4615722169190557E-6</v>
      </c>
      <c r="E8" s="418">
        <f>vkm_NGW_PW*SUMIFS(TableVerdeelsleutelVkm[LPG],TableVerdeelsleutelVkm[Voertuigtype],"Lichte voertuigen")*SUMIFS(TableECFTransport[EnergieConsumptieFactor (PJ per km)],TableECFTransport[Index],CONCATENATE($A8,"_LPG_LPG"))</f>
        <v>5.1304007934108545E-5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1.0893652811760255E-2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3.0680078009034588E-3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7.2516600837238326E-4</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3.6218462197653962E-9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1.7859941735647597E-4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3.1725726395088616E-9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1.035478157068874E-5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4.7875853445245982</v>
      </c>
      <c r="C14" s="21"/>
      <c r="D14" s="21">
        <f t="shared" ref="D14:M14" si="0">((D5)*10^9/3600)+D12</f>
        <v>7.3930382648497703</v>
      </c>
      <c r="E14" s="21">
        <f t="shared" si="0"/>
        <v>72.126189919763831</v>
      </c>
      <c r="F14" s="21"/>
      <c r="G14" s="21">
        <f t="shared" si="0"/>
        <v>25152.045474320446</v>
      </c>
      <c r="H14" s="21">
        <f t="shared" si="0"/>
        <v>4269.2984451521397</v>
      </c>
      <c r="I14" s="21"/>
      <c r="J14" s="21"/>
      <c r="K14" s="21"/>
      <c r="L14" s="21"/>
      <c r="M14" s="21">
        <f t="shared" si="0"/>
        <v>1588.4697765064332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0.22412868494425456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1.073035207326684</v>
      </c>
      <c r="C18" s="23"/>
      <c r="D18" s="23">
        <f t="shared" ref="D18:M18" si="1">D14*D16</f>
        <v>1.4933937294996538</v>
      </c>
      <c r="E18" s="23">
        <f t="shared" si="1"/>
        <v>16.37264511178639</v>
      </c>
      <c r="F18" s="23"/>
      <c r="G18" s="23">
        <f t="shared" si="1"/>
        <v>6715.5961416435593</v>
      </c>
      <c r="H18" s="23">
        <f t="shared" si="1"/>
        <v>1063.0553128428828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1.962367742460585E-5</v>
      </c>
      <c r="C50" s="313">
        <f t="shared" ref="C50:P50" si="2">SUM(C51:C52)</f>
        <v>0</v>
      </c>
      <c r="D50" s="313">
        <f t="shared" si="2"/>
        <v>0</v>
      </c>
      <c r="E50" s="313">
        <f t="shared" si="2"/>
        <v>0</v>
      </c>
      <c r="F50" s="313">
        <f t="shared" si="2"/>
        <v>0</v>
      </c>
      <c r="G50" s="313">
        <f t="shared" si="2"/>
        <v>3.7184279385487559E-3</v>
      </c>
      <c r="H50" s="313">
        <f t="shared" si="2"/>
        <v>0</v>
      </c>
      <c r="I50" s="313">
        <f t="shared" si="2"/>
        <v>0</v>
      </c>
      <c r="J50" s="313">
        <f t="shared" si="2"/>
        <v>0</v>
      </c>
      <c r="K50" s="313">
        <f t="shared" si="2"/>
        <v>0</v>
      </c>
      <c r="L50" s="313">
        <f t="shared" si="2"/>
        <v>0</v>
      </c>
      <c r="M50" s="313">
        <f t="shared" si="2"/>
        <v>2.1406259349941056E-4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1.962367742460585E-5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3.7184279385487559E-3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2.1406259349941056E-4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5.4510215068349579</v>
      </c>
      <c r="C54" s="21">
        <f t="shared" ref="C54:P54" si="3">(C50)*10^9/3600</f>
        <v>0</v>
      </c>
      <c r="D54" s="21">
        <f t="shared" si="3"/>
        <v>0</v>
      </c>
      <c r="E54" s="21">
        <f t="shared" si="3"/>
        <v>0</v>
      </c>
      <c r="F54" s="21">
        <f t="shared" si="3"/>
        <v>0</v>
      </c>
      <c r="G54" s="21">
        <f t="shared" si="3"/>
        <v>1032.8966495968766</v>
      </c>
      <c r="H54" s="21">
        <f t="shared" si="3"/>
        <v>0</v>
      </c>
      <c r="I54" s="21">
        <f t="shared" si="3"/>
        <v>0</v>
      </c>
      <c r="J54" s="21">
        <f t="shared" si="3"/>
        <v>0</v>
      </c>
      <c r="K54" s="21">
        <f t="shared" si="3"/>
        <v>0</v>
      </c>
      <c r="L54" s="21">
        <f t="shared" si="3"/>
        <v>0</v>
      </c>
      <c r="M54" s="21">
        <f t="shared" si="3"/>
        <v>59.461831527614038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0.22412868494425456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1.221730281929768</v>
      </c>
      <c r="C58" s="23">
        <f t="shared" ref="C58:P58" ca="1" si="4">C54*C56</f>
        <v>0</v>
      </c>
      <c r="D58" s="23">
        <f t="shared" si="4"/>
        <v>0</v>
      </c>
      <c r="E58" s="23">
        <f t="shared" si="4"/>
        <v>0</v>
      </c>
      <c r="F58" s="23">
        <f t="shared" si="4"/>
        <v>0</v>
      </c>
      <c r="G58" s="23">
        <f t="shared" si="4"/>
        <v>275.78340544236607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649.82817827836948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14022</v>
      </c>
      <c r="C8" s="537">
        <f>B48</f>
        <v>16496.470588235294</v>
      </c>
      <c r="D8" s="1014"/>
      <c r="E8" s="1014">
        <f>E48</f>
        <v>0</v>
      </c>
      <c r="F8" s="1015"/>
      <c r="G8" s="538"/>
      <c r="H8" s="1014">
        <f>I48</f>
        <v>0</v>
      </c>
      <c r="I8" s="1014">
        <f>G48+F48</f>
        <v>0</v>
      </c>
      <c r="J8" s="1014">
        <f>H48+D48+C48</f>
        <v>0</v>
      </c>
      <c r="K8" s="1014"/>
      <c r="L8" s="1014"/>
      <c r="M8" s="1014"/>
      <c r="N8" s="539"/>
      <c r="O8" s="540">
        <f>C8*$C$12+D8*$D$12+E8*$E$12+F8*$F$12+G8*$G$12+H8*$H$12+I8*$I$12+J8*$J$12</f>
        <v>3332.2870588235296</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14671.828178278369</v>
      </c>
      <c r="C10" s="550">
        <f t="shared" ref="C10:L10" si="0">SUM(C8:C9)</f>
        <v>16496.470588235294</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3332.2870588235296</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20031.428571428572</v>
      </c>
      <c r="C17" s="562">
        <f>B49</f>
        <v>23566.386554621851</v>
      </c>
      <c r="D17" s="563"/>
      <c r="E17" s="563">
        <f>E49</f>
        <v>0</v>
      </c>
      <c r="F17" s="1020"/>
      <c r="G17" s="564"/>
      <c r="H17" s="562">
        <f>I49</f>
        <v>0</v>
      </c>
      <c r="I17" s="563">
        <f>G49+F49</f>
        <v>0</v>
      </c>
      <c r="J17" s="563">
        <f>H49+D49+C49</f>
        <v>0</v>
      </c>
      <c r="K17" s="563"/>
      <c r="L17" s="563"/>
      <c r="M17" s="563"/>
      <c r="N17" s="1021"/>
      <c r="O17" s="565">
        <f>C17*$C$22+E17*$E$22+H17*$H$22+I17*$I$22+J17*$J$22+D17*$D$22+F17*$F$22+G17*$G$22+K17*$K$22+L17*$L$22</f>
        <v>4760.4100840336141</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20031.428571428572</v>
      </c>
      <c r="C20" s="549">
        <f>SUM(C17:C19)</f>
        <v>23566.386554621851</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4760.4100840336141</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11007</v>
      </c>
      <c r="C28" s="763">
        <v>2150</v>
      </c>
      <c r="D28" s="620"/>
      <c r="E28" s="619"/>
      <c r="F28" s="619"/>
      <c r="G28" s="619" t="s">
        <v>922</v>
      </c>
      <c r="H28" s="619" t="s">
        <v>923</v>
      </c>
      <c r="I28" s="619"/>
      <c r="J28" s="762"/>
      <c r="K28" s="762"/>
      <c r="L28" s="619" t="s">
        <v>924</v>
      </c>
      <c r="M28" s="619">
        <v>3116</v>
      </c>
      <c r="N28" s="619">
        <v>14022</v>
      </c>
      <c r="O28" s="619">
        <v>20031.428571428572</v>
      </c>
      <c r="P28" s="619">
        <v>40062.857142857145</v>
      </c>
      <c r="Q28" s="619">
        <v>0</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3116</v>
      </c>
      <c r="N29" s="577">
        <f>SUM(N28:N28)</f>
        <v>14022</v>
      </c>
      <c r="O29" s="577">
        <f>SUM(O28:O28)</f>
        <v>20031.428571428572</v>
      </c>
      <c r="P29" s="577">
        <f>SUM(P28:P28)</f>
        <v>40062.857142857145</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3116</v>
      </c>
      <c r="N32" s="582">
        <f>SUMIF($Z$28:$Z$28,"landbouw",N28:N28)</f>
        <v>14022</v>
      </c>
      <c r="O32" s="582">
        <f>SUMIF($Z$28:$Z$28,"landbouw",O28:O28)</f>
        <v>20031.428571428572</v>
      </c>
      <c r="P32" s="582">
        <f>SUMIF($Z$28:$Z$28,"landbouw",P28:P28)</f>
        <v>40062.857142857145</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16496.470588235294</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23566.386554621851</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2021-11-11T13:06:21Z</dcterms:modified>
</cp:coreProperties>
</file>