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54914FC-1B47-4A84-BD0C-37CBA5ABD64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I9" i="18" s="1"/>
  <c r="S46" i="18"/>
  <c r="E9" i="18" s="1"/>
  <c r="R46" i="18"/>
  <c r="Q46" i="18"/>
  <c r="P46" i="18"/>
  <c r="C9" i="18" s="1"/>
  <c r="O46" i="18"/>
  <c r="N46" i="18"/>
  <c r="B9" i="18" s="1"/>
  <c r="M46" i="18"/>
  <c r="W41" i="18"/>
  <c r="V41" i="18"/>
  <c r="U41" i="18"/>
  <c r="T41" i="18"/>
  <c r="S41" i="18"/>
  <c r="F6" i="17" s="1"/>
  <c r="R41" i="18"/>
  <c r="Q41" i="18"/>
  <c r="P41" i="18"/>
  <c r="O41" i="18"/>
  <c r="N41" i="18"/>
  <c r="M41" i="18"/>
  <c r="W40" i="18"/>
  <c r="V40" i="18"/>
  <c r="U40" i="18"/>
  <c r="T40" i="18"/>
  <c r="S40" i="18"/>
  <c r="F13" i="15" s="1"/>
  <c r="R40" i="18"/>
  <c r="Q40" i="18"/>
  <c r="P40" i="18"/>
  <c r="O40" i="18"/>
  <c r="C13" i="15" s="1"/>
  <c r="N40" i="18"/>
  <c r="M40" i="18"/>
  <c r="W39" i="18"/>
  <c r="V39" i="18"/>
  <c r="U39" i="18"/>
  <c r="T39" i="18"/>
  <c r="S39" i="18"/>
  <c r="R39" i="18"/>
  <c r="Q39" i="18"/>
  <c r="P39" i="18"/>
  <c r="O39" i="18"/>
  <c r="N39" i="18"/>
  <c r="M39" i="18"/>
  <c r="W38" i="18"/>
  <c r="V38" i="18"/>
  <c r="U38" i="18"/>
  <c r="T38" i="18"/>
  <c r="S38" i="18"/>
  <c r="R38" i="18"/>
  <c r="Q38" i="18"/>
  <c r="P38" i="18"/>
  <c r="O38" i="18"/>
  <c r="B17" i="18" s="1"/>
  <c r="N38" i="18"/>
  <c r="B8" i="18" s="1"/>
  <c r="M38"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55" i="18"/>
  <c r="C59" i="18" s="1"/>
  <c r="C6" i="17"/>
  <c r="J9" i="18"/>
  <c r="J77" i="14" s="1"/>
  <c r="J9" i="59" s="1"/>
  <c r="K20" i="18"/>
  <c r="L10" i="59"/>
  <c r="B16" i="16"/>
  <c r="C55" i="18"/>
  <c r="E5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9" i="18" l="1"/>
  <c r="H17" i="18" s="1"/>
  <c r="Q14" i="48"/>
  <c r="D59" i="18"/>
  <c r="H59" i="18"/>
  <c r="E59" i="18"/>
  <c r="E17" i="18" s="1"/>
  <c r="E20" i="18" s="1"/>
  <c r="G78" i="14"/>
  <c r="B58" i="18"/>
  <c r="C8" i="18" s="1"/>
  <c r="D76" i="14" s="1"/>
  <c r="D8" i="59" s="1"/>
  <c r="D10" i="59" s="1"/>
  <c r="H58" i="18"/>
  <c r="F58" i="18"/>
  <c r="C58" i="18"/>
  <c r="I58" i="18"/>
  <c r="H8" i="18" s="1"/>
  <c r="M76" i="14" s="1"/>
  <c r="D58" i="18"/>
  <c r="B59" i="18"/>
  <c r="C17" i="18" s="1"/>
  <c r="D87" i="14" s="1"/>
  <c r="D17" i="59" s="1"/>
  <c r="D20" i="59" s="1"/>
  <c r="F59" i="18"/>
  <c r="O9" i="18"/>
  <c r="G59" i="18"/>
  <c r="G5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6" i="22" s="1"/>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<sst xmlns="http://schemas.openxmlformats.org/spreadsheetml/2006/main" count="2561" uniqueCount="929">
  <si>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</si>
  <si>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</si>
  <si>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</si>
  <si>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</si>
  <si>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</si>
  <si>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</si>
  <si>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</si>
  <si>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</si>
  <si>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</si>
  <si>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</si>
  <si>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</si>
  <si>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</si>
  <si>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</si>
  <si>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</si>
  <si>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</si>
  <si>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</si>
  <si>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</si>
  <si>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</si>
  <si>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</si>
  <si>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</si>
  <si>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</si>
  <si>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</si>
  <si>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</si>
  <si>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</si>
  <si>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</si>
  <si>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</si>
  <si>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</si>
  <si>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</si>
  <si>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</si>
  <si>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</si>
  <si>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</si>
  <si>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</si>
  <si>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</si>
  <si>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</si>
  <si>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</si>
  <si>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</si>
  <si>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</si>
  <si>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</si>
  <si>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</si>
  <si>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</si>
  <si>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</si>
  <si>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</si>
  <si>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</si>
  <si>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</si>
  <si>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</si>
  <si>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</si>
  <si>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</si>
  <si>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</si>
  <si>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</si>
  <si>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</si>
  <si>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</si>
  <si>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</si>
  <si>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</si>
  <si>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</si>
  <si>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</si>
  <si>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</si>
  <si>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</si>
  <si>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</si>
  <si>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</si>
  <si>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</si>
  <si>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</si>
  <si>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</si>
  <si>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</si>
  <si>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</si>
  <si>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</si>
  <si>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</si>
  <si>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</si>
  <si>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</si>
  <si>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</si>
  <si>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</si>
  <si>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</si>
  <si>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</si>
  <si>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</si>
  <si>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</si>
  <si>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</si>
  <si>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</si>
  <si>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</si>
  <si>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</si>
  <si>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</si>
  <si>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</si>
  <si>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</si>
  <si>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</si>
  <si>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</si>
  <si>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</si>
  <si>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</si>
  <si>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</si>
  <si>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</si>
  <si>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</si>
  <si>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</si>
  <si>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</si>
  <si>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</si>
  <si>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</si>
  <si>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</si>
  <si>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</si>
  <si>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</si>
  <si>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</si>
  <si>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</si>
  <si>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</si>
  <si>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</si>
  <si>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</si>
  <si>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</si>
  <si>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</si>
  <si>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</si>
  <si>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</si>
  <si>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</si>
  <si>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</si>
  <si>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</si>
  <si>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</si>
  <si>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</si>
  <si>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</si>
  <si>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</si>
  <si>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</si>
  <si>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</si>
  <si>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</si>
  <si>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</si>
  <si>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</si>
  <si>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</si>
  <si>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</si>
  <si>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</si>
  <si>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</si>
  <si>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</si>
  <si>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</si>
  <si>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</si>
  <si>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</si>
  <si>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</si>
  <si>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</si>
  <si>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</si>
  <si>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</si>
  <si>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</si>
  <si>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</si>
  <si>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</si>
  <si>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</si>
  <si>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</si>
  <si>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</si>
  <si>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</si>
  <si>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</si>
  <si>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</si>
  <si>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</si>
  <si>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</si>
  <si>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</si>
  <si>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</si>
  <si>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</si>
  <si>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</si>
  <si>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</si>
  <si>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</si>
  <si>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</si>
  <si>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</si>
  <si>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</si>
  <si>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</si>
  <si>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</si>
  <si>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</si>
  <si>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</si>
  <si>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</si>
  <si>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</si>
  <si>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</si>
  <si>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</si>
  <si>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</si>
  <si>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</si>
  <si>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</si>
  <si>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</si>
  <si>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</si>
  <si>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</si>
  <si>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</si>
  <si>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</si>
  <si>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</si>
  <si>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</si>
  <si>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</si>
  <si>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</si>
  <si>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</si>
  <si>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</si>
  <si>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</si>
  <si>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</si>
  <si>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</si>
  <si>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</si>
  <si>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</si>
  <si>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</si>
  <si>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</si>
  <si>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</si>
  <si>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</si>
  <si>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</si>
  <si>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</si>
  <si>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</si>
  <si>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</si>
  <si>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</si>
  <si>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</si>
  <si>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</si>
  <si>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</si>
  <si>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</si>
  <si>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</si>
  <si>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</si>
  <si>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</si>
  <si>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</si>
  <si>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</si>
  <si>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</si>
  <si>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</si>
  <si>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</si>
  <si>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</si>
  <si>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</si>
  <si>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</si>
  <si>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</si>
  <si>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</si>
  <si>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</si>
  <si>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</si>
  <si>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</si>
  <si>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</si>
  <si>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</si>
  <si>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</si>
  <si>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</si>
  <si>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</si>
  <si>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</si>
  <si>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</si>
  <si>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</si>
  <si>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</si>
  <si>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</si>
  <si>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</si>
  <si>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</si>
  <si>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</si>
  <si>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</si>
  <si>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</si>
  <si>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</si>
  <si>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</si>
  <si>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</si>
  <si>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</si>
  <si>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</si>
  <si>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</si>
  <si>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</si>
  <si>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</si>
  <si>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</si>
  <si>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</si>
  <si>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</si>
  <si>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</si>
  <si>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</si>
  <si>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</si>
  <si>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</si>
  <si>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</si>
  <si>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</si>
  <si>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</si>
  <si>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</si>
  <si>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</si>
  <si>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</si>
  <si>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</si>
  <si>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</si>
  <si>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</si>
  <si>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</si>
  <si>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</si>
  <si>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</si>
  <si>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</si>
  <si>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</si>
  <si>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</si>
  <si>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</si>
  <si>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</si>
  <si>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</si>
  <si>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</si>
  <si>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</si>
  <si>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</si>
  <si>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</si>
  <si>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</si>
  <si>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</si>
  <si>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</si>
  <si>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</si>
  <si>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</si>
  <si>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</si>
  <si>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</si>
  <si>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</si>
  <si>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</si>
  <si>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</si>
  <si>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</si>
  <si>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</si>
  <si>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</si>
  <si>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</si>
  <si>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</si>
  <si>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</si>
  <si>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</si>
  <si>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</si>
  <si>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</si>
  <si>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</si>
  <si>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</si>
  <si>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</si>
  <si>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</si>
  <si>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</si>
  <si>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</si>
  <si>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</si>
  <si>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</si>
  <si>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</si>
  <si>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</si>
  <si>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</si>
  <si>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</si>
  <si>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</si>
  <si>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</si>
  <si>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</si>
  <si>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</si>
  <si>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</si>
  <si>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</si>
  <si>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</si>
  <si>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</si>
  <si>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</si>
  <si>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</si>
  <si>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</si>
  <si>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</si>
  <si>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</si>
  <si>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</si>
  <si>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</si>
  <si>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</si>
  <si>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</si>
  <si>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</si>
  <si>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</si>
  <si>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</si>
  <si>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</si>
  <si>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</si>
  <si>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</si>
  <si>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</si>
  <si>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</si>
  <si>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</si>
  <si>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</si>
  <si>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</si>
  <si>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</si>
  <si>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</si>
  <si>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</si>
  <si>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</si>
  <si>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</si>
  <si>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</si>
  <si>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</si>
  <si>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</si>
  <si>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</si>
  <si>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</si>
  <si>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</si>
  <si>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</si>
  <si>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</si>
  <si>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</si>
  <si>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</si>
  <si>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</si>
  <si>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</si>
  <si>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</si>
  <si>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</si>
  <si>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</si>
  <si>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</si>
  <si>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</si>
  <si>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</si>
  <si>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</si>
  <si>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</si>
  <si>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</si>
  <si>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</si>
  <si>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</si>
  <si>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</si>
  <si>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</si>
  <si>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</si>
  <si>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</si>
  <si>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</si>
  <si>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</si>
  <si>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</si>
  <si>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</si>
  <si>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</si>
  <si>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</si>
  <si>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</si>
  <si>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</si>
  <si>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</si>
  <si>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</si>
  <si>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</si>
  <si>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</si>
  <si>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</si>
  <si>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</si>
  <si>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</si>
  <si>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</si>
  <si>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</si>
  <si>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</si>
  <si>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</si>
  <si>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</si>
  <si>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</si>
  <si>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</si>
  <si>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</si>
  <si>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</si>
  <si>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</si>
  <si>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</si>
  <si>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</si>
  <si>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</si>
  <si>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</si>
  <si>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</si>
  <si>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</si>
  <si>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</si>
  <si>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</si>
  <si>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</si>
  <si>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</si>
  <si>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</si>
  <si>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</si>
  <si>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</si>
  <si>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</si>
  <si>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</si>
  <si>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</si>
  <si>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</si>
  <si>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</si>
  <si>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</si>
  <si>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</si>
  <si>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</si>
  <si>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</si>
  <si>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</si>
  <si>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</si>
  <si>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</si>
  <si>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</si>
  <si>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</si>
  <si>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</si>
  <si>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</si>
  <si>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</si>
  <si>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</si>
  <si>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</si>
  <si>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</si>
  <si>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</si>
  <si>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</si>
  <si>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</si>
  <si>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</si>
  <si>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</si>
  <si>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</si>
  <si>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</si>
  <si>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</si>
  <si>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</si>
  <si>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</si>
  <si>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</si>
  <si>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</si>
  <si>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</si>
  <si>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</si>
  <si>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</si>
  <si>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</si>
  <si>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</si>
  <si>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</si>
  <si>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</si>
  <si>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</si>
  <si>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</si>
  <si>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</si>
  <si>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</si>
  <si>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</si>
  <si>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</si>
  <si>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</si>
  <si>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</si>
  <si>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</si>
  <si>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</si>
  <si>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</si>
  <si>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</si>
  <si>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</si>
  <si>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</si>
  <si>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</si>
  <si>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</si>
  <si>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</si>
  <si>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</si>
  <si>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</si>
  <si>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</si>
  <si>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</si>
  <si>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</si>
  <si>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</si>
  <si>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</si>
  <si>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</si>
  <si>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</si>
  <si>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</si>
  <si>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</si>
  <si>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</si>
  <si>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</si>
  <si>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</si>
  <si>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</si>
  <si>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</si>
  <si>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</si>
  <si>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</si>
  <si>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</si>
  <si>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</si>
  <si>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</si>
  <si>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</si>
  <si>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</si>
  <si>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</si>
  <si>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</si>
  <si>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</si>
  <si>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</si>
  <si>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</si>
  <si>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</si>
  <si>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</si>
  <si>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</si>
  <si>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</si>
  <si>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</si>
  <si>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</si>
  <si>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</si>
  <si>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</si>
  <si>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</si>
  <si>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</si>
  <si>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</si>
  <si>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</si>
  <si>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</si>
  <si>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</si>
  <si>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</si>
  <si>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</si>
  <si>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</si>
  <si>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</si>
  <si>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</si>
  <si>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</si>
  <si>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</si>
  <si>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</si>
  <si>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</si>
  <si>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</si>
  <si>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</si>
  <si>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</si>
  <si>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</si>
  <si>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</si>
  <si>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</si>
  <si>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</si>
  <si>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</si>
  <si>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</si>
  <si>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</si>
  <si>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</si>
  <si>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</si>
  <si>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</si>
  <si>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</si>
  <si>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</si>
  <si>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</si>
  <si>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</si>
  <si>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</si>
  <si>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</si>
  <si>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</si>
  <si>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</si>
  <si>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</si>
  <si>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</si>
  <si>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</si>
  <si>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</si>
  <si>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</si>
  <si>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</si>
  <si>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</si>
  <si>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</si>
  <si>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</si>
  <si>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</si>
  <si>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</si>
  <si>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</si>
  <si>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</si>
  <si>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</si>
  <si>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</si>
  <si>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</si>
  <si>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</si>
  <si>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</si>
  <si>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</si>
  <si>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</si>
  <si>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</si>
  <si>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</si>
  <si>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</si>
  <si>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</si>
  <si>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</si>
  <si>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</si>
  <si>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</si>
  <si>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</si>
  <si>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</si>
  <si>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</si>
  <si>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</si>
  <si>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</si>
  <si>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</si>
  <si>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</si>
  <si>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</si>
  <si>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</si>
  <si>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</si>
  <si>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</si>
  <si>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</si>
  <si>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</si>
  <si>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</si>
  <si>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</si>
  <si>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</si>
  <si>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</si>
  <si>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</si>
  <si>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</si>
  <si>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</si>
  <si>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</si>
  <si>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</si>
  <si>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</si>
  <si>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</si>
  <si>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</si>
  <si>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</si>
  <si>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</si>
  <si>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</si>
  <si>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</si>
  <si>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</si>
  <si>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</si>
  <si>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</si>
  <si>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</si>
  <si>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</si>
  <si>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</si>
  <si>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</si>
  <si>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</si>
  <si>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</si>
  <si>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</si>
  <si>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</si>
  <si>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</si>
  <si>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</si>
  <si>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</si>
  <si>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</si>
  <si>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</si>
  <si>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</si>
  <si>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</si>
  <si>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</si>
  <si>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</si>
  <si>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</si>
  <si>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</si>
  <si>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</si>
  <si>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</si>
  <si>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</si>
  <si>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</si>
  <si>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</si>
  <si>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</si>
  <si>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</si>
  <si>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</si>
  <si>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</si>
  <si>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</si>
  <si>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</si>
  <si>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</si>
  <si>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</si>
  <si>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</si>
  <si>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</si>
  <si>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</si>
  <si>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</si>
  <si>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</si>
  <si>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</si>
  <si>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</si>
  <si>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</si>
  <si>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</si>
  <si>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</si>
  <si>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</si>
  <si>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</si>
  <si>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</si>
  <si>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</si>
  <si>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</si>
  <si>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</si>
  <si>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</si>
  <si>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</si>
  <si>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</si>
  <si>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</si>
  <si>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</si>
  <si>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</si>
  <si>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</si>
  <si>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</si>
  <si>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</si>
  <si>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</si>
  <si>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</si>
  <si>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</si>
  <si>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</si>
  <si>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</si>
  <si>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</si>
  <si>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</si>
  <si>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</si>
  <si>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</si>
  <si>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</si>
  <si>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</si>
  <si>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</si>
  <si>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</si>
  <si>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</si>
  <si>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</si>
  <si>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</si>
  <si>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</si>
  <si>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</si>
  <si>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</si>
  <si>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</si>
  <si>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</si>
  <si>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</si>
  <si>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</si>
  <si>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</si>
  <si>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</si>
  <si>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</si>
  <si>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</si>
  <si>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</si>
  <si>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</si>
  <si>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</si>
  <si>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</si>
  <si>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</si>
  <si>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</si>
  <si>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</si>
  <si>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</si>
  <si>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</si>
  <si>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</si>
  <si>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</si>
  <si>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</si>
  <si>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</si>
  <si>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</si>
  <si>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</si>
  <si>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</si>
  <si>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</si>
  <si>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</si>
  <si>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</si>
  <si>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</si>
  <si>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</si>
  <si>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</si>
  <si>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</si>
  <si>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</si>
  <si>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</si>
  <si>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</si>
  <si>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</si>
  <si>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</si>
  <si>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</si>
  <si>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</si>
  <si>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</si>
  <si>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</si>
  <si>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</si>
  <si>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</si>
  <si>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</si>
  <si>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</si>
  <si>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</si>
  <si>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</si>
  <si>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</si>
  <si>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</si>
  <si>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</si>
  <si>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</si>
  <si>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</si>
  <si>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</si>
  <si>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</si>
  <si>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</si>
  <si>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</si>
  <si>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</si>
  <si>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</si>
  <si>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</si>
  <si>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</si>
  <si>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</si>
  <si>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</si>
  <si>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</si>
  <si>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</si>
  <si>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</si>
  <si>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</si>
  <si>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</si>
  <si>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</si>
  <si>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</si>
  <si>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</si>
  <si>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</si>
  <si>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</si>
  <si>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</si>
  <si>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</si>
  <si>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</si>
  <si>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</si>
  <si>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</si>
  <si>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</si>
  <si>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</si>
  <si>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</si>
  <si>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</si>
  <si>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</si>
  <si>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</si>
  <si>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</si>
  <si>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</si>
  <si>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</si>
  <si>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</si>
  <si>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</si>
  <si>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</si>
  <si>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</si>
  <si>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</si>
  <si>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</si>
  <si>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</si>
  <si>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</si>
  <si>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</si>
  <si>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</si>
  <si>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</si>
  <si>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</si>
  <si>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</si>
  <si>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</si>
  <si>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</si>
  <si>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</si>
  <si>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</si>
  <si>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</si>
  <si>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</si>
  <si>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</si>
  <si>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</si>
  <si>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</si>
  <si>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</si>
  <si>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</si>
  <si>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</si>
  <si>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</si>
  <si>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</si>
  <si>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</si>
  <si>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</si>
  <si>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</si>
  <si>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</si>
  <si>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</si>
  <si>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</si>
  <si>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</si>
  <si>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</si>
  <si>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</si>
  <si>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</si>
  <si>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</si>
  <si>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</si>
  <si>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</si>
  <si>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</si>
  <si>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</si>
  <si>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</si>
  <si>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</si>
  <si>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</si>
  <si>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</si>
  <si>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</si>
  <si>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</si>
  <si>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</si>
  <si>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</si>
  <si>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</si>
  <si>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</si>
  <si>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</si>
  <si>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</si>
  <si>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</si>
  <si>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</si>
  <si>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</si>
  <si>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</si>
  <si>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</si>
  <si>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</si>
  <si>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</si>
  <si>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</si>
  <si>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</si>
  <si>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</si>
  <si>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</si>
  <si>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</si>
  <si>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</si>
  <si>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</si>
  <si>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</si>
  <si>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</si>
  <si>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</si>
  <si>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</si>
  <si>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</si>
  <si>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</si>
  <si>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</si>
  <si>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</si>
  <si>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</si>
  <si>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</si>
  <si>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</si>
  <si>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</si>
  <si>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</si>
  <si>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</si>
  <si>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</si>
  <si>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</si>
  <si>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</si>
  <si>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</si>
  <si>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</si>
  <si>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</si>
  <si>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</si>
  <si>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</si>
  <si>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</si>
  <si>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</si>
  <si>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</si>
  <si>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</si>
  <si>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</si>
  <si>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</si>
  <si>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</si>
  <si>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</si>
  <si>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</si>
  <si>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</si>
  <si>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</si>
  <si>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</si>
  <si>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</si>
  <si>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</si>
  <si>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</si>
  <si>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</si>
  <si>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</si>
  <si>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</si>
  <si>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</si>
  <si>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</si>
  <si>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</si>
  <si>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</si>
  <si>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</si>
  <si>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</si>
  <si>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</si>
  <si>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</si>
  <si>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</si>
  <si>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</si>
  <si>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</si>
  <si>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</si>
  <si>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</si>
  <si>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</si>
  <si>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</si>
  <si>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</si>
  <si>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</si>
  <si>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</si>
  <si>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</si>
  <si>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</si>
  <si>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</si>
  <si>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</si>
  <si>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</si>
  <si>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</si>
  <si>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</si>
  <si>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</si>
  <si>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</si>
  <si>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</si>
  <si>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</si>
  <si>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</si>
  <si>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</si>
  <si>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</si>
  <si>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</si>
  <si>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</si>
  <si>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</si>
  <si>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</si>
  <si>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</si>
  <si>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</si>
  <si>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</si>
  <si>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</si>
  <si>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</si>
  <si>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</si>
  <si>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</si>
  <si>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</si>
  <si>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</si>
  <si>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</si>
  <si>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</si>
  <si>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</si>
  <si>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</si>
  <si>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</si>
  <si>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</si>
  <si>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</si>
  <si>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</si>
  <si>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</si>
  <si>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</si>
  <si>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</si>
  <si>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</si>
  <si>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</si>
  <si>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</si>
  <si>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</si>
  <si>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</si>
  <si>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</si>
  <si>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</si>
  <si>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</si>
  <si>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</si>
  <si>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</si>
  <si>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</si>
  <si>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</si>
  <si>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</si>
  <si>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</si>
  <si>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</si>
  <si>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</si>
  <si>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</si>
  <si>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</si>
  <si>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</si>
  <si>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11002</t>
  </si>
  <si>
    <t>ANTWERPEN</t>
  </si>
  <si>
    <t>Paarden&amp;pony's 200 - 600 kg</t>
  </si>
  <si>
    <t>Paarden&amp;pony's &lt; 200 kg</t>
  </si>
  <si>
    <t>Fluvius</t>
  </si>
  <si>
    <t>referentietaak LNE (2017); Jaarverslag De Lijn</t>
  </si>
  <si>
    <t>interne verbrandingsmotor</t>
  </si>
  <si>
    <t>WKK interne verbrandinsgmotor (gas)</t>
  </si>
  <si>
    <t>IMEA</t>
  </si>
  <si>
    <t>IVEG</t>
  </si>
  <si>
    <t>biogas - RWZI</t>
  </si>
  <si>
    <t>niet WKK interne verbrandingsmotor (gas)</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</si>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</sst>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3755DDF-FDA9-40F1-A03E-A50DA296827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3957334.0051497705</c:v>
                </c:pt>
                <c:pt idx="1">
                  <c:v>2797589.5477863266</c:v>
                </c:pt>
                <c:pt idx="2">
                  <c:v>29431.967000000001</c:v>
                </c:pt>
                <c:pt idx="3">
                  <c:v>104228.62186412943</c:v>
                </c:pt>
                <c:pt idx="4">
                  <c:v>985752.59457424574</c:v>
                </c:pt>
                <c:pt idx="5">
                  <c:v>2921652.4455002616</c:v>
                </c:pt>
                <c:pt idx="6">
                  <c:v>84114.132764089896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3957334.0051497705</c:v>
                </c:pt>
                <c:pt idx="1">
                  <c:v>2797589.5477863266</c:v>
                </c:pt>
                <c:pt idx="2">
                  <c:v>29431.967000000001</c:v>
                </c:pt>
                <c:pt idx="3">
                  <c:v>104228.62186412943</c:v>
                </c:pt>
                <c:pt idx="4">
                  <c:v>985752.59457424574</c:v>
                </c:pt>
                <c:pt idx="5">
                  <c:v>2921652.4455002616</c:v>
                </c:pt>
                <c:pt idx="6">
                  <c:v>84114.132764089896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821575.57159340999</c:v>
                </c:pt>
                <c:pt idx="2">
                  <c:v>581555.06705973286</c:v>
                </c:pt>
                <c:pt idx="3">
                  <c:v>6107.229462287055</c:v>
                </c:pt>
                <c:pt idx="4">
                  <c:v>25464.963530239995</c:v>
                </c:pt>
                <c:pt idx="5">
                  <c:v>207180.69419274063</c:v>
                </c:pt>
                <c:pt idx="6">
                  <c:v>733032.48791722115</c:v>
                </c:pt>
                <c:pt idx="7">
                  <c:v>19717.139843942819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821575.57159340999</c:v>
                </c:pt>
                <c:pt idx="2">
                  <c:v>581555.06705973286</c:v>
                </c:pt>
                <c:pt idx="3">
                  <c:v>6107.229462287055</c:v>
                </c:pt>
                <c:pt idx="4">
                  <c:v>25464.963530239995</c:v>
                </c:pt>
                <c:pt idx="5">
                  <c:v>207180.69419274063</c:v>
                </c:pt>
                <c:pt idx="6">
                  <c:v>733032.48791722115</c:v>
                </c:pt>
                <c:pt idx="7">
                  <c:v>19717.139843942819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11002</v>
      </c>
      <c r="B6" s="383"/>
      <c r="C6" s="384"/>
    </row>
    <row r="7" spans="1:7" s="381" customFormat="1" ht="15.75" customHeight="1">
      <c r="A7" s="385" t="str">
        <f>txtMunicipality</f>
        <v>ANTWERPEN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1229048.3318751613</v>
      </c>
      <c r="D10" s="983">
        <f ca="1">tertiair!C16</f>
        <v>10273.125</v>
      </c>
      <c r="E10" s="983">
        <f ca="1">tertiair!D16</f>
        <v>1405795.4320636468</v>
      </c>
      <c r="F10" s="983">
        <f>tertiair!E16</f>
        <v>9215.7108102972506</v>
      </c>
      <c r="G10" s="983">
        <f ca="1">tertiair!F16</f>
        <v>165268.6302974179</v>
      </c>
      <c r="H10" s="983">
        <f>tertiair!G16</f>
        <v>0</v>
      </c>
      <c r="I10" s="983">
        <f>tertiair!H16</f>
        <v>0</v>
      </c>
      <c r="J10" s="983">
        <f>tertiair!I16</f>
        <v>0</v>
      </c>
      <c r="K10" s="983">
        <f>tertiair!J16</f>
        <v>0</v>
      </c>
      <c r="L10" s="983">
        <f>tertiair!K16</f>
        <v>0</v>
      </c>
      <c r="M10" s="983">
        <f ca="1">tertiair!L16</f>
        <v>0</v>
      </c>
      <c r="N10" s="983">
        <f>tertiair!M16</f>
        <v>0</v>
      </c>
      <c r="O10" s="983">
        <f ca="1">tertiair!N16</f>
        <v>6635.731406470426</v>
      </c>
      <c r="P10" s="983">
        <f>tertiair!O16</f>
        <v>21.88666666666667</v>
      </c>
      <c r="Q10" s="984">
        <f>tertiair!P16</f>
        <v>762.66666666666674</v>
      </c>
      <c r="R10" s="667">
        <f ca="1">SUM(C10:Q10)</f>
        <v>2827021.5147863263</v>
      </c>
      <c r="S10" s="67"/>
    </row>
    <row r="11" spans="1:19" s="440" customFormat="1">
      <c r="A11" s="776" t="s">
        <v>214</v>
      </c>
      <c r="B11" s="781"/>
      <c r="C11" s="983">
        <f>huishoudens!B8</f>
        <v>672316.55226806435</v>
      </c>
      <c r="D11" s="983">
        <f>huishoudens!C8</f>
        <v>0</v>
      </c>
      <c r="E11" s="983">
        <f>huishoudens!D8</f>
        <v>1935842.1270740563</v>
      </c>
      <c r="F11" s="983">
        <f>huishoudens!E8</f>
        <v>32661.396816294706</v>
      </c>
      <c r="G11" s="983">
        <f>huishoudens!F8</f>
        <v>1030365.1723556812</v>
      </c>
      <c r="H11" s="983">
        <f>huishoudens!G8</f>
        <v>0</v>
      </c>
      <c r="I11" s="983">
        <f>huishoudens!H8</f>
        <v>0</v>
      </c>
      <c r="J11" s="983">
        <f>huishoudens!I8</f>
        <v>0</v>
      </c>
      <c r="K11" s="983">
        <f>huishoudens!J8</f>
        <v>24028.076895834642</v>
      </c>
      <c r="L11" s="983">
        <f>huishoudens!K8</f>
        <v>0</v>
      </c>
      <c r="M11" s="983">
        <f>huishoudens!L8</f>
        <v>0</v>
      </c>
      <c r="N11" s="983">
        <f>huishoudens!M8</f>
        <v>0</v>
      </c>
      <c r="O11" s="983">
        <f>huishoudens!N8</f>
        <v>260093.67307317234</v>
      </c>
      <c r="P11" s="983">
        <f>huishoudens!O8</f>
        <v>997.40666666666664</v>
      </c>
      <c r="Q11" s="984">
        <f>huishoudens!P8</f>
        <v>1029.5999999999999</v>
      </c>
      <c r="R11" s="667">
        <f>SUM(C11:Q11)</f>
        <v>3957334.0051497705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334332.77194000001</v>
      </c>
      <c r="D13" s="983">
        <f>industrie!C18</f>
        <v>5181.4285714285716</v>
      </c>
      <c r="E13" s="983">
        <f>industrie!D18</f>
        <v>268534.60513743875</v>
      </c>
      <c r="F13" s="983">
        <f>industrie!E18</f>
        <v>18916.280409622934</v>
      </c>
      <c r="G13" s="983">
        <f>industrie!F18</f>
        <v>288455.96829229902</v>
      </c>
      <c r="H13" s="983">
        <f>industrie!G18</f>
        <v>0</v>
      </c>
      <c r="I13" s="983">
        <f>industrie!H18</f>
        <v>0</v>
      </c>
      <c r="J13" s="983">
        <f>industrie!I18</f>
        <v>0</v>
      </c>
      <c r="K13" s="983">
        <f>industrie!J18</f>
        <v>2877.0319145416179</v>
      </c>
      <c r="L13" s="983">
        <f>industrie!K18</f>
        <v>0</v>
      </c>
      <c r="M13" s="983">
        <f>industrie!L18</f>
        <v>0</v>
      </c>
      <c r="N13" s="983">
        <f>industrie!M18</f>
        <v>0</v>
      </c>
      <c r="O13" s="983">
        <f>industrie!N18</f>
        <v>67454.508308914941</v>
      </c>
      <c r="P13" s="983">
        <f>industrie!O18</f>
        <v>0</v>
      </c>
      <c r="Q13" s="984">
        <f>industrie!P18</f>
        <v>0</v>
      </c>
      <c r="R13" s="667">
        <f>SUM(C13:Q13)</f>
        <v>985752.59457424574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2235697.6560832257</v>
      </c>
      <c r="D16" s="699">
        <f t="shared" ref="D16:R16" ca="1" si="0">SUM(D9:D15)</f>
        <v>15454.553571428572</v>
      </c>
      <c r="E16" s="699">
        <f t="shared" ca="1" si="0"/>
        <v>3610172.1642751414</v>
      </c>
      <c r="F16" s="699">
        <f t="shared" si="0"/>
        <v>60793.388036214892</v>
      </c>
      <c r="G16" s="699">
        <f t="shared" ca="1" si="0"/>
        <v>1484089.7709453981</v>
      </c>
      <c r="H16" s="699">
        <f t="shared" si="0"/>
        <v>0</v>
      </c>
      <c r="I16" s="699">
        <f t="shared" si="0"/>
        <v>0</v>
      </c>
      <c r="J16" s="699">
        <f t="shared" si="0"/>
        <v>0</v>
      </c>
      <c r="K16" s="699">
        <f t="shared" si="0"/>
        <v>26905.108810376259</v>
      </c>
      <c r="L16" s="699">
        <f t="shared" si="0"/>
        <v>0</v>
      </c>
      <c r="M16" s="699">
        <f t="shared" ca="1" si="0"/>
        <v>0</v>
      </c>
      <c r="N16" s="699">
        <f t="shared" si="0"/>
        <v>0</v>
      </c>
      <c r="O16" s="699">
        <f t="shared" ca="1" si="0"/>
        <v>334183.9127885577</v>
      </c>
      <c r="P16" s="699">
        <f t="shared" si="0"/>
        <v>1019.2933333333333</v>
      </c>
      <c r="Q16" s="699">
        <f t="shared" si="0"/>
        <v>1792.2666666666667</v>
      </c>
      <c r="R16" s="699">
        <f t="shared" ca="1" si="0"/>
        <v>7770108.1145103425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33779.537379410714</v>
      </c>
      <c r="D19" s="983">
        <f>transport!C54</f>
        <v>0</v>
      </c>
      <c r="E19" s="983">
        <f>transport!D54</f>
        <v>0</v>
      </c>
      <c r="F19" s="983">
        <f>transport!E54</f>
        <v>0</v>
      </c>
      <c r="G19" s="983">
        <f>transport!F54</f>
        <v>0</v>
      </c>
      <c r="H19" s="983">
        <f>transport!G54</f>
        <v>47594.664050330604</v>
      </c>
      <c r="I19" s="983">
        <f>transport!H54</f>
        <v>0</v>
      </c>
      <c r="J19" s="983">
        <f>transport!I54</f>
        <v>0</v>
      </c>
      <c r="K19" s="983">
        <f>transport!J54</f>
        <v>0</v>
      </c>
      <c r="L19" s="983">
        <f>transport!K54</f>
        <v>0</v>
      </c>
      <c r="M19" s="983">
        <f>transport!L54</f>
        <v>0</v>
      </c>
      <c r="N19" s="983">
        <f>transport!M54</f>
        <v>2739.9313343485787</v>
      </c>
      <c r="O19" s="983">
        <f>transport!N54</f>
        <v>0</v>
      </c>
      <c r="P19" s="983">
        <f>transport!O54</f>
        <v>0</v>
      </c>
      <c r="Q19" s="984">
        <f>transport!P54</f>
        <v>0</v>
      </c>
      <c r="R19" s="667">
        <f>SUM(C19:Q19)</f>
        <v>84114.132764089896</v>
      </c>
      <c r="S19" s="67"/>
    </row>
    <row r="20" spans="1:19" s="440" customFormat="1">
      <c r="A20" s="776" t="s">
        <v>296</v>
      </c>
      <c r="B20" s="781"/>
      <c r="C20" s="983">
        <f>transport!B14</f>
        <v>428.68366493814642</v>
      </c>
      <c r="D20" s="983">
        <f>transport!C14</f>
        <v>0</v>
      </c>
      <c r="E20" s="983">
        <f>transport!D14</f>
        <v>623.4495762980024</v>
      </c>
      <c r="F20" s="983">
        <f>transport!E14</f>
        <v>6775.2936006881773</v>
      </c>
      <c r="G20" s="983">
        <f>transport!F14</f>
        <v>0</v>
      </c>
      <c r="H20" s="983">
        <f>transport!G14</f>
        <v>2395234.7864547479</v>
      </c>
      <c r="I20" s="983">
        <f>transport!H14</f>
        <v>368481.59923206863</v>
      </c>
      <c r="J20" s="983">
        <f>transport!I14</f>
        <v>0</v>
      </c>
      <c r="K20" s="983">
        <f>transport!J14</f>
        <v>0</v>
      </c>
      <c r="L20" s="983">
        <f>transport!K14</f>
        <v>0</v>
      </c>
      <c r="M20" s="983">
        <f>transport!L14</f>
        <v>0</v>
      </c>
      <c r="N20" s="983">
        <f>transport!M14</f>
        <v>150108.63297152042</v>
      </c>
      <c r="O20" s="983">
        <f>transport!N14</f>
        <v>0</v>
      </c>
      <c r="P20" s="983">
        <f>transport!O14</f>
        <v>0</v>
      </c>
      <c r="Q20" s="984">
        <f>transport!P14</f>
        <v>0</v>
      </c>
      <c r="R20" s="667">
        <f>SUM(C20:Q20)</f>
        <v>2921652.4455002616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34208.221044348858</v>
      </c>
      <c r="D22" s="779">
        <f t="shared" ref="D22:R22" si="1">SUM(D18:D21)</f>
        <v>0</v>
      </c>
      <c r="E22" s="779">
        <f t="shared" si="1"/>
        <v>623.4495762980024</v>
      </c>
      <c r="F22" s="779">
        <f t="shared" si="1"/>
        <v>6775.2936006881773</v>
      </c>
      <c r="G22" s="779">
        <f t="shared" si="1"/>
        <v>0</v>
      </c>
      <c r="H22" s="779">
        <f t="shared" si="1"/>
        <v>2442829.4505050783</v>
      </c>
      <c r="I22" s="779">
        <f t="shared" si="1"/>
        <v>368481.59923206863</v>
      </c>
      <c r="J22" s="779">
        <f t="shared" si="1"/>
        <v>0</v>
      </c>
      <c r="K22" s="779">
        <f t="shared" si="1"/>
        <v>0</v>
      </c>
      <c r="L22" s="779">
        <f t="shared" si="1"/>
        <v>0</v>
      </c>
      <c r="M22" s="779">
        <f t="shared" si="1"/>
        <v>0</v>
      </c>
      <c r="N22" s="779">
        <f t="shared" si="1"/>
        <v>152848.56430586899</v>
      </c>
      <c r="O22" s="779">
        <f t="shared" si="1"/>
        <v>0</v>
      </c>
      <c r="P22" s="779">
        <f t="shared" si="1"/>
        <v>0</v>
      </c>
      <c r="Q22" s="779">
        <f t="shared" si="1"/>
        <v>0</v>
      </c>
      <c r="R22" s="779">
        <f t="shared" si="1"/>
        <v>3005766.5782643515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22741.204300000001</v>
      </c>
      <c r="D24" s="983">
        <f>+landbouw!C8</f>
        <v>0</v>
      </c>
      <c r="E24" s="983">
        <f>+landbouw!D8</f>
        <v>20091.531089166834</v>
      </c>
      <c r="F24" s="983">
        <f>+landbouw!E8</f>
        <v>210.63855911850723</v>
      </c>
      <c r="G24" s="983">
        <f>+landbouw!F8</f>
        <v>57698.767504073374</v>
      </c>
      <c r="H24" s="983">
        <f>+landbouw!G8</f>
        <v>0</v>
      </c>
      <c r="I24" s="983">
        <f>+landbouw!H8</f>
        <v>0</v>
      </c>
      <c r="J24" s="983">
        <f>+landbouw!I8</f>
        <v>0</v>
      </c>
      <c r="K24" s="983">
        <f>+landbouw!J8</f>
        <v>3486.4804117707063</v>
      </c>
      <c r="L24" s="983">
        <f>+landbouw!K8</f>
        <v>0</v>
      </c>
      <c r="M24" s="983">
        <f>+landbouw!L8</f>
        <v>0</v>
      </c>
      <c r="N24" s="983">
        <f>+landbouw!M8</f>
        <v>0</v>
      </c>
      <c r="O24" s="983">
        <f>+landbouw!N8</f>
        <v>0</v>
      </c>
      <c r="P24" s="983">
        <f>+landbouw!O8</f>
        <v>0</v>
      </c>
      <c r="Q24" s="984">
        <f>+landbouw!P8</f>
        <v>0</v>
      </c>
      <c r="R24" s="667">
        <f>SUM(C24:Q24)</f>
        <v>104228.62186412943</v>
      </c>
      <c r="S24" s="67"/>
    </row>
    <row r="25" spans="1:19" s="440" customFormat="1" ht="15" thickBot="1">
      <c r="A25" s="798" t="s">
        <v>829</v>
      </c>
      <c r="B25" s="986"/>
      <c r="C25" s="987">
        <f>IF(Onbekend_ele_kWh="---",0,Onbekend_ele_kWh)/1000+IF(REST_rest_ele_kWh="---",0,REST_rest_ele_kWh)/1000</f>
        <v>46032.928</v>
      </c>
      <c r="D25" s="987"/>
      <c r="E25" s="987">
        <f>IF(onbekend_gas_kWh="---",0,onbekend_gas_kWh)/1000+IF(REST_rest_gas_kWh="---",0,REST_rest_gas_kWh)/1000</f>
        <v>139573.68458969</v>
      </c>
      <c r="F25" s="987"/>
      <c r="G25" s="987"/>
      <c r="H25" s="987"/>
      <c r="I25" s="987"/>
      <c r="J25" s="987"/>
      <c r="K25" s="987"/>
      <c r="L25" s="987"/>
      <c r="M25" s="987"/>
      <c r="N25" s="987"/>
      <c r="O25" s="987"/>
      <c r="P25" s="987"/>
      <c r="Q25" s="988"/>
      <c r="R25" s="667">
        <f>SUM(C25:Q25)</f>
        <v>185606.61258969002</v>
      </c>
      <c r="S25" s="67"/>
    </row>
    <row r="26" spans="1:19" s="440" customFormat="1" ht="15.75" thickBot="1">
      <c r="A26" s="672" t="s">
        <v>830</v>
      </c>
      <c r="B26" s="784"/>
      <c r="C26" s="779">
        <f>SUM(C24:C25)</f>
        <v>68774.132299999997</v>
      </c>
      <c r="D26" s="779">
        <f t="shared" ref="D26:R26" si="2">SUM(D24:D25)</f>
        <v>0</v>
      </c>
      <c r="E26" s="779">
        <f t="shared" si="2"/>
        <v>159665.21567885682</v>
      </c>
      <c r="F26" s="779">
        <f t="shared" si="2"/>
        <v>210.63855911850723</v>
      </c>
      <c r="G26" s="779">
        <f t="shared" si="2"/>
        <v>57698.767504073374</v>
      </c>
      <c r="H26" s="779">
        <f t="shared" si="2"/>
        <v>0</v>
      </c>
      <c r="I26" s="779">
        <f t="shared" si="2"/>
        <v>0</v>
      </c>
      <c r="J26" s="779">
        <f t="shared" si="2"/>
        <v>0</v>
      </c>
      <c r="K26" s="779">
        <f t="shared" si="2"/>
        <v>3486.4804117707063</v>
      </c>
      <c r="L26" s="779">
        <f t="shared" si="2"/>
        <v>0</v>
      </c>
      <c r="M26" s="779">
        <f t="shared" si="2"/>
        <v>0</v>
      </c>
      <c r="N26" s="779">
        <f t="shared" si="2"/>
        <v>0</v>
      </c>
      <c r="O26" s="779">
        <f t="shared" si="2"/>
        <v>0</v>
      </c>
      <c r="P26" s="779">
        <f t="shared" si="2"/>
        <v>0</v>
      </c>
      <c r="Q26" s="779">
        <f t="shared" si="2"/>
        <v>0</v>
      </c>
      <c r="R26" s="779">
        <f t="shared" si="2"/>
        <v>289835.23445381946</v>
      </c>
      <c r="S26" s="67"/>
    </row>
    <row r="27" spans="1:19" s="440" customFormat="1" ht="17.25" thickTop="1" thickBot="1">
      <c r="A27" s="673" t="s">
        <v>109</v>
      </c>
      <c r="B27" s="772"/>
      <c r="C27" s="674">
        <f ca="1">C22+C16+C26</f>
        <v>2338680.0094275749</v>
      </c>
      <c r="D27" s="674">
        <f t="shared" ref="D27:R27" ca="1" si="3">D22+D16+D26</f>
        <v>15454.553571428572</v>
      </c>
      <c r="E27" s="674">
        <f t="shared" ca="1" si="3"/>
        <v>3770460.8295302959</v>
      </c>
      <c r="F27" s="674">
        <f t="shared" si="3"/>
        <v>67779.320196021581</v>
      </c>
      <c r="G27" s="674">
        <f t="shared" ca="1" si="3"/>
        <v>1541788.5384494716</v>
      </c>
      <c r="H27" s="674">
        <f t="shared" si="3"/>
        <v>2442829.4505050783</v>
      </c>
      <c r="I27" s="674">
        <f t="shared" si="3"/>
        <v>368481.59923206863</v>
      </c>
      <c r="J27" s="674">
        <f t="shared" si="3"/>
        <v>0</v>
      </c>
      <c r="K27" s="674">
        <f t="shared" si="3"/>
        <v>30391.589222146966</v>
      </c>
      <c r="L27" s="674">
        <f t="shared" si="3"/>
        <v>0</v>
      </c>
      <c r="M27" s="674">
        <f t="shared" ca="1" si="3"/>
        <v>0</v>
      </c>
      <c r="N27" s="674">
        <f t="shared" si="3"/>
        <v>152848.56430586899</v>
      </c>
      <c r="O27" s="674">
        <f t="shared" ca="1" si="3"/>
        <v>334183.9127885577</v>
      </c>
      <c r="P27" s="674">
        <f t="shared" si="3"/>
        <v>1019.2933333333333</v>
      </c>
      <c r="Q27" s="674">
        <f t="shared" si="3"/>
        <v>1792.2666666666667</v>
      </c>
      <c r="R27" s="674">
        <f t="shared" ca="1" si="3"/>
        <v>11065709.927228514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255031.5506606386</v>
      </c>
      <c r="D40" s="983">
        <f ca="1">tertiair!C20</f>
        <v>2441.3779411764708</v>
      </c>
      <c r="E40" s="983">
        <f ca="1">tertiair!D20</f>
        <v>283970.67727685667</v>
      </c>
      <c r="F40" s="983">
        <f>tertiair!E20</f>
        <v>2091.966353937476</v>
      </c>
      <c r="G40" s="983">
        <f ca="1">tertiair!F20</f>
        <v>44126.72428941058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587662.2965220199</v>
      </c>
    </row>
    <row r="41" spans="1:18">
      <c r="A41" s="789" t="s">
        <v>214</v>
      </c>
      <c r="B41" s="796"/>
      <c r="C41" s="983">
        <f ca="1">huishoudens!B12</f>
        <v>139507.8846070593</v>
      </c>
      <c r="D41" s="983">
        <f ca="1">huishoudens!C12</f>
        <v>0</v>
      </c>
      <c r="E41" s="983">
        <f>huishoudens!D12</f>
        <v>391040.1096689594</v>
      </c>
      <c r="F41" s="983">
        <f>huishoudens!E12</f>
        <v>7414.1370772988985</v>
      </c>
      <c r="G41" s="983">
        <f>huishoudens!F12</f>
        <v>275107.5010189669</v>
      </c>
      <c r="H41" s="983">
        <f>huishoudens!G12</f>
        <v>0</v>
      </c>
      <c r="I41" s="983">
        <f>huishoudens!H12</f>
        <v>0</v>
      </c>
      <c r="J41" s="983">
        <f>huishoudens!I12</f>
        <v>0</v>
      </c>
      <c r="K41" s="983">
        <f>huishoudens!J12</f>
        <v>8505.9392211254635</v>
      </c>
      <c r="L41" s="983">
        <f>huishoudens!K12</f>
        <v>0</v>
      </c>
      <c r="M41" s="983">
        <f>huishoudens!L12</f>
        <v>0</v>
      </c>
      <c r="N41" s="983">
        <f>huishoudens!M12</f>
        <v>0</v>
      </c>
      <c r="O41" s="983">
        <f>huishoudens!N12</f>
        <v>0</v>
      </c>
      <c r="P41" s="983">
        <f>huishoudens!O12</f>
        <v>0</v>
      </c>
      <c r="Q41" s="741">
        <f>huishoudens!P12</f>
        <v>0</v>
      </c>
      <c r="R41" s="817">
        <f t="shared" ca="1" si="4"/>
        <v>821575.57159340999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69375.144209697799</v>
      </c>
      <c r="D43" s="983">
        <f ca="1">industrie!C22</f>
        <v>1231.3512605042017</v>
      </c>
      <c r="E43" s="983">
        <f>industrie!D22</f>
        <v>54243.990237762628</v>
      </c>
      <c r="F43" s="983">
        <f>industrie!E22</f>
        <v>4293.9956529844058</v>
      </c>
      <c r="G43" s="983">
        <f>industrie!F22</f>
        <v>77017.743534043839</v>
      </c>
      <c r="H43" s="983">
        <f>industrie!G22</f>
        <v>0</v>
      </c>
      <c r="I43" s="983">
        <f>industrie!H22</f>
        <v>0</v>
      </c>
      <c r="J43" s="983">
        <f>industrie!I22</f>
        <v>0</v>
      </c>
      <c r="K43" s="983">
        <f>industrie!J22</f>
        <v>1018.4692977477326</v>
      </c>
      <c r="L43" s="983">
        <f>industrie!K22</f>
        <v>0</v>
      </c>
      <c r="M43" s="983">
        <f>industrie!L22</f>
        <v>0</v>
      </c>
      <c r="N43" s="983">
        <f>industrie!M22</f>
        <v>0</v>
      </c>
      <c r="O43" s="983">
        <f>industrie!N22</f>
        <v>0</v>
      </c>
      <c r="P43" s="983">
        <f>industrie!O22</f>
        <v>0</v>
      </c>
      <c r="Q43" s="741">
        <f>industrie!P22</f>
        <v>0</v>
      </c>
      <c r="R43" s="816">
        <f t="shared" ca="1" si="4"/>
        <v>207180.69419274063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463914.57947739569</v>
      </c>
      <c r="D46" s="699">
        <f t="shared" ref="D46:Q46" ca="1" si="5">SUM(D39:D45)</f>
        <v>3672.7292016806723</v>
      </c>
      <c r="E46" s="699">
        <f t="shared" ca="1" si="5"/>
        <v>729254.77718357882</v>
      </c>
      <c r="F46" s="699">
        <f t="shared" si="5"/>
        <v>13800.099084220779</v>
      </c>
      <c r="G46" s="699">
        <f t="shared" ca="1" si="5"/>
        <v>396251.96884242131</v>
      </c>
      <c r="H46" s="699">
        <f t="shared" si="5"/>
        <v>0</v>
      </c>
      <c r="I46" s="699">
        <f t="shared" si="5"/>
        <v>0</v>
      </c>
      <c r="J46" s="699">
        <f t="shared" si="5"/>
        <v>0</v>
      </c>
      <c r="K46" s="699">
        <f t="shared" si="5"/>
        <v>9524.408518873197</v>
      </c>
      <c r="L46" s="699">
        <f t="shared" si="5"/>
        <v>0</v>
      </c>
      <c r="M46" s="699">
        <f t="shared" ca="1" si="5"/>
        <v>0</v>
      </c>
      <c r="N46" s="699">
        <f t="shared" si="5"/>
        <v>0</v>
      </c>
      <c r="O46" s="699">
        <f t="shared" ca="1" si="5"/>
        <v>0</v>
      </c>
      <c r="P46" s="699">
        <f t="shared" si="5"/>
        <v>0</v>
      </c>
      <c r="Q46" s="699">
        <f t="shared" si="5"/>
        <v>0</v>
      </c>
      <c r="R46" s="699">
        <f ca="1">SUM(R39:R45)</f>
        <v>1616418.5623081704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7009.3645425045479</v>
      </c>
      <c r="D49" s="983">
        <f ca="1">transport!C58</f>
        <v>0</v>
      </c>
      <c r="E49" s="983">
        <f>transport!D58</f>
        <v>0</v>
      </c>
      <c r="F49" s="983">
        <f>transport!E58</f>
        <v>0</v>
      </c>
      <c r="G49" s="983">
        <f>transport!F58</f>
        <v>0</v>
      </c>
      <c r="H49" s="983">
        <f>transport!G58</f>
        <v>12707.775301438272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19717.139843942819</v>
      </c>
    </row>
    <row r="50" spans="1:18">
      <c r="A50" s="792" t="s">
        <v>296</v>
      </c>
      <c r="B50" s="802"/>
      <c r="C50" s="670">
        <f ca="1">transport!B18</f>
        <v>88.953263249834436</v>
      </c>
      <c r="D50" s="670">
        <f>transport!C18</f>
        <v>0</v>
      </c>
      <c r="E50" s="670">
        <f>transport!D18</f>
        <v>125.9368144121965</v>
      </c>
      <c r="F50" s="670">
        <f>transport!E18</f>
        <v>1537.9916473562164</v>
      </c>
      <c r="G50" s="670">
        <f>transport!F18</f>
        <v>0</v>
      </c>
      <c r="H50" s="670">
        <f>transport!G18</f>
        <v>639527.68798341777</v>
      </c>
      <c r="I50" s="670">
        <f>transport!H18</f>
        <v>91751.918208785093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733032.48791722115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7098.3178057543828</v>
      </c>
      <c r="D52" s="699">
        <f t="shared" ref="D52:Q52" ca="1" si="6">SUM(D48:D51)</f>
        <v>0</v>
      </c>
      <c r="E52" s="699">
        <f t="shared" si="6"/>
        <v>125.9368144121965</v>
      </c>
      <c r="F52" s="699">
        <f t="shared" si="6"/>
        <v>1537.9916473562164</v>
      </c>
      <c r="G52" s="699">
        <f t="shared" si="6"/>
        <v>0</v>
      </c>
      <c r="H52" s="699">
        <f t="shared" si="6"/>
        <v>652235.46328485606</v>
      </c>
      <c r="I52" s="699">
        <f t="shared" si="6"/>
        <v>91751.918208785093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752749.62776116398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4718.874307953969</v>
      </c>
      <c r="D54" s="670">
        <f ca="1">+landbouw!C12</f>
        <v>0</v>
      </c>
      <c r="E54" s="670">
        <f>+landbouw!D12</f>
        <v>4058.4892800117009</v>
      </c>
      <c r="F54" s="670">
        <f>+landbouw!E12</f>
        <v>47.814952919901145</v>
      </c>
      <c r="G54" s="670">
        <f>+landbouw!F12</f>
        <v>15405.570923587591</v>
      </c>
      <c r="H54" s="670">
        <f>+landbouw!G12</f>
        <v>0</v>
      </c>
      <c r="I54" s="670">
        <f>+landbouw!H12</f>
        <v>0</v>
      </c>
      <c r="J54" s="670">
        <f>+landbouw!I12</f>
        <v>0</v>
      </c>
      <c r="K54" s="670">
        <f>+landbouw!J12</f>
        <v>1234.2140657668299</v>
      </c>
      <c r="L54" s="670">
        <f>+landbouw!K12</f>
        <v>0</v>
      </c>
      <c r="M54" s="670">
        <f>+landbouw!L12</f>
        <v>0</v>
      </c>
      <c r="N54" s="670">
        <f>+landbouw!M12</f>
        <v>0</v>
      </c>
      <c r="O54" s="670">
        <f>+landbouw!N12</f>
        <v>0</v>
      </c>
      <c r="P54" s="670">
        <f>+landbouw!O12</f>
        <v>0</v>
      </c>
      <c r="Q54" s="671">
        <f>+landbouw!P12</f>
        <v>0</v>
      </c>
      <c r="R54" s="698">
        <f ca="1">SUM(C54:Q54)</f>
        <v>25464.963530239995</v>
      </c>
    </row>
    <row r="55" spans="1:18" ht="15" thickBot="1">
      <c r="A55" s="792" t="s">
        <v>829</v>
      </c>
      <c r="B55" s="802"/>
      <c r="C55" s="670">
        <f ca="1">C25*'EF ele_warmte'!B12</f>
        <v>9551.9831928643671</v>
      </c>
      <c r="D55" s="670"/>
      <c r="E55" s="670">
        <f>E25*EF_CO2_aardgas</f>
        <v>28193.884287117384</v>
      </c>
      <c r="F55" s="670"/>
      <c r="G55" s="670"/>
      <c r="H55" s="670"/>
      <c r="I55" s="670"/>
      <c r="J55" s="670"/>
      <c r="K55" s="670"/>
      <c r="L55" s="670"/>
      <c r="M55" s="670"/>
      <c r="N55" s="670"/>
      <c r="O55" s="670"/>
      <c r="P55" s="670"/>
      <c r="Q55" s="671"/>
      <c r="R55" s="698">
        <f ca="1">SUM(C55:Q55)</f>
        <v>37745.867479981753</v>
      </c>
    </row>
    <row r="56" spans="1:18" ht="15.75" thickBot="1">
      <c r="A56" s="790" t="s">
        <v>830</v>
      </c>
      <c r="B56" s="803"/>
      <c r="C56" s="699">
        <f ca="1">SUM(C54:C55)</f>
        <v>14270.857500818336</v>
      </c>
      <c r="D56" s="699">
        <f t="shared" ref="D56:Q56" ca="1" si="7">SUM(D54:D55)</f>
        <v>0</v>
      </c>
      <c r="E56" s="699">
        <f t="shared" si="7"/>
        <v>32252.373567129085</v>
      </c>
      <c r="F56" s="699">
        <f t="shared" si="7"/>
        <v>47.814952919901145</v>
      </c>
      <c r="G56" s="699">
        <f t="shared" si="7"/>
        <v>15405.570923587591</v>
      </c>
      <c r="H56" s="699">
        <f t="shared" si="7"/>
        <v>0</v>
      </c>
      <c r="I56" s="699">
        <f t="shared" si="7"/>
        <v>0</v>
      </c>
      <c r="J56" s="699">
        <f t="shared" si="7"/>
        <v>0</v>
      </c>
      <c r="K56" s="699">
        <f t="shared" si="7"/>
        <v>1234.2140657668299</v>
      </c>
      <c r="L56" s="699">
        <f t="shared" si="7"/>
        <v>0</v>
      </c>
      <c r="M56" s="699">
        <f t="shared" si="7"/>
        <v>0</v>
      </c>
      <c r="N56" s="699">
        <f t="shared" si="7"/>
        <v>0</v>
      </c>
      <c r="O56" s="699">
        <f t="shared" si="7"/>
        <v>0</v>
      </c>
      <c r="P56" s="699">
        <f t="shared" si="7"/>
        <v>0</v>
      </c>
      <c r="Q56" s="700">
        <f t="shared" si="7"/>
        <v>0</v>
      </c>
      <c r="R56" s="701">
        <f ca="1">SUM(R54:R55)</f>
        <v>63210.831010221751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485283.75478396838</v>
      </c>
      <c r="D61" s="707">
        <f t="shared" ref="D61:Q61" ca="1" si="8">D46+D52+D56</f>
        <v>3672.7292016806723</v>
      </c>
      <c r="E61" s="707">
        <f t="shared" ca="1" si="8"/>
        <v>761633.08756512019</v>
      </c>
      <c r="F61" s="707">
        <f t="shared" si="8"/>
        <v>15385.905684496898</v>
      </c>
      <c r="G61" s="707">
        <f t="shared" ca="1" si="8"/>
        <v>411657.53976600891</v>
      </c>
      <c r="H61" s="707">
        <f t="shared" si="8"/>
        <v>652235.46328485606</v>
      </c>
      <c r="I61" s="707">
        <f t="shared" si="8"/>
        <v>91751.918208785093</v>
      </c>
      <c r="J61" s="707">
        <f t="shared" si="8"/>
        <v>0</v>
      </c>
      <c r="K61" s="707">
        <f t="shared" si="8"/>
        <v>10758.622584640027</v>
      </c>
      <c r="L61" s="707">
        <f t="shared" si="8"/>
        <v>0</v>
      </c>
      <c r="M61" s="707">
        <f t="shared" ca="1" si="8"/>
        <v>0</v>
      </c>
      <c r="N61" s="707">
        <f t="shared" si="8"/>
        <v>0</v>
      </c>
      <c r="O61" s="707">
        <f t="shared" ca="1" si="8"/>
        <v>0</v>
      </c>
      <c r="P61" s="707">
        <f t="shared" si="8"/>
        <v>0</v>
      </c>
      <c r="Q61" s="707">
        <f t="shared" si="8"/>
        <v>0</v>
      </c>
      <c r="R61" s="707">
        <f ca="1">R46+R52+R56</f>
        <v>2432379.0210795566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0.20750327228509918</v>
      </c>
      <c r="D63" s="748">
        <f t="shared" ca="1" si="9"/>
        <v>0.23764705882352941</v>
      </c>
      <c r="E63" s="994">
        <f t="shared" ca="1" si="9"/>
        <v>0.20200000000000012</v>
      </c>
      <c r="F63" s="748">
        <f t="shared" si="9"/>
        <v>0.22699999999999998</v>
      </c>
      <c r="G63" s="748">
        <f t="shared" ca="1" si="9"/>
        <v>0.26700000000000002</v>
      </c>
      <c r="H63" s="748">
        <f t="shared" si="9"/>
        <v>0.26700000000000007</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65610.176517411266</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58262.130284408042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10818.1875</v>
      </c>
      <c r="D76" s="1004">
        <f>'lokale energieproductie'!C8</f>
        <v>12727.279411764706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2570.9104411764706</v>
      </c>
      <c r="R76" s="819">
        <v>0</v>
      </c>
    </row>
    <row r="77" spans="1:18" ht="30.75" thickBot="1">
      <c r="A77" s="720" t="s">
        <v>340</v>
      </c>
      <c r="B77" s="717">
        <f>'lokale energieproductie'!B9*IFERROR(SUM(I77:O77)/SUM(D77:O77),0)</f>
        <v>19768.5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56481.428571428572</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143640.8068018193</v>
      </c>
      <c r="C78" s="722">
        <f>SUM(C72:C77)</f>
        <v>10818.1875</v>
      </c>
      <c r="D78" s="723">
        <f t="shared" ref="D78:H78" si="10">SUM(D76:D77)</f>
        <v>12727.279411764706</v>
      </c>
      <c r="E78" s="723">
        <f t="shared" si="10"/>
        <v>0</v>
      </c>
      <c r="F78" s="723">
        <f t="shared" si="10"/>
        <v>0</v>
      </c>
      <c r="G78" s="723">
        <f t="shared" si="10"/>
        <v>0</v>
      </c>
      <c r="H78" s="723">
        <f t="shared" si="10"/>
        <v>0</v>
      </c>
      <c r="I78" s="723">
        <f>SUM(I76:I77)</f>
        <v>0</v>
      </c>
      <c r="J78" s="723">
        <f>SUM(J76:J77)</f>
        <v>56481.428571428572</v>
      </c>
      <c r="K78" s="723">
        <f t="shared" ref="K78:L78" si="11">SUM(K76:K77)</f>
        <v>0</v>
      </c>
      <c r="L78" s="723">
        <f t="shared" si="11"/>
        <v>0</v>
      </c>
      <c r="M78" s="723">
        <f>SUM(M76:M77)</f>
        <v>0</v>
      </c>
      <c r="N78" s="723">
        <f>SUM(N76:N77)</f>
        <v>0</v>
      </c>
      <c r="O78" s="827">
        <f>SUM(O76:O77)</f>
        <v>0</v>
      </c>
      <c r="P78" s="724">
        <v>0</v>
      </c>
      <c r="Q78" s="724">
        <f>SUM(Q76:Q77)</f>
        <v>2570.9104411764706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15454.553571428572</v>
      </c>
      <c r="D87" s="744">
        <f>'lokale energieproductie'!C17</f>
        <v>18181.827731092439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3672.7292016806728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15454.553571428572</v>
      </c>
      <c r="D90" s="722">
        <f t="shared" ref="D90:H90" si="12">SUM(D87:D89)</f>
        <v>18181.827731092439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3672.7292016806728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672316.55226806435</v>
      </c>
      <c r="C4" s="444">
        <f>huishoudens!C8</f>
        <v>0</v>
      </c>
      <c r="D4" s="444">
        <f>huishoudens!D8</f>
        <v>1935842.1270740563</v>
      </c>
      <c r="E4" s="444">
        <f>huishoudens!E8</f>
        <v>32661.396816294706</v>
      </c>
      <c r="F4" s="444">
        <f>huishoudens!F8</f>
        <v>1030365.1723556812</v>
      </c>
      <c r="G4" s="444">
        <f>huishoudens!G8</f>
        <v>0</v>
      </c>
      <c r="H4" s="444">
        <f>huishoudens!H8</f>
        <v>0</v>
      </c>
      <c r="I4" s="444">
        <f>huishoudens!I8</f>
        <v>0</v>
      </c>
      <c r="J4" s="444">
        <f>huishoudens!J8</f>
        <v>24028.076895834642</v>
      </c>
      <c r="K4" s="444">
        <f>huishoudens!K8</f>
        <v>0</v>
      </c>
      <c r="L4" s="444">
        <f>huishoudens!L8</f>
        <v>0</v>
      </c>
      <c r="M4" s="444">
        <f>huishoudens!M8</f>
        <v>0</v>
      </c>
      <c r="N4" s="444">
        <f>huishoudens!N8</f>
        <v>260093.67307317234</v>
      </c>
      <c r="O4" s="444">
        <f>huishoudens!O8</f>
        <v>997.40666666666664</v>
      </c>
      <c r="P4" s="445">
        <f>huishoudens!P8</f>
        <v>1029.5999999999999</v>
      </c>
      <c r="Q4" s="446">
        <f>SUM(B4:P4)</f>
        <v>3957334.0051497705</v>
      </c>
    </row>
    <row r="5" spans="1:17">
      <c r="A5" s="443" t="s">
        <v>149</v>
      </c>
      <c r="B5" s="444">
        <f ca="1">tertiair!B16</f>
        <v>1199616.3648751613</v>
      </c>
      <c r="C5" s="444">
        <f ca="1">tertiair!C16</f>
        <v>10273.125</v>
      </c>
      <c r="D5" s="444">
        <f ca="1">tertiair!D16</f>
        <v>1405795.4320636468</v>
      </c>
      <c r="E5" s="444">
        <f>tertiair!E16</f>
        <v>9215.7108102972506</v>
      </c>
      <c r="F5" s="444">
        <f ca="1">tertiair!F16</f>
        <v>165268.6302974179</v>
      </c>
      <c r="G5" s="444">
        <f>tertiair!G16</f>
        <v>0</v>
      </c>
      <c r="H5" s="444">
        <f>tertiair!H16</f>
        <v>0</v>
      </c>
      <c r="I5" s="444">
        <f>tertiair!I16</f>
        <v>0</v>
      </c>
      <c r="J5" s="444">
        <f>tertiair!J16</f>
        <v>0</v>
      </c>
      <c r="K5" s="444">
        <f>tertiair!K16</f>
        <v>0</v>
      </c>
      <c r="L5" s="444">
        <f ca="1">tertiair!L16</f>
        <v>0</v>
      </c>
      <c r="M5" s="444">
        <f>tertiair!M16</f>
        <v>0</v>
      </c>
      <c r="N5" s="444">
        <f ca="1">tertiair!N16</f>
        <v>6635.731406470426</v>
      </c>
      <c r="O5" s="444">
        <f>tertiair!O16</f>
        <v>21.88666666666667</v>
      </c>
      <c r="P5" s="445">
        <f>tertiair!P16</f>
        <v>762.66666666666674</v>
      </c>
      <c r="Q5" s="443">
        <f t="shared" ref="Q5:Q14" ca="1" si="0">SUM(B5:P5)</f>
        <v>2797589.5477863266</v>
      </c>
    </row>
    <row r="6" spans="1:17">
      <c r="A6" s="443" t="s">
        <v>187</v>
      </c>
      <c r="B6" s="444">
        <f>'openbare verlichting'!B8</f>
        <v>29431.967000000001</v>
      </c>
      <c r="C6" s="444"/>
      <c r="D6" s="444"/>
      <c r="E6" s="444"/>
      <c r="F6" s="444"/>
      <c r="G6" s="444"/>
      <c r="H6" s="444"/>
      <c r="I6" s="444"/>
      <c r="J6" s="444"/>
      <c r="K6" s="444"/>
      <c r="L6" s="444"/>
      <c r="M6" s="444"/>
      <c r="N6" s="444"/>
      <c r="O6" s="444"/>
      <c r="P6" s="445"/>
      <c r="Q6" s="443">
        <f t="shared" si="0"/>
        <v>29431.967000000001</v>
      </c>
    </row>
    <row r="7" spans="1:17">
      <c r="A7" s="443" t="s">
        <v>105</v>
      </c>
      <c r="B7" s="444">
        <f>landbouw!B8</f>
        <v>22741.204300000001</v>
      </c>
      <c r="C7" s="444">
        <f>landbouw!C8</f>
        <v>0</v>
      </c>
      <c r="D7" s="444">
        <f>landbouw!D8</f>
        <v>20091.531089166834</v>
      </c>
      <c r="E7" s="444">
        <f>landbouw!E8</f>
        <v>210.63855911850723</v>
      </c>
      <c r="F7" s="444">
        <f>landbouw!F8</f>
        <v>57698.767504073374</v>
      </c>
      <c r="G7" s="444">
        <f>landbouw!G8</f>
        <v>0</v>
      </c>
      <c r="H7" s="444">
        <f>landbouw!H8</f>
        <v>0</v>
      </c>
      <c r="I7" s="444">
        <f>landbouw!I8</f>
        <v>0</v>
      </c>
      <c r="J7" s="444">
        <f>landbouw!J8</f>
        <v>3486.4804117707063</v>
      </c>
      <c r="K7" s="444">
        <f>landbouw!K8</f>
        <v>0</v>
      </c>
      <c r="L7" s="444">
        <f>landbouw!L8</f>
        <v>0</v>
      </c>
      <c r="M7" s="444">
        <f>landbouw!M8</f>
        <v>0</v>
      </c>
      <c r="N7" s="444">
        <f>landbouw!N8</f>
        <v>0</v>
      </c>
      <c r="O7" s="444">
        <f>landbouw!O8</f>
        <v>0</v>
      </c>
      <c r="P7" s="445">
        <f>landbouw!P8</f>
        <v>0</v>
      </c>
      <c r="Q7" s="443">
        <f t="shared" si="0"/>
        <v>104228.62186412943</v>
      </c>
    </row>
    <row r="8" spans="1:17">
      <c r="A8" s="443" t="s">
        <v>637</v>
      </c>
      <c r="B8" s="444">
        <f>industrie!B18</f>
        <v>334332.77194000001</v>
      </c>
      <c r="C8" s="444">
        <f>industrie!C18</f>
        <v>5181.4285714285716</v>
      </c>
      <c r="D8" s="444">
        <f>industrie!D18</f>
        <v>268534.60513743875</v>
      </c>
      <c r="E8" s="444">
        <f>industrie!E18</f>
        <v>18916.280409622934</v>
      </c>
      <c r="F8" s="444">
        <f>industrie!F18</f>
        <v>288455.96829229902</v>
      </c>
      <c r="G8" s="444">
        <f>industrie!G18</f>
        <v>0</v>
      </c>
      <c r="H8" s="444">
        <f>industrie!H18</f>
        <v>0</v>
      </c>
      <c r="I8" s="444">
        <f>industrie!I18</f>
        <v>0</v>
      </c>
      <c r="J8" s="444">
        <f>industrie!J18</f>
        <v>2877.0319145416179</v>
      </c>
      <c r="K8" s="444">
        <f>industrie!K18</f>
        <v>0</v>
      </c>
      <c r="L8" s="444">
        <f>industrie!L18</f>
        <v>0</v>
      </c>
      <c r="M8" s="444">
        <f>industrie!M18</f>
        <v>0</v>
      </c>
      <c r="N8" s="444">
        <f>industrie!N18</f>
        <v>67454.508308914941</v>
      </c>
      <c r="O8" s="444">
        <f>industrie!O18</f>
        <v>0</v>
      </c>
      <c r="P8" s="445">
        <f>industrie!P18</f>
        <v>0</v>
      </c>
      <c r="Q8" s="443">
        <f t="shared" si="0"/>
        <v>985752.59457424574</v>
      </c>
    </row>
    <row r="9" spans="1:17" s="449" customFormat="1">
      <c r="A9" s="447" t="s">
        <v>558</v>
      </c>
      <c r="B9" s="448">
        <f>transport!B14</f>
        <v>428.68366493814642</v>
      </c>
      <c r="C9" s="448">
        <f>transport!C14</f>
        <v>0</v>
      </c>
      <c r="D9" s="448">
        <f>transport!D14</f>
        <v>623.4495762980024</v>
      </c>
      <c r="E9" s="448">
        <f>transport!E14</f>
        <v>6775.2936006881773</v>
      </c>
      <c r="F9" s="448">
        <f>transport!F14</f>
        <v>0</v>
      </c>
      <c r="G9" s="448">
        <f>transport!G14</f>
        <v>2395234.7864547479</v>
      </c>
      <c r="H9" s="448">
        <f>transport!H14</f>
        <v>368481.59923206863</v>
      </c>
      <c r="I9" s="448">
        <f>transport!I14</f>
        <v>0</v>
      </c>
      <c r="J9" s="448">
        <f>transport!J14</f>
        <v>0</v>
      </c>
      <c r="K9" s="448">
        <f>transport!K14</f>
        <v>0</v>
      </c>
      <c r="L9" s="448">
        <f>transport!L14</f>
        <v>0</v>
      </c>
      <c r="M9" s="448">
        <f>transport!M14</f>
        <v>150108.63297152042</v>
      </c>
      <c r="N9" s="448">
        <f>transport!N14</f>
        <v>0</v>
      </c>
      <c r="O9" s="448">
        <f>transport!O14</f>
        <v>0</v>
      </c>
      <c r="P9" s="448">
        <f>transport!P14</f>
        <v>0</v>
      </c>
      <c r="Q9" s="447">
        <f>SUM(B9:P9)</f>
        <v>2921652.4455002616</v>
      </c>
    </row>
    <row r="10" spans="1:17">
      <c r="A10" s="443" t="s">
        <v>548</v>
      </c>
      <c r="B10" s="444">
        <f>transport!B54</f>
        <v>33779.537379410714</v>
      </c>
      <c r="C10" s="444">
        <f>transport!C54</f>
        <v>0</v>
      </c>
      <c r="D10" s="444">
        <f>transport!D54</f>
        <v>0</v>
      </c>
      <c r="E10" s="444">
        <f>transport!E54</f>
        <v>0</v>
      </c>
      <c r="F10" s="444">
        <f>transport!F54</f>
        <v>0</v>
      </c>
      <c r="G10" s="444">
        <f>transport!G54</f>
        <v>47594.664050330604</v>
      </c>
      <c r="H10" s="444">
        <f>transport!H54</f>
        <v>0</v>
      </c>
      <c r="I10" s="444">
        <f>transport!I54</f>
        <v>0</v>
      </c>
      <c r="J10" s="444">
        <f>transport!J54</f>
        <v>0</v>
      </c>
      <c r="K10" s="444">
        <f>transport!K54</f>
        <v>0</v>
      </c>
      <c r="L10" s="444">
        <f>transport!L54</f>
        <v>0</v>
      </c>
      <c r="M10" s="444">
        <f>transport!M54</f>
        <v>2739.9313343485787</v>
      </c>
      <c r="N10" s="444">
        <f>transport!N54</f>
        <v>0</v>
      </c>
      <c r="O10" s="444">
        <f>transport!O54</f>
        <v>0</v>
      </c>
      <c r="P10" s="445">
        <f>transport!P54</f>
        <v>0</v>
      </c>
      <c r="Q10" s="443">
        <f t="shared" si="0"/>
        <v>84114.132764089896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46032.928</v>
      </c>
      <c r="C14" s="451"/>
      <c r="D14" s="451">
        <f>'SEAP template'!E25</f>
        <v>139573.68458969</v>
      </c>
      <c r="E14" s="451"/>
      <c r="F14" s="451"/>
      <c r="G14" s="451"/>
      <c r="H14" s="451"/>
      <c r="I14" s="451"/>
      <c r="J14" s="451"/>
      <c r="K14" s="451"/>
      <c r="L14" s="451"/>
      <c r="M14" s="451"/>
      <c r="N14" s="451"/>
      <c r="O14" s="451"/>
      <c r="P14" s="452"/>
      <c r="Q14" s="443">
        <f t="shared" si="0"/>
        <v>185606.61258969002</v>
      </c>
    </row>
    <row r="15" spans="1:17" s="453" customFormat="1">
      <c r="A15" s="1009" t="s">
        <v>552</v>
      </c>
      <c r="B15" s="949">
        <f ca="1">SUM(B4:B14)</f>
        <v>2338680.009427574</v>
      </c>
      <c r="C15" s="949">
        <f t="shared" ref="C15:Q15" ca="1" si="1">SUM(C4:C14)</f>
        <v>15454.553571428572</v>
      </c>
      <c r="D15" s="949">
        <f t="shared" ca="1" si="1"/>
        <v>3770460.8295302964</v>
      </c>
      <c r="E15" s="949">
        <f t="shared" si="1"/>
        <v>67779.320196021581</v>
      </c>
      <c r="F15" s="949">
        <f t="shared" ca="1" si="1"/>
        <v>1541788.5384494716</v>
      </c>
      <c r="G15" s="949">
        <f t="shared" si="1"/>
        <v>2442829.4505050783</v>
      </c>
      <c r="H15" s="949">
        <f t="shared" si="1"/>
        <v>368481.59923206863</v>
      </c>
      <c r="I15" s="949">
        <f t="shared" si="1"/>
        <v>0</v>
      </c>
      <c r="J15" s="949">
        <f t="shared" si="1"/>
        <v>30391.589222146966</v>
      </c>
      <c r="K15" s="949">
        <f t="shared" si="1"/>
        <v>0</v>
      </c>
      <c r="L15" s="949">
        <f t="shared" ca="1" si="1"/>
        <v>0</v>
      </c>
      <c r="M15" s="949">
        <f t="shared" si="1"/>
        <v>152848.56430586899</v>
      </c>
      <c r="N15" s="949">
        <f t="shared" ca="1" si="1"/>
        <v>334183.9127885577</v>
      </c>
      <c r="O15" s="949">
        <f t="shared" si="1"/>
        <v>1019.2933333333333</v>
      </c>
      <c r="P15" s="949">
        <f t="shared" si="1"/>
        <v>1792.2666666666667</v>
      </c>
      <c r="Q15" s="949">
        <f t="shared" ca="1" si="1"/>
        <v>11065709.927228516</v>
      </c>
    </row>
    <row r="17" spans="1:17">
      <c r="A17" s="454" t="s">
        <v>553</v>
      </c>
      <c r="B17" s="753">
        <f ca="1">huishoudens!B10</f>
        <v>0.20750327228509921</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139507.8846070593</v>
      </c>
      <c r="C22" s="444">
        <f t="shared" ref="C22:C32" ca="1" si="3">C4*$C$17</f>
        <v>0</v>
      </c>
      <c r="D22" s="444">
        <f t="shared" ref="D22:D32" si="4">D4*$D$17</f>
        <v>391040.1096689594</v>
      </c>
      <c r="E22" s="444">
        <f t="shared" ref="E22:E32" si="5">E4*$E$17</f>
        <v>7414.1370772988985</v>
      </c>
      <c r="F22" s="444">
        <f t="shared" ref="F22:F32" si="6">F4*$F$17</f>
        <v>275107.5010189669</v>
      </c>
      <c r="G22" s="444">
        <f t="shared" ref="G22:G32" si="7">G4*$G$17</f>
        <v>0</v>
      </c>
      <c r="H22" s="444">
        <f t="shared" ref="H22:H32" si="8">H4*$H$17</f>
        <v>0</v>
      </c>
      <c r="I22" s="444">
        <f t="shared" ref="I22:I32" si="9">I4*$I$17</f>
        <v>0</v>
      </c>
      <c r="J22" s="444">
        <f t="shared" ref="J22:J32" si="10">J4*$J$17</f>
        <v>8505.9392211254635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821575.57159340999</v>
      </c>
    </row>
    <row r="23" spans="1:17">
      <c r="A23" s="443" t="s">
        <v>149</v>
      </c>
      <c r="B23" s="444">
        <f t="shared" ca="1" si="2"/>
        <v>248924.32119835154</v>
      </c>
      <c r="C23" s="444">
        <f t="shared" ca="1" si="3"/>
        <v>2441.3779411764708</v>
      </c>
      <c r="D23" s="444">
        <f t="shared" ca="1" si="4"/>
        <v>283970.67727685667</v>
      </c>
      <c r="E23" s="444">
        <f t="shared" si="5"/>
        <v>2091.966353937476</v>
      </c>
      <c r="F23" s="444">
        <f t="shared" ca="1" si="6"/>
        <v>44126.72428941058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581555.06705973286</v>
      </c>
    </row>
    <row r="24" spans="1:17">
      <c r="A24" s="443" t="s">
        <v>187</v>
      </c>
      <c r="B24" s="444">
        <f t="shared" ca="1" si="2"/>
        <v>6107.229462287055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6107.229462287055</v>
      </c>
    </row>
    <row r="25" spans="1:17">
      <c r="A25" s="443" t="s">
        <v>105</v>
      </c>
      <c r="B25" s="444">
        <f t="shared" ca="1" si="2"/>
        <v>4718.874307953969</v>
      </c>
      <c r="C25" s="444">
        <f t="shared" ca="1" si="3"/>
        <v>0</v>
      </c>
      <c r="D25" s="444">
        <f t="shared" si="4"/>
        <v>4058.4892800117009</v>
      </c>
      <c r="E25" s="444">
        <f t="shared" si="5"/>
        <v>47.814952919901145</v>
      </c>
      <c r="F25" s="444">
        <f t="shared" si="6"/>
        <v>15405.570923587591</v>
      </c>
      <c r="G25" s="444">
        <f t="shared" si="7"/>
        <v>0</v>
      </c>
      <c r="H25" s="444">
        <f t="shared" si="8"/>
        <v>0</v>
      </c>
      <c r="I25" s="444">
        <f t="shared" si="9"/>
        <v>0</v>
      </c>
      <c r="J25" s="444">
        <f t="shared" si="10"/>
        <v>1234.2140657668299</v>
      </c>
      <c r="K25" s="444">
        <f t="shared" si="11"/>
        <v>0</v>
      </c>
      <c r="L25" s="444">
        <f t="shared" si="12"/>
        <v>0</v>
      </c>
      <c r="M25" s="444">
        <f t="shared" si="13"/>
        <v>0</v>
      </c>
      <c r="N25" s="444">
        <f t="shared" si="14"/>
        <v>0</v>
      </c>
      <c r="O25" s="444">
        <f t="shared" si="15"/>
        <v>0</v>
      </c>
      <c r="P25" s="445">
        <f t="shared" si="16"/>
        <v>0</v>
      </c>
      <c r="Q25" s="443">
        <f t="shared" ca="1" si="17"/>
        <v>25464.963530239995</v>
      </c>
    </row>
    <row r="26" spans="1:17">
      <c r="A26" s="443" t="s">
        <v>637</v>
      </c>
      <c r="B26" s="444">
        <f t="shared" ca="1" si="2"/>
        <v>69375.144209697799</v>
      </c>
      <c r="C26" s="444">
        <f t="shared" ca="1" si="3"/>
        <v>1231.3512605042017</v>
      </c>
      <c r="D26" s="444">
        <f t="shared" si="4"/>
        <v>54243.990237762628</v>
      </c>
      <c r="E26" s="444">
        <f t="shared" si="5"/>
        <v>4293.9956529844058</v>
      </c>
      <c r="F26" s="444">
        <f t="shared" si="6"/>
        <v>77017.743534043839</v>
      </c>
      <c r="G26" s="444">
        <f t="shared" si="7"/>
        <v>0</v>
      </c>
      <c r="H26" s="444">
        <f t="shared" si="8"/>
        <v>0</v>
      </c>
      <c r="I26" s="444">
        <f t="shared" si="9"/>
        <v>0</v>
      </c>
      <c r="J26" s="444">
        <f t="shared" si="10"/>
        <v>1018.4692977477326</v>
      </c>
      <c r="K26" s="444">
        <f t="shared" si="11"/>
        <v>0</v>
      </c>
      <c r="L26" s="444">
        <f t="shared" si="12"/>
        <v>0</v>
      </c>
      <c r="M26" s="444">
        <f t="shared" si="13"/>
        <v>0</v>
      </c>
      <c r="N26" s="444">
        <f t="shared" si="14"/>
        <v>0</v>
      </c>
      <c r="O26" s="444">
        <f t="shared" si="15"/>
        <v>0</v>
      </c>
      <c r="P26" s="445">
        <f t="shared" si="16"/>
        <v>0</v>
      </c>
      <c r="Q26" s="443">
        <f t="shared" ca="1" si="17"/>
        <v>207180.69419274063</v>
      </c>
    </row>
    <row r="27" spans="1:17" s="449" customFormat="1">
      <c r="A27" s="447" t="s">
        <v>558</v>
      </c>
      <c r="B27" s="747">
        <f t="shared" ca="1" si="2"/>
        <v>88.953263249834436</v>
      </c>
      <c r="C27" s="448">
        <f t="shared" ca="1" si="3"/>
        <v>0</v>
      </c>
      <c r="D27" s="448">
        <f t="shared" si="4"/>
        <v>125.9368144121965</v>
      </c>
      <c r="E27" s="448">
        <f t="shared" si="5"/>
        <v>1537.9916473562164</v>
      </c>
      <c r="F27" s="448">
        <f t="shared" si="6"/>
        <v>0</v>
      </c>
      <c r="G27" s="448">
        <f t="shared" si="7"/>
        <v>639527.68798341777</v>
      </c>
      <c r="H27" s="448">
        <f t="shared" si="8"/>
        <v>91751.918208785093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733032.48791722115</v>
      </c>
    </row>
    <row r="28" spans="1:17">
      <c r="A28" s="443" t="s">
        <v>548</v>
      </c>
      <c r="B28" s="444">
        <f t="shared" ca="1" si="2"/>
        <v>7009.3645425045479</v>
      </c>
      <c r="C28" s="444">
        <f t="shared" ca="1" si="3"/>
        <v>0</v>
      </c>
      <c r="D28" s="444">
        <f t="shared" si="4"/>
        <v>0</v>
      </c>
      <c r="E28" s="444">
        <f t="shared" si="5"/>
        <v>0</v>
      </c>
      <c r="F28" s="444">
        <f t="shared" si="6"/>
        <v>0</v>
      </c>
      <c r="G28" s="444">
        <f t="shared" si="7"/>
        <v>12707.775301438272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19717.139843942819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9551.9831928643671</v>
      </c>
      <c r="C32" s="444">
        <f t="shared" ca="1" si="3"/>
        <v>0</v>
      </c>
      <c r="D32" s="444">
        <f t="shared" si="4"/>
        <v>28193.884287117384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37745.867479981753</v>
      </c>
    </row>
    <row r="33" spans="1:17" s="453" customFormat="1">
      <c r="A33" s="1009" t="s">
        <v>552</v>
      </c>
      <c r="B33" s="949">
        <f ca="1">SUM(B22:B32)</f>
        <v>485283.75478396838</v>
      </c>
      <c r="C33" s="949">
        <f t="shared" ref="C33:Q33" ca="1" si="18">SUM(C22:C32)</f>
        <v>3672.7292016806723</v>
      </c>
      <c r="D33" s="949">
        <f t="shared" ca="1" si="18"/>
        <v>761633.08756512019</v>
      </c>
      <c r="E33" s="949">
        <f t="shared" si="18"/>
        <v>15385.905684496898</v>
      </c>
      <c r="F33" s="949">
        <f t="shared" ca="1" si="18"/>
        <v>411657.53976600891</v>
      </c>
      <c r="G33" s="949">
        <f t="shared" si="18"/>
        <v>652235.46328485606</v>
      </c>
      <c r="H33" s="949">
        <f t="shared" si="18"/>
        <v>91751.918208785093</v>
      </c>
      <c r="I33" s="949">
        <f t="shared" si="18"/>
        <v>0</v>
      </c>
      <c r="J33" s="949">
        <f t="shared" si="18"/>
        <v>10758.622584640027</v>
      </c>
      <c r="K33" s="949">
        <f t="shared" si="18"/>
        <v>0</v>
      </c>
      <c r="L33" s="949">
        <f t="shared" ca="1" si="18"/>
        <v>0</v>
      </c>
      <c r="M33" s="949">
        <f t="shared" si="18"/>
        <v>0</v>
      </c>
      <c r="N33" s="949">
        <f t="shared" ca="1" si="18"/>
        <v>0</v>
      </c>
      <c r="O33" s="949">
        <f t="shared" si="18"/>
        <v>0</v>
      </c>
      <c r="P33" s="949">
        <f t="shared" si="18"/>
        <v>0</v>
      </c>
      <c r="Q33" s="949">
        <f t="shared" ca="1" si="18"/>
        <v>2432379.0210795561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65610.176517411266</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58262.130284408042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10818.1875</v>
      </c>
      <c r="D8" s="1026">
        <f>'SEAP template'!D76</f>
        <v>12727.279411764706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2570.9104411764706</v>
      </c>
    </row>
    <row r="9" spans="1:16">
      <c r="A9" s="1029" t="s">
        <v>845</v>
      </c>
      <c r="B9" s="1026">
        <f>'SEAP template'!B77</f>
        <v>19768.5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56481.428571428572</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143640.8068018193</v>
      </c>
      <c r="C10" s="1030">
        <f>SUM(C4:C9)</f>
        <v>10818.1875</v>
      </c>
      <c r="D10" s="1030">
        <f t="shared" ref="D10:H10" si="0">SUM(D8:D9)</f>
        <v>12727.279411764706</v>
      </c>
      <c r="E10" s="1030">
        <f t="shared" si="0"/>
        <v>0</v>
      </c>
      <c r="F10" s="1030">
        <f t="shared" si="0"/>
        <v>0</v>
      </c>
      <c r="G10" s="1030">
        <f t="shared" si="0"/>
        <v>0</v>
      </c>
      <c r="H10" s="1030">
        <f t="shared" si="0"/>
        <v>0</v>
      </c>
      <c r="I10" s="1030">
        <f>SUM(I8:I9)</f>
        <v>0</v>
      </c>
      <c r="J10" s="1030">
        <f>SUM(J8:J9)</f>
        <v>56481.428571428572</v>
      </c>
      <c r="K10" s="1030">
        <f t="shared" ref="K10:L10" si="1">SUM(K8:K9)</f>
        <v>0</v>
      </c>
      <c r="L10" s="1030">
        <f t="shared" si="1"/>
        <v>0</v>
      </c>
      <c r="M10" s="1030">
        <f>SUM(M8:M9)</f>
        <v>0</v>
      </c>
      <c r="N10" s="1030">
        <f>SUM(N8:N9)</f>
        <v>0</v>
      </c>
      <c r="O10" s="1030">
        <f>SUM(O8:O9)</f>
        <v>0</v>
      </c>
      <c r="P10" s="1030">
        <f>SUM(P8:P9)</f>
        <v>2570.9104411764706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0.20750327228509921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15454.553571428572</v>
      </c>
      <c r="D17" s="1027">
        <f>'SEAP template'!D87</f>
        <v>18181.827731092439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3672.7292016806728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15454.553571428572</v>
      </c>
      <c r="D20" s="1030">
        <f t="shared" ref="D20:H20" si="2">SUM(D17:D19)</f>
        <v>18181.827731092439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3672.7292016806728</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0.20750327228509921</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0.20750327228509921</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0.20750327228509921</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234742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1500</v>
      </c>
      <c r="C14" s="324"/>
      <c r="D14" s="324"/>
      <c r="E14" s="324"/>
      <c r="F14" s="324"/>
    </row>
    <row r="15" spans="1:6">
      <c r="A15" s="1302" t="s">
        <v>177</v>
      </c>
      <c r="B15" s="1303">
        <v>3</v>
      </c>
      <c r="C15" s="324"/>
      <c r="D15" s="324"/>
      <c r="E15" s="324"/>
      <c r="F15" s="324"/>
    </row>
    <row r="16" spans="1:6">
      <c r="A16" s="1302" t="s">
        <v>6</v>
      </c>
      <c r="B16" s="1303">
        <v>92</v>
      </c>
      <c r="C16" s="324"/>
      <c r="D16" s="324"/>
      <c r="E16" s="324"/>
      <c r="F16" s="324"/>
    </row>
    <row r="17" spans="1:6">
      <c r="A17" s="1302" t="s">
        <v>7</v>
      </c>
      <c r="B17" s="1303">
        <v>162</v>
      </c>
      <c r="C17" s="324"/>
      <c r="D17" s="324"/>
      <c r="E17" s="324"/>
      <c r="F17" s="324"/>
    </row>
    <row r="18" spans="1:6">
      <c r="A18" s="1302" t="s">
        <v>8</v>
      </c>
      <c r="B18" s="1303">
        <v>203</v>
      </c>
      <c r="C18" s="324"/>
      <c r="D18" s="324"/>
      <c r="E18" s="324"/>
      <c r="F18" s="324"/>
    </row>
    <row r="19" spans="1:6">
      <c r="A19" s="1302" t="s">
        <v>9</v>
      </c>
      <c r="B19" s="1303">
        <v>354</v>
      </c>
      <c r="C19" s="324"/>
      <c r="D19" s="324"/>
      <c r="E19" s="324"/>
      <c r="F19" s="324"/>
    </row>
    <row r="20" spans="1:6">
      <c r="A20" s="1302" t="s">
        <v>10</v>
      </c>
      <c r="B20" s="1303">
        <v>266</v>
      </c>
      <c r="C20" s="324"/>
      <c r="D20" s="324"/>
      <c r="E20" s="324"/>
      <c r="F20" s="324"/>
    </row>
    <row r="21" spans="1:6">
      <c r="A21" s="1302" t="s">
        <v>11</v>
      </c>
      <c r="B21" s="1303">
        <v>0</v>
      </c>
      <c r="C21" s="324"/>
      <c r="D21" s="324"/>
      <c r="E21" s="324"/>
      <c r="F21" s="324"/>
    </row>
    <row r="22" spans="1:6">
      <c r="A22" s="1302" t="s">
        <v>12</v>
      </c>
      <c r="B22" s="1303">
        <v>2</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1</v>
      </c>
      <c r="C25" s="324"/>
      <c r="D25" s="324"/>
      <c r="E25" s="324"/>
      <c r="F25" s="324"/>
    </row>
    <row r="26" spans="1:6">
      <c r="A26" s="1302" t="s">
        <v>16</v>
      </c>
      <c r="B26" s="1303">
        <v>990</v>
      </c>
      <c r="C26" s="324"/>
      <c r="D26" s="324"/>
      <c r="E26" s="324"/>
      <c r="F26" s="324"/>
    </row>
    <row r="27" spans="1:6">
      <c r="A27" s="1302" t="s">
        <v>17</v>
      </c>
      <c r="B27" s="1303">
        <v>41</v>
      </c>
      <c r="C27" s="324"/>
      <c r="D27" s="324"/>
      <c r="E27" s="324"/>
      <c r="F27" s="324"/>
    </row>
    <row r="28" spans="1:6">
      <c r="A28" s="1302" t="s">
        <v>18</v>
      </c>
      <c r="B28" s="1304">
        <v>64</v>
      </c>
      <c r="C28" s="324"/>
      <c r="D28" s="324"/>
      <c r="E28" s="324"/>
      <c r="F28" s="324"/>
    </row>
    <row r="29" spans="1:6">
      <c r="A29" s="1302" t="s">
        <v>918</v>
      </c>
      <c r="B29" s="1304">
        <v>126</v>
      </c>
      <c r="C29" s="324"/>
      <c r="D29" s="324"/>
      <c r="E29" s="324"/>
      <c r="F29" s="324"/>
    </row>
    <row r="30" spans="1:6">
      <c r="A30" s="1297" t="s">
        <v>919</v>
      </c>
      <c r="B30" s="1305">
        <v>38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3</v>
      </c>
      <c r="D35" s="1303">
        <v>1038642</v>
      </c>
      <c r="E35" s="1303">
        <v>17</v>
      </c>
      <c r="F35" s="1303">
        <v>834078</v>
      </c>
    </row>
    <row r="36" spans="1:6">
      <c r="A36" s="1302" t="s">
        <v>24</v>
      </c>
      <c r="B36" s="1302" t="s">
        <v>26</v>
      </c>
      <c r="C36" s="1303">
        <v>58</v>
      </c>
      <c r="D36" s="1303">
        <v>17134676.485884901</v>
      </c>
      <c r="E36" s="1303">
        <v>133</v>
      </c>
      <c r="F36" s="1303">
        <v>12027386</v>
      </c>
    </row>
    <row r="37" spans="1:6">
      <c r="A37" s="1302" t="s">
        <v>24</v>
      </c>
      <c r="B37" s="1302" t="s">
        <v>27</v>
      </c>
      <c r="C37" s="1303">
        <v>0</v>
      </c>
      <c r="D37" s="1303">
        <v>0</v>
      </c>
      <c r="E37" s="1303">
        <v>10</v>
      </c>
      <c r="F37" s="1303">
        <v>20148699</v>
      </c>
    </row>
    <row r="38" spans="1:6">
      <c r="A38" s="1302" t="s">
        <v>24</v>
      </c>
      <c r="B38" s="1302" t="s">
        <v>28</v>
      </c>
      <c r="C38" s="1303">
        <v>24</v>
      </c>
      <c r="D38" s="1303">
        <v>197077416.756825</v>
      </c>
      <c r="E38" s="1303">
        <v>23</v>
      </c>
      <c r="F38" s="1303">
        <v>817063.4</v>
      </c>
    </row>
    <row r="39" spans="1:6">
      <c r="A39" s="1302" t="s">
        <v>29</v>
      </c>
      <c r="B39" s="1302" t="s">
        <v>30</v>
      </c>
      <c r="C39" s="1303">
        <v>178728</v>
      </c>
      <c r="D39" s="1303">
        <v>2145648529.35584</v>
      </c>
      <c r="E39" s="1303">
        <v>235050</v>
      </c>
      <c r="F39" s="1303">
        <v>659229213.39999998</v>
      </c>
    </row>
    <row r="40" spans="1:6">
      <c r="A40" s="1302" t="s">
        <v>29</v>
      </c>
      <c r="B40" s="1302" t="s">
        <v>28</v>
      </c>
      <c r="C40" s="1303">
        <v>6</v>
      </c>
      <c r="D40" s="1303">
        <v>517908.64200532401</v>
      </c>
      <c r="E40" s="1303">
        <v>6</v>
      </c>
      <c r="F40" s="1303">
        <v>132313.4</v>
      </c>
    </row>
    <row r="41" spans="1:6">
      <c r="A41" s="1302" t="s">
        <v>31</v>
      </c>
      <c r="B41" s="1302" t="s">
        <v>32</v>
      </c>
      <c r="C41" s="1303">
        <v>1286</v>
      </c>
      <c r="D41" s="1303">
        <v>37050961.893766999</v>
      </c>
      <c r="E41" s="1303">
        <v>2711</v>
      </c>
      <c r="F41" s="1303">
        <v>44758232</v>
      </c>
    </row>
    <row r="42" spans="1:6">
      <c r="A42" s="1302" t="s">
        <v>31</v>
      </c>
      <c r="B42" s="1302" t="s">
        <v>33</v>
      </c>
      <c r="C42" s="1303">
        <v>9</v>
      </c>
      <c r="D42" s="1303">
        <v>262277.23715696699</v>
      </c>
      <c r="E42" s="1303">
        <v>29</v>
      </c>
      <c r="F42" s="1303">
        <v>738995.5</v>
      </c>
    </row>
    <row r="43" spans="1:6">
      <c r="A43" s="1302" t="s">
        <v>31</v>
      </c>
      <c r="B43" s="1302" t="s">
        <v>34</v>
      </c>
      <c r="C43" s="1303">
        <v>0</v>
      </c>
      <c r="D43" s="1303">
        <v>0</v>
      </c>
      <c r="E43" s="1303">
        <v>0</v>
      </c>
      <c r="F43" s="1303">
        <v>0</v>
      </c>
    </row>
    <row r="44" spans="1:6">
      <c r="A44" s="1302" t="s">
        <v>31</v>
      </c>
      <c r="B44" s="1302" t="s">
        <v>35</v>
      </c>
      <c r="C44" s="1303">
        <v>72</v>
      </c>
      <c r="D44" s="1303">
        <v>4506197.0060724597</v>
      </c>
      <c r="E44" s="1303">
        <v>341</v>
      </c>
      <c r="F44" s="1303">
        <v>104634596</v>
      </c>
    </row>
    <row r="45" spans="1:6">
      <c r="A45" s="1302" t="s">
        <v>31</v>
      </c>
      <c r="B45" s="1302" t="s">
        <v>36</v>
      </c>
      <c r="C45" s="1303">
        <v>0</v>
      </c>
      <c r="D45" s="1303">
        <v>0</v>
      </c>
      <c r="E45" s="1303">
        <v>27</v>
      </c>
      <c r="F45" s="1303">
        <v>8714744.5999999996</v>
      </c>
    </row>
    <row r="46" spans="1:6">
      <c r="A46" s="1302" t="s">
        <v>31</v>
      </c>
      <c r="B46" s="1302" t="s">
        <v>37</v>
      </c>
      <c r="C46" s="1303">
        <v>0</v>
      </c>
      <c r="D46" s="1303">
        <v>0</v>
      </c>
      <c r="E46" s="1303">
        <v>3</v>
      </c>
      <c r="F46" s="1303">
        <v>10553.84</v>
      </c>
    </row>
    <row r="47" spans="1:6">
      <c r="A47" s="1302" t="s">
        <v>31</v>
      </c>
      <c r="B47" s="1302" t="s">
        <v>38</v>
      </c>
      <c r="C47" s="1303">
        <v>74</v>
      </c>
      <c r="D47" s="1303">
        <v>2136025.6154950899</v>
      </c>
      <c r="E47" s="1303">
        <v>107</v>
      </c>
      <c r="F47" s="1303">
        <v>4728776</v>
      </c>
    </row>
    <row r="48" spans="1:6">
      <c r="A48" s="1302" t="s">
        <v>31</v>
      </c>
      <c r="B48" s="1302" t="s">
        <v>28</v>
      </c>
      <c r="C48" s="1303">
        <v>396</v>
      </c>
      <c r="D48" s="1303">
        <v>240690160.65309799</v>
      </c>
      <c r="E48" s="1303">
        <v>415</v>
      </c>
      <c r="F48" s="1303">
        <v>55602804</v>
      </c>
    </row>
    <row r="49" spans="1:6">
      <c r="A49" s="1302" t="s">
        <v>31</v>
      </c>
      <c r="B49" s="1302" t="s">
        <v>39</v>
      </c>
      <c r="C49" s="1303">
        <v>34</v>
      </c>
      <c r="D49" s="1303">
        <v>1336660.6715534101</v>
      </c>
      <c r="E49" s="1303">
        <v>81</v>
      </c>
      <c r="F49" s="1303">
        <v>1800187</v>
      </c>
    </row>
    <row r="50" spans="1:6">
      <c r="A50" s="1302" t="s">
        <v>31</v>
      </c>
      <c r="B50" s="1302" t="s">
        <v>40</v>
      </c>
      <c r="C50" s="1303">
        <v>227</v>
      </c>
      <c r="D50" s="1303">
        <v>23216677.322298199</v>
      </c>
      <c r="E50" s="1303">
        <v>329</v>
      </c>
      <c r="F50" s="1303">
        <v>109716883</v>
      </c>
    </row>
    <row r="51" spans="1:6">
      <c r="A51" s="1302" t="s">
        <v>41</v>
      </c>
      <c r="B51" s="1302" t="s">
        <v>42</v>
      </c>
      <c r="C51" s="1303">
        <v>80</v>
      </c>
      <c r="D51" s="1303">
        <v>21641311.590090301</v>
      </c>
      <c r="E51" s="1303">
        <v>150</v>
      </c>
      <c r="F51" s="1303">
        <v>22392949</v>
      </c>
    </row>
    <row r="52" spans="1:6">
      <c r="A52" s="1302" t="s">
        <v>41</v>
      </c>
      <c r="B52" s="1302" t="s">
        <v>28</v>
      </c>
      <c r="C52" s="1303">
        <v>27</v>
      </c>
      <c r="D52" s="1303">
        <v>633113.12073767197</v>
      </c>
      <c r="E52" s="1303">
        <v>41</v>
      </c>
      <c r="F52" s="1303">
        <v>348255.3</v>
      </c>
    </row>
    <row r="53" spans="1:6">
      <c r="A53" s="1302" t="s">
        <v>43</v>
      </c>
      <c r="B53" s="1302" t="s">
        <v>44</v>
      </c>
      <c r="C53" s="1303">
        <v>6576</v>
      </c>
      <c r="D53" s="1303">
        <v>131152466.58969</v>
      </c>
      <c r="E53" s="1303">
        <v>12050</v>
      </c>
      <c r="F53" s="1303">
        <v>43043802</v>
      </c>
    </row>
    <row r="54" spans="1:6">
      <c r="A54" s="1302" t="s">
        <v>45</v>
      </c>
      <c r="B54" s="1302" t="s">
        <v>46</v>
      </c>
      <c r="C54" s="1303">
        <v>0</v>
      </c>
      <c r="D54" s="1303">
        <v>0</v>
      </c>
      <c r="E54" s="1303">
        <v>72</v>
      </c>
      <c r="F54" s="1303">
        <v>29431967</v>
      </c>
    </row>
    <row r="55" spans="1:6">
      <c r="A55" s="1302" t="s">
        <v>45</v>
      </c>
      <c r="B55" s="1302" t="s">
        <v>28</v>
      </c>
      <c r="C55" s="1303">
        <v>0</v>
      </c>
      <c r="D55" s="1303">
        <v>0</v>
      </c>
      <c r="E55" s="1303">
        <v>0</v>
      </c>
      <c r="F55" s="1303">
        <v>0</v>
      </c>
    </row>
    <row r="56" spans="1:6">
      <c r="A56" s="1302" t="s">
        <v>47</v>
      </c>
      <c r="B56" s="1302" t="s">
        <v>28</v>
      </c>
      <c r="C56" s="1303">
        <v>374</v>
      </c>
      <c r="D56" s="1303">
        <v>8421218</v>
      </c>
      <c r="E56" s="1303">
        <v>632</v>
      </c>
      <c r="F56" s="1303">
        <v>2989126</v>
      </c>
    </row>
    <row r="57" spans="1:6">
      <c r="A57" s="1302" t="s">
        <v>48</v>
      </c>
      <c r="B57" s="1302" t="s">
        <v>49</v>
      </c>
      <c r="C57" s="1303">
        <v>1662</v>
      </c>
      <c r="D57" s="1303">
        <v>85186212.819343001</v>
      </c>
      <c r="E57" s="1303">
        <v>2578</v>
      </c>
      <c r="F57" s="1303">
        <v>69330424.388140157</v>
      </c>
    </row>
    <row r="58" spans="1:6">
      <c r="A58" s="1302" t="s">
        <v>48</v>
      </c>
      <c r="B58" s="1302" t="s">
        <v>50</v>
      </c>
      <c r="C58" s="1303">
        <v>970</v>
      </c>
      <c r="D58" s="1303">
        <v>109850065.6021056</v>
      </c>
      <c r="E58" s="1303">
        <v>1434</v>
      </c>
      <c r="F58" s="1303">
        <v>59845712</v>
      </c>
    </row>
    <row r="59" spans="1:6">
      <c r="A59" s="1302" t="s">
        <v>48</v>
      </c>
      <c r="B59" s="1302" t="s">
        <v>51</v>
      </c>
      <c r="C59" s="1303">
        <v>3784</v>
      </c>
      <c r="D59" s="1303">
        <v>159330944.66297799</v>
      </c>
      <c r="E59" s="1303">
        <v>7793</v>
      </c>
      <c r="F59" s="1303">
        <v>242378340.34842911</v>
      </c>
    </row>
    <row r="60" spans="1:6">
      <c r="A60" s="1302" t="s">
        <v>48</v>
      </c>
      <c r="B60" s="1302" t="s">
        <v>52</v>
      </c>
      <c r="C60" s="1303">
        <v>2428</v>
      </c>
      <c r="D60" s="1303">
        <v>116796381.055858</v>
      </c>
      <c r="E60" s="1303">
        <v>3070</v>
      </c>
      <c r="F60" s="1303">
        <v>94757898</v>
      </c>
    </row>
    <row r="61" spans="1:6">
      <c r="A61" s="1302" t="s">
        <v>48</v>
      </c>
      <c r="B61" s="1302" t="s">
        <v>53</v>
      </c>
      <c r="C61" s="1303">
        <v>8794</v>
      </c>
      <c r="D61" s="1303">
        <v>772019354.91862404</v>
      </c>
      <c r="E61" s="1303">
        <v>19703</v>
      </c>
      <c r="F61" s="1303">
        <v>579822507.73883164</v>
      </c>
    </row>
    <row r="62" spans="1:6">
      <c r="A62" s="1302" t="s">
        <v>48</v>
      </c>
      <c r="B62" s="1302" t="s">
        <v>54</v>
      </c>
      <c r="C62" s="1303">
        <v>787</v>
      </c>
      <c r="D62" s="1303">
        <v>169841183.496663</v>
      </c>
      <c r="E62" s="1303">
        <v>884</v>
      </c>
      <c r="F62" s="1303">
        <v>56800761.899760194</v>
      </c>
    </row>
    <row r="63" spans="1:6">
      <c r="A63" s="1302" t="s">
        <v>48</v>
      </c>
      <c r="B63" s="1302" t="s">
        <v>28</v>
      </c>
      <c r="C63" s="1303">
        <v>1138</v>
      </c>
      <c r="D63" s="1303">
        <v>168285926.25113201</v>
      </c>
      <c r="E63" s="1303">
        <v>1075</v>
      </c>
      <c r="F63" s="1303">
        <v>69721033</v>
      </c>
    </row>
    <row r="64" spans="1:6">
      <c r="A64" s="1302" t="s">
        <v>55</v>
      </c>
      <c r="B64" s="1302" t="s">
        <v>56</v>
      </c>
      <c r="C64" s="1303">
        <v>0</v>
      </c>
      <c r="D64" s="1303">
        <v>0</v>
      </c>
      <c r="E64" s="1303">
        <v>0</v>
      </c>
      <c r="F64" s="1303">
        <v>0</v>
      </c>
    </row>
    <row r="65" spans="1:6">
      <c r="A65" s="1302" t="s">
        <v>55</v>
      </c>
      <c r="B65" s="1302" t="s">
        <v>28</v>
      </c>
      <c r="C65" s="1303">
        <v>54</v>
      </c>
      <c r="D65" s="1303">
        <v>16717850.368957501</v>
      </c>
      <c r="E65" s="1303">
        <v>40</v>
      </c>
      <c r="F65" s="1303">
        <v>583369.6</v>
      </c>
    </row>
    <row r="66" spans="1:6">
      <c r="A66" s="1302" t="s">
        <v>55</v>
      </c>
      <c r="B66" s="1302" t="s">
        <v>57</v>
      </c>
      <c r="C66" s="1303">
        <v>11</v>
      </c>
      <c r="D66" s="1303">
        <v>1278490.1169454199</v>
      </c>
      <c r="E66" s="1303">
        <v>280</v>
      </c>
      <c r="F66" s="1303">
        <v>16373370</v>
      </c>
    </row>
    <row r="67" spans="1:6">
      <c r="A67" s="1302" t="s">
        <v>55</v>
      </c>
      <c r="B67" s="1302" t="s">
        <v>58</v>
      </c>
      <c r="C67" s="1303">
        <v>0</v>
      </c>
      <c r="D67" s="1303">
        <v>0</v>
      </c>
      <c r="E67" s="1303">
        <v>11</v>
      </c>
      <c r="F67" s="1303">
        <v>3188874.9</v>
      </c>
    </row>
    <row r="68" spans="1:6">
      <c r="A68" s="1297" t="s">
        <v>55</v>
      </c>
      <c r="B68" s="1297" t="s">
        <v>59</v>
      </c>
      <c r="C68" s="1305">
        <v>69</v>
      </c>
      <c r="D68" s="1305">
        <v>9672882.4202160798</v>
      </c>
      <c r="E68" s="1305">
        <v>242</v>
      </c>
      <c r="F68" s="1305">
        <v>69191743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873073805</v>
      </c>
      <c r="E73" s="442"/>
      <c r="F73" s="324"/>
    </row>
    <row r="74" spans="1:6">
      <c r="A74" s="1302" t="s">
        <v>63</v>
      </c>
      <c r="B74" s="1302" t="s">
        <v>695</v>
      </c>
      <c r="C74" s="1315" t="s">
        <v>697</v>
      </c>
      <c r="D74" s="1303">
        <v>50833922.727516636</v>
      </c>
      <c r="E74" s="442"/>
      <c r="F74" s="324"/>
    </row>
    <row r="75" spans="1:6">
      <c r="A75" s="1302" t="s">
        <v>64</v>
      </c>
      <c r="B75" s="1302" t="s">
        <v>694</v>
      </c>
      <c r="C75" s="1315" t="s">
        <v>698</v>
      </c>
      <c r="D75" s="1303">
        <v>391623665</v>
      </c>
      <c r="E75" s="442"/>
      <c r="F75" s="324"/>
    </row>
    <row r="76" spans="1:6">
      <c r="A76" s="1302" t="s">
        <v>64</v>
      </c>
      <c r="B76" s="1302" t="s">
        <v>695</v>
      </c>
      <c r="C76" s="1315" t="s">
        <v>699</v>
      </c>
      <c r="D76" s="1303">
        <v>12169943.727516638</v>
      </c>
      <c r="E76" s="442"/>
      <c r="F76" s="324"/>
    </row>
    <row r="77" spans="1:6">
      <c r="A77" s="1302" t="s">
        <v>65</v>
      </c>
      <c r="B77" s="1302" t="s">
        <v>694</v>
      </c>
      <c r="C77" s="1315" t="s">
        <v>700</v>
      </c>
      <c r="D77" s="1303">
        <v>1603728555</v>
      </c>
      <c r="E77" s="442"/>
      <c r="F77" s="324"/>
    </row>
    <row r="78" spans="1:6">
      <c r="A78" s="1297" t="s">
        <v>65</v>
      </c>
      <c r="B78" s="1297" t="s">
        <v>695</v>
      </c>
      <c r="C78" s="1297" t="s">
        <v>701</v>
      </c>
      <c r="D78" s="1305">
        <v>308303245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13586476.544966724</v>
      </c>
      <c r="C83" s="442"/>
      <c r="D83" s="324"/>
      <c r="E83" s="324"/>
      <c r="F83" s="324"/>
    </row>
    <row r="84" spans="1:6">
      <c r="A84" s="1297" t="s">
        <v>324</v>
      </c>
      <c r="B84" s="1305">
        <v>9511591.6915882509</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65610.176517411266</v>
      </c>
      <c r="C90" s="324"/>
      <c r="D90" s="324"/>
      <c r="E90" s="324"/>
      <c r="F90" s="324"/>
    </row>
    <row r="91" spans="1:6">
      <c r="A91" s="1302" t="s">
        <v>67</v>
      </c>
      <c r="B91" s="1303">
        <v>12955.025468064341</v>
      </c>
      <c r="C91" s="324"/>
      <c r="D91" s="324"/>
      <c r="E91" s="324"/>
      <c r="F91" s="324"/>
    </row>
    <row r="92" spans="1:6">
      <c r="A92" s="1297" t="s">
        <v>68</v>
      </c>
      <c r="B92" s="1298">
        <v>45307.104816343701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142544</v>
      </c>
      <c r="C97" s="324"/>
      <c r="D97" s="324"/>
      <c r="E97" s="324"/>
      <c r="F97" s="324"/>
    </row>
    <row r="98" spans="1:6">
      <c r="A98" s="1302" t="s">
        <v>71</v>
      </c>
      <c r="B98" s="1303">
        <v>436</v>
      </c>
      <c r="C98" s="324"/>
      <c r="D98" s="324"/>
      <c r="E98" s="324"/>
      <c r="F98" s="324"/>
    </row>
    <row r="99" spans="1:6">
      <c r="A99" s="1302" t="s">
        <v>72</v>
      </c>
      <c r="B99" s="1303">
        <v>504</v>
      </c>
      <c r="C99" s="324"/>
      <c r="D99" s="324"/>
      <c r="E99" s="324"/>
      <c r="F99" s="324"/>
    </row>
    <row r="100" spans="1:6">
      <c r="A100" s="1302" t="s">
        <v>73</v>
      </c>
      <c r="B100" s="1303">
        <v>12353</v>
      </c>
      <c r="C100" s="324"/>
      <c r="D100" s="324"/>
      <c r="E100" s="324"/>
      <c r="F100" s="324"/>
    </row>
    <row r="101" spans="1:6">
      <c r="A101" s="1302" t="s">
        <v>74</v>
      </c>
      <c r="B101" s="1303">
        <v>483</v>
      </c>
      <c r="C101" s="324"/>
      <c r="D101" s="324"/>
      <c r="E101" s="324"/>
      <c r="F101" s="324"/>
    </row>
    <row r="102" spans="1:6">
      <c r="A102" s="1302" t="s">
        <v>75</v>
      </c>
      <c r="B102" s="1303">
        <v>6918</v>
      </c>
      <c r="C102" s="324"/>
      <c r="D102" s="324"/>
      <c r="E102" s="324"/>
      <c r="F102" s="324"/>
    </row>
    <row r="103" spans="1:6">
      <c r="A103" s="1302" t="s">
        <v>76</v>
      </c>
      <c r="B103" s="1303">
        <v>1961</v>
      </c>
      <c r="C103" s="324"/>
      <c r="D103" s="324"/>
      <c r="E103" s="324"/>
      <c r="F103" s="324"/>
    </row>
    <row r="104" spans="1:6">
      <c r="A104" s="1302" t="s">
        <v>77</v>
      </c>
      <c r="B104" s="1303">
        <v>38687</v>
      </c>
      <c r="C104" s="324"/>
      <c r="D104" s="324"/>
      <c r="E104" s="324"/>
      <c r="F104" s="324"/>
    </row>
    <row r="105" spans="1:6">
      <c r="A105" s="1297" t="s">
        <v>78</v>
      </c>
      <c r="B105" s="1305">
        <v>225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16</v>
      </c>
      <c r="C123" s="1303">
        <v>60</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578</v>
      </c>
      <c r="C129" s="324"/>
      <c r="D129" s="324"/>
      <c r="E129" s="324"/>
      <c r="F129" s="324"/>
    </row>
    <row r="130" spans="1:6">
      <c r="A130" s="1302" t="s">
        <v>284</v>
      </c>
      <c r="B130" s="1303">
        <v>14</v>
      </c>
      <c r="C130" s="324"/>
      <c r="D130" s="324"/>
      <c r="E130" s="324"/>
      <c r="F130" s="324"/>
    </row>
    <row r="131" spans="1:6">
      <c r="A131" s="1302" t="s">
        <v>285</v>
      </c>
      <c r="B131" s="1303">
        <v>40</v>
      </c>
      <c r="C131" s="324"/>
      <c r="D131" s="324"/>
      <c r="E131" s="324"/>
      <c r="F131" s="324"/>
    </row>
    <row r="132" spans="1:6">
      <c r="A132" s="1297" t="s">
        <v>286</v>
      </c>
      <c r="B132" s="1298">
        <v>38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2338680.0094275749</v>
      </c>
      <c r="C3" s="43" t="s">
        <v>163</v>
      </c>
      <c r="D3" s="43"/>
      <c r="E3" s="154"/>
      <c r="F3" s="43"/>
      <c r="G3" s="43"/>
      <c r="H3" s="43"/>
      <c r="I3" s="43"/>
      <c r="J3" s="43"/>
      <c r="K3" s="96"/>
    </row>
    <row r="4" spans="1:11">
      <c r="A4" s="351" t="s">
        <v>164</v>
      </c>
      <c r="B4" s="49">
        <f>IF(ISERROR('SEAP template'!B78+'SEAP template'!C78),0,'SEAP template'!B78+'SEAP template'!C78)</f>
        <v>154458.9943018193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2570.9104411764706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0.20750327228509921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3672.7292016806728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15454.553571428572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29431.967000000001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29431.967000000001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0.20750327228509921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6107.229462287055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659361.52679999999</v>
      </c>
      <c r="C5" s="17">
        <f>IF(ISERROR('Eigen informatie GS &amp; warmtenet'!B57),0,'Eigen informatie GS &amp; warmtenet'!B57)</f>
        <v>0</v>
      </c>
      <c r="D5" s="30">
        <f>(SUM(HH_hh_gas_kWh,HH_rest_gas_kWh)/1000)*0.902</f>
        <v>1935842.1270740563</v>
      </c>
      <c r="E5" s="17">
        <f>B32*B41</f>
        <v>32661.396816294706</v>
      </c>
      <c r="F5" s="17">
        <f>B36*B45</f>
        <v>1030365.1723556812</v>
      </c>
      <c r="G5" s="18"/>
      <c r="H5" s="17"/>
      <c r="I5" s="17"/>
      <c r="J5" s="17">
        <f>B35*B44+C35*C44</f>
        <v>24028.076895834642</v>
      </c>
      <c r="K5" s="17"/>
      <c r="L5" s="17"/>
      <c r="M5" s="17"/>
      <c r="N5" s="17">
        <f>B34*B43+C34*C43</f>
        <v>260093.67307317234</v>
      </c>
      <c r="O5" s="17">
        <f>B52*B53*B54</f>
        <v>997.40666666666664</v>
      </c>
      <c r="P5" s="17">
        <f>B60*B61*B62/1000-B60*B61*B62/1000/B63</f>
        <v>1029.5999999999999</v>
      </c>
    </row>
    <row r="6" spans="1:16">
      <c r="A6" s="16" t="s">
        <v>618</v>
      </c>
      <c r="B6" s="755">
        <f>kWh_PV_kleiner_dan_10kW</f>
        <v>12955.025468064341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672316.55226806435</v>
      </c>
      <c r="C8" s="21">
        <f>C5</f>
        <v>0</v>
      </c>
      <c r="D8" s="21">
        <f>D5</f>
        <v>1935842.1270740563</v>
      </c>
      <c r="E8" s="21">
        <f>E5</f>
        <v>32661.396816294706</v>
      </c>
      <c r="F8" s="21">
        <f>F5</f>
        <v>1030365.1723556812</v>
      </c>
      <c r="G8" s="21"/>
      <c r="H8" s="21"/>
      <c r="I8" s="21"/>
      <c r="J8" s="21">
        <f>J5</f>
        <v>24028.076895834642</v>
      </c>
      <c r="K8" s="21"/>
      <c r="L8" s="21">
        <f>L5</f>
        <v>0</v>
      </c>
      <c r="M8" s="21">
        <f>M5</f>
        <v>0</v>
      </c>
      <c r="N8" s="21">
        <f>N5</f>
        <v>260093.67307317234</v>
      </c>
      <c r="O8" s="21">
        <f>O5</f>
        <v>997.40666666666664</v>
      </c>
      <c r="P8" s="21">
        <f>P5</f>
        <v>1029.5999999999999</v>
      </c>
    </row>
    <row r="9" spans="1:16">
      <c r="B9" s="19"/>
      <c r="C9" s="19"/>
      <c r="D9" s="254"/>
      <c r="E9" s="19"/>
      <c r="F9" s="19"/>
      <c r="G9" s="19"/>
      <c r="H9" s="19"/>
      <c r="I9" s="19"/>
      <c r="J9" s="19"/>
      <c r="K9" s="19"/>
      <c r="L9" s="19"/>
      <c r="M9" s="19"/>
      <c r="N9" s="19"/>
      <c r="O9" s="19"/>
      <c r="P9" s="19"/>
    </row>
    <row r="10" spans="1:16">
      <c r="A10" s="24" t="s">
        <v>207</v>
      </c>
      <c r="B10" s="25">
        <f ca="1">'EF ele_warmte'!B12</f>
        <v>0.20750327228509921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139507.8846070593</v>
      </c>
      <c r="C12" s="23">
        <f ca="1">C10*C8</f>
        <v>0</v>
      </c>
      <c r="D12" s="23">
        <f>D8*D10</f>
        <v>391040.1096689594</v>
      </c>
      <c r="E12" s="23">
        <f>E10*E8</f>
        <v>7414.1370772988985</v>
      </c>
      <c r="F12" s="23">
        <f>F10*F8</f>
        <v>275107.5010189669</v>
      </c>
      <c r="G12" s="23"/>
      <c r="H12" s="23"/>
      <c r="I12" s="23"/>
      <c r="J12" s="23">
        <f>J10*J8</f>
        <v>8505.9392211254635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234742</v>
      </c>
      <c r="C26" s="36"/>
      <c r="D26" s="225"/>
    </row>
    <row r="27" spans="1:5" s="15" customFormat="1">
      <c r="A27" s="227" t="s">
        <v>721</v>
      </c>
      <c r="B27" s="37">
        <f>SUM(HH_hh_gas_aantal,HH_rest_gas_aantal)</f>
        <v>178734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169797.3</v>
      </c>
      <c r="C31" s="34" t="s">
        <v>104</v>
      </c>
      <c r="D31" s="171"/>
    </row>
    <row r="32" spans="1:5">
      <c r="A32" s="168" t="s">
        <v>72</v>
      </c>
      <c r="B32" s="33">
        <f>IF((B21*($B$26-($B$27-0.05*$B$27)-$B$60))&lt;0,0,B21*($B$26-($B$27-0.05*$B$27)-$B$60))</f>
        <v>409.15016862916394</v>
      </c>
      <c r="C32" s="34" t="s">
        <v>104</v>
      </c>
      <c r="D32" s="171"/>
    </row>
    <row r="33" spans="1:6">
      <c r="A33" s="168" t="s">
        <v>73</v>
      </c>
      <c r="B33" s="33">
        <f>IF((B22*($B$26-($B$27-0.05*$B$27)-$B$60))&lt;0,0,B22*($B$26-($B$27-0.05*$B$27)-$B$60))</f>
        <v>14248.095197418055</v>
      </c>
      <c r="C33" s="34" t="s">
        <v>104</v>
      </c>
      <c r="D33" s="171"/>
    </row>
    <row r="34" spans="1:6">
      <c r="A34" s="168" t="s">
        <v>74</v>
      </c>
      <c r="B34" s="33">
        <f>IF((B24*($B$26-($B$27-0.05*$B$27)-$B$60))&lt;0,0,B24*($B$26-($B$27-0.05*$B$27)-$B$60))</f>
        <v>2828.1838641732184</v>
      </c>
      <c r="C34" s="33">
        <f>B26*C24</f>
        <v>48028.138651691734</v>
      </c>
      <c r="D34" s="230"/>
    </row>
    <row r="35" spans="1:6">
      <c r="A35" s="168" t="s">
        <v>76</v>
      </c>
      <c r="B35" s="33">
        <f>IF((B19*($B$26-($B$27-0.05*$B$27)-$B$60))&lt;0,0,B19*($B$26-($B$27-0.05*$B$27)-$B$60))</f>
        <v>1381.7286552727487</v>
      </c>
      <c r="C35" s="33">
        <f>B35/2</f>
        <v>690.86432763637436</v>
      </c>
      <c r="D35" s="230"/>
    </row>
    <row r="36" spans="1:6">
      <c r="A36" s="168" t="s">
        <v>77</v>
      </c>
      <c r="B36" s="33">
        <f>IF((B18*($B$26-($B$27-0.05*$B$27)-$B$60))&lt;0,0,B18*($B$26-($B$27-0.05*$B$27)-$B$60))</f>
        <v>46023.542114506847</v>
      </c>
      <c r="C36" s="34" t="s">
        <v>104</v>
      </c>
      <c r="D36" s="171"/>
    </row>
    <row r="37" spans="1:6">
      <c r="A37" s="168" t="s">
        <v>78</v>
      </c>
      <c r="B37" s="33">
        <f>B60</f>
        <v>54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638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1172656.6773751613</v>
      </c>
      <c r="C5" s="17">
        <f>IF(ISERROR('Eigen informatie GS &amp; warmtenet'!B58),0,'Eigen informatie GS &amp; warmtenet'!B58)</f>
        <v>0</v>
      </c>
      <c r="D5" s="30">
        <f>SUM(D6:D12)</f>
        <v>1426341.6820636468</v>
      </c>
      <c r="E5" s="17">
        <f>SUM(E6:E12)</f>
        <v>9215.7108102972506</v>
      </c>
      <c r="F5" s="17">
        <f>SUM(F6:F12)</f>
        <v>165268.6302974179</v>
      </c>
      <c r="G5" s="18"/>
      <c r="H5" s="17"/>
      <c r="I5" s="17"/>
      <c r="J5" s="17">
        <f>SUM(J6:J12)</f>
        <v>0</v>
      </c>
      <c r="K5" s="17"/>
      <c r="L5" s="17"/>
      <c r="M5" s="17"/>
      <c r="N5" s="17">
        <f>SUM(N6:N12)</f>
        <v>63117.159977898998</v>
      </c>
      <c r="O5" s="17">
        <f>B38*B39*B40</f>
        <v>21.88666666666667</v>
      </c>
      <c r="P5" s="17">
        <f>B46*B47*B48/1000-B46*B47*B48/1000/B49</f>
        <v>762.66666666666674</v>
      </c>
      <c r="R5" s="32"/>
    </row>
    <row r="6" spans="1:18">
      <c r="A6" s="32" t="s">
        <v>53</v>
      </c>
      <c r="B6" s="37">
        <f>B26</f>
        <v>579822.50773883169</v>
      </c>
      <c r="C6" s="33"/>
      <c r="D6" s="37">
        <f>IF(ISERROR(TER_kantoor_gas_kWh/1000),0,TER_kantoor_gas_kWh/1000)*0.902</f>
        <v>696361.45813659893</v>
      </c>
      <c r="E6" s="33">
        <f>$C$26*'E Balans VL '!I12/100/3.6*1000000</f>
        <v>1679.8308769438638</v>
      </c>
      <c r="F6" s="33">
        <f>$C$26*('E Balans VL '!L12+'E Balans VL '!N12)/100/3.6*1000000</f>
        <v>65623.133395754849</v>
      </c>
      <c r="G6" s="34"/>
      <c r="H6" s="33"/>
      <c r="I6" s="33"/>
      <c r="J6" s="33">
        <f>$C$26*('E Balans VL '!D12+'E Balans VL '!E12)/100/3.6*1000000</f>
        <v>0</v>
      </c>
      <c r="K6" s="33"/>
      <c r="L6" s="33"/>
      <c r="M6" s="33"/>
      <c r="N6" s="33">
        <f>$C$26*'E Balans VL '!Y12/100/3.6*1000000</f>
        <v>5803.5960701666072</v>
      </c>
      <c r="O6" s="33"/>
      <c r="P6" s="33"/>
      <c r="R6" s="32"/>
    </row>
    <row r="7" spans="1:18">
      <c r="A7" s="32" t="s">
        <v>52</v>
      </c>
      <c r="B7" s="37">
        <f t="shared" ref="B7:B12" si="0">B27</f>
        <v>94757.898000000001</v>
      </c>
      <c r="C7" s="33"/>
      <c r="D7" s="37">
        <f>IF(ISERROR(TER_horeca_gas_kWh/1000),0,TER_horeca_gas_kWh/1000)*0.902</f>
        <v>105350.33571238392</v>
      </c>
      <c r="E7" s="33">
        <f>$C$27*'E Balans VL '!I9/100/3.6*1000000</f>
        <v>3977.67180970543</v>
      </c>
      <c r="F7" s="33">
        <f>$C$27*('E Balans VL '!L9+'E Balans VL '!N9)/100/3.6*1000000</f>
        <v>20360.677579014202</v>
      </c>
      <c r="G7" s="34"/>
      <c r="H7" s="33"/>
      <c r="I7" s="33"/>
      <c r="J7" s="33">
        <f>$C$27*('E Balans VL '!D9+'E Balans VL '!E9)/100/3.6*1000000</f>
        <v>0</v>
      </c>
      <c r="K7" s="33"/>
      <c r="L7" s="33"/>
      <c r="M7" s="33"/>
      <c r="N7" s="33">
        <f>$C$27*'E Balans VL '!Y9/100/3.6*1000000</f>
        <v>24.418281626719423</v>
      </c>
      <c r="O7" s="33"/>
      <c r="P7" s="33"/>
      <c r="R7" s="32"/>
    </row>
    <row r="8" spans="1:18">
      <c r="A8" s="6" t="s">
        <v>51</v>
      </c>
      <c r="B8" s="37">
        <f t="shared" si="0"/>
        <v>242378.3403484291</v>
      </c>
      <c r="C8" s="33"/>
      <c r="D8" s="37">
        <f>IF(ISERROR(TER_handel_gas_kWh/1000),0,TER_handel_gas_kWh/1000)*0.902</f>
        <v>143716.51208600617</v>
      </c>
      <c r="E8" s="33">
        <f>$C$28*'E Balans VL '!I13/100/3.6*1000000</f>
        <v>2603.3451011004249</v>
      </c>
      <c r="F8" s="33">
        <f>$C$28*('E Balans VL '!L13+'E Balans VL '!N13)/100/3.6*1000000</f>
        <v>31377.877677177839</v>
      </c>
      <c r="G8" s="34"/>
      <c r="H8" s="33"/>
      <c r="I8" s="33"/>
      <c r="J8" s="33">
        <f>$C$28*('E Balans VL '!D13+'E Balans VL '!E13)/100/3.6*1000000</f>
        <v>0</v>
      </c>
      <c r="K8" s="33"/>
      <c r="L8" s="33"/>
      <c r="M8" s="33"/>
      <c r="N8" s="33">
        <f>$C$28*'E Balans VL '!Y13/100/3.6*1000000</f>
        <v>1966.1863313392669</v>
      </c>
      <c r="O8" s="33"/>
      <c r="P8" s="33"/>
      <c r="R8" s="32"/>
    </row>
    <row r="9" spans="1:18">
      <c r="A9" s="32" t="s">
        <v>50</v>
      </c>
      <c r="B9" s="37">
        <f t="shared" si="0"/>
        <v>59845.712</v>
      </c>
      <c r="C9" s="33"/>
      <c r="D9" s="37">
        <f>IF(ISERROR(TER_gezond_gas_kWh/1000),0,TER_gezond_gas_kWh/1000)*0.902</f>
        <v>99084.759173099257</v>
      </c>
      <c r="E9" s="33">
        <f>$C$29*'E Balans VL '!I10/100/3.6*1000000</f>
        <v>47.641057468952589</v>
      </c>
      <c r="F9" s="33">
        <f>$C$29*('E Balans VL '!L10+'E Balans VL '!N10)/100/3.6*1000000</f>
        <v>7275.1111420356492</v>
      </c>
      <c r="G9" s="34"/>
      <c r="H9" s="33"/>
      <c r="I9" s="33"/>
      <c r="J9" s="33">
        <f>$C$29*('E Balans VL '!D10+'E Balans VL '!E10)/100/3.6*1000000</f>
        <v>0</v>
      </c>
      <c r="K9" s="33"/>
      <c r="L9" s="33"/>
      <c r="M9" s="33"/>
      <c r="N9" s="33">
        <f>$C$29*'E Balans VL '!Y10/100/3.6*1000000</f>
        <v>483.4178064563431</v>
      </c>
      <c r="O9" s="33"/>
      <c r="P9" s="33"/>
      <c r="R9" s="32"/>
    </row>
    <row r="10" spans="1:18">
      <c r="A10" s="32" t="s">
        <v>49</v>
      </c>
      <c r="B10" s="37">
        <f t="shared" si="0"/>
        <v>69330.424388140164</v>
      </c>
      <c r="C10" s="33"/>
      <c r="D10" s="37">
        <f>IF(ISERROR(TER_ander_gas_kWh/1000),0,TER_ander_gas_kWh/1000)*0.902</f>
        <v>76837.963963047383</v>
      </c>
      <c r="E10" s="33">
        <f>$C$30*'E Balans VL '!I14/100/3.6*1000000</f>
        <v>237.59900653178076</v>
      </c>
      <c r="F10" s="33">
        <f>$C$30*('E Balans VL '!L14+'E Balans VL '!N14)/100/3.6*1000000</f>
        <v>15485.599551726349</v>
      </c>
      <c r="G10" s="34"/>
      <c r="H10" s="33"/>
      <c r="I10" s="33"/>
      <c r="J10" s="33">
        <f>$C$30*('E Balans VL '!D14+'E Balans VL '!E14)/100/3.6*1000000</f>
        <v>0</v>
      </c>
      <c r="K10" s="33"/>
      <c r="L10" s="33"/>
      <c r="M10" s="33"/>
      <c r="N10" s="33">
        <f>$C$30*'E Balans VL '!Y14/100/3.6*1000000</f>
        <v>48836.729683710939</v>
      </c>
      <c r="O10" s="33"/>
      <c r="P10" s="33"/>
      <c r="R10" s="32"/>
    </row>
    <row r="11" spans="1:18">
      <c r="A11" s="32" t="s">
        <v>54</v>
      </c>
      <c r="B11" s="37">
        <f t="shared" si="0"/>
        <v>56800.761899760197</v>
      </c>
      <c r="C11" s="33"/>
      <c r="D11" s="37">
        <f>IF(ISERROR(TER_onderwijs_gas_kWh/1000),0,TER_onderwijs_gas_kWh/1000)*0.902</f>
        <v>153196.74751399003</v>
      </c>
      <c r="E11" s="33">
        <f>$C$31*'E Balans VL '!I11/100/3.6*1000000</f>
        <v>39.264617375511833</v>
      </c>
      <c r="F11" s="33">
        <f>$C$31*('E Balans VL '!L11+'E Balans VL '!N11)/100/3.6*1000000</f>
        <v>14868.789515175842</v>
      </c>
      <c r="G11" s="34"/>
      <c r="H11" s="33"/>
      <c r="I11" s="33"/>
      <c r="J11" s="33">
        <f>$C$31*('E Balans VL '!D11+'E Balans VL '!E11)/100/3.6*1000000</f>
        <v>0</v>
      </c>
      <c r="K11" s="33"/>
      <c r="L11" s="33"/>
      <c r="M11" s="33"/>
      <c r="N11" s="33">
        <f>$C$31*'E Balans VL '!Y11/100/3.6*1000000</f>
        <v>56.54032055970972</v>
      </c>
      <c r="O11" s="33"/>
      <c r="P11" s="33"/>
      <c r="R11" s="32"/>
    </row>
    <row r="12" spans="1:18">
      <c r="A12" s="32" t="s">
        <v>249</v>
      </c>
      <c r="B12" s="37">
        <f t="shared" si="0"/>
        <v>69721.032999999996</v>
      </c>
      <c r="C12" s="33"/>
      <c r="D12" s="37">
        <f>IF(ISERROR(TER_rest_gas_kWh/1000),0,TER_rest_gas_kWh/1000)*0.902</f>
        <v>151793.90547852108</v>
      </c>
      <c r="E12" s="33">
        <f>$C$32*'E Balans VL '!I8/100/3.6*1000000</f>
        <v>630.35834117128741</v>
      </c>
      <c r="F12" s="33">
        <f>$C$32*('E Balans VL '!L8+'E Balans VL '!N8)/100/3.6*1000000</f>
        <v>10277.441436533216</v>
      </c>
      <c r="G12" s="34"/>
      <c r="H12" s="33"/>
      <c r="I12" s="33"/>
      <c r="J12" s="33">
        <f>$C$32*('E Balans VL '!D8+'E Balans VL '!E8)/100/3.6*1000000</f>
        <v>0</v>
      </c>
      <c r="K12" s="33"/>
      <c r="L12" s="33"/>
      <c r="M12" s="33"/>
      <c r="N12" s="33">
        <f>$C$32*'E Balans VL '!Y8/100/3.6*1000000</f>
        <v>5946.2714840394092</v>
      </c>
      <c r="O12" s="33"/>
      <c r="P12" s="33"/>
      <c r="R12" s="32"/>
    </row>
    <row r="13" spans="1:18">
      <c r="A13" s="16" t="s">
        <v>481</v>
      </c>
      <c r="B13" s="243">
        <f ca="1">'lokale energieproductie'!N48+'lokale energieproductie'!N40</f>
        <v>26959.6875</v>
      </c>
      <c r="C13" s="243">
        <f ca="1">'lokale energieproductie'!O48+'lokale energieproductie'!O40</f>
        <v>10273.125</v>
      </c>
      <c r="D13" s="302">
        <f ca="1">('lokale energieproductie'!P40+'lokale energieproductie'!P48)*(-1)</f>
        <v>-20546.25</v>
      </c>
      <c r="E13" s="244"/>
      <c r="F13" s="302">
        <f ca="1">('lokale energieproductie'!S40+'lokale energieproductie'!S48)*(-1)</f>
        <v>0</v>
      </c>
      <c r="G13" s="245"/>
      <c r="H13" s="244"/>
      <c r="I13" s="244"/>
      <c r="J13" s="244"/>
      <c r="K13" s="244"/>
      <c r="L13" s="302">
        <f ca="1">('lokale energieproductie'!U40+'lokale energieproductie'!T40+'lokale energieproductie'!U48+'lokale energieproductie'!T48)*(-1)</f>
        <v>0</v>
      </c>
      <c r="M13" s="244"/>
      <c r="N13" s="302">
        <f ca="1">('lokale energieproductie'!Q40+'lokale energieproductie'!R40+'lokale energieproductie'!V40+'lokale energieproductie'!Q48+'lokale energieproductie'!R48+'lokale energieproductie'!V48)*(-1)</f>
        <v>-56481.428571428572</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1199616.3648751613</v>
      </c>
      <c r="C16" s="21">
        <f t="shared" ca="1" si="1"/>
        <v>10273.125</v>
      </c>
      <c r="D16" s="21">
        <f t="shared" ca="1" si="1"/>
        <v>1405795.4320636468</v>
      </c>
      <c r="E16" s="21">
        <f t="shared" si="1"/>
        <v>9215.7108102972506</v>
      </c>
      <c r="F16" s="21">
        <f t="shared" ca="1" si="1"/>
        <v>165268.6302974179</v>
      </c>
      <c r="G16" s="21">
        <f t="shared" si="1"/>
        <v>0</v>
      </c>
      <c r="H16" s="21">
        <f t="shared" si="1"/>
        <v>0</v>
      </c>
      <c r="I16" s="21">
        <f t="shared" si="1"/>
        <v>0</v>
      </c>
      <c r="J16" s="21">
        <f t="shared" si="1"/>
        <v>0</v>
      </c>
      <c r="K16" s="21">
        <f t="shared" si="1"/>
        <v>0</v>
      </c>
      <c r="L16" s="21">
        <f t="shared" ca="1" si="1"/>
        <v>0</v>
      </c>
      <c r="M16" s="21">
        <f t="shared" si="1"/>
        <v>0</v>
      </c>
      <c r="N16" s="21">
        <f t="shared" ca="1" si="1"/>
        <v>6635.731406470426</v>
      </c>
      <c r="O16" s="21">
        <f>O5</f>
        <v>21.88666666666667</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0.20750327228509921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248924.32119835154</v>
      </c>
      <c r="C20" s="23">
        <f t="shared" ref="C20:P20" ca="1" si="2">C16*C18</f>
        <v>2441.3779411764708</v>
      </c>
      <c r="D20" s="23">
        <f t="shared" ca="1" si="2"/>
        <v>283970.67727685667</v>
      </c>
      <c r="E20" s="23">
        <f t="shared" si="2"/>
        <v>2091.966353937476</v>
      </c>
      <c r="F20" s="23">
        <f t="shared" ca="1" si="2"/>
        <v>44126.72428941058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579822.50773883169</v>
      </c>
      <c r="C26" s="39">
        <f>IF(ISERROR(B26*3.6/1000000/'E Balans VL '!Z12*100),0,B26*3.6/1000000/'E Balans VL '!Z12*100)</f>
        <v>12.736471724428577</v>
      </c>
      <c r="D26" s="233" t="s">
        <v>676</v>
      </c>
      <c r="F26" s="6"/>
    </row>
    <row r="27" spans="1:18">
      <c r="A27" s="228" t="s">
        <v>52</v>
      </c>
      <c r="B27" s="33">
        <f>IF(ISERROR(TER_horeca_ele_kWh/1000),0,TER_horeca_ele_kWh/1000)</f>
        <v>94757.898000000001</v>
      </c>
      <c r="C27" s="39">
        <f>IF(ISERROR(B27*3.6/1000000/'E Balans VL '!Z9*100),0,B27*3.6/1000000/'E Balans VL '!Z9*100)</f>
        <v>7.614741662183512</v>
      </c>
      <c r="D27" s="233" t="s">
        <v>676</v>
      </c>
      <c r="F27" s="6"/>
    </row>
    <row r="28" spans="1:18">
      <c r="A28" s="168" t="s">
        <v>51</v>
      </c>
      <c r="B28" s="33">
        <f>IF(ISERROR(TER_handel_ele_kWh/1000),0,TER_handel_ele_kWh/1000)</f>
        <v>242378.3403484291</v>
      </c>
      <c r="C28" s="39">
        <f>IF(ISERROR(B28*3.6/1000000/'E Balans VL '!Z13*100),0,B28*3.6/1000000/'E Balans VL '!Z13*100)</f>
        <v>7.1669581950391512</v>
      </c>
      <c r="D28" s="233" t="s">
        <v>676</v>
      </c>
      <c r="F28" s="6"/>
    </row>
    <row r="29" spans="1:18">
      <c r="A29" s="228" t="s">
        <v>50</v>
      </c>
      <c r="B29" s="33">
        <f>IF(ISERROR(TER_gezond_ele_kWh/1000),0,TER_gezond_ele_kWh/1000)</f>
        <v>59845.712</v>
      </c>
      <c r="C29" s="39">
        <f>IF(ISERROR(B29*3.6/1000000/'E Balans VL '!Z10*100),0,B29*3.6/1000000/'E Balans VL '!Z10*100)</f>
        <v>6.7430666623153144</v>
      </c>
      <c r="D29" s="233" t="s">
        <v>676</v>
      </c>
      <c r="F29" s="6"/>
    </row>
    <row r="30" spans="1:18">
      <c r="A30" s="228" t="s">
        <v>49</v>
      </c>
      <c r="B30" s="33">
        <f>IF(ISERROR(TER_ander_ele_kWh/1000),0,TER_ander_ele_kWh/1000)</f>
        <v>69330.424388140164</v>
      </c>
      <c r="C30" s="39">
        <f>IF(ISERROR(B30*3.6/1000000/'E Balans VL '!Z14*100),0,B30*3.6/1000000/'E Balans VL '!Z14*100)</f>
        <v>5.2433414814678798</v>
      </c>
      <c r="D30" s="233" t="s">
        <v>676</v>
      </c>
      <c r="F30" s="6"/>
    </row>
    <row r="31" spans="1:18">
      <c r="A31" s="228" t="s">
        <v>54</v>
      </c>
      <c r="B31" s="33">
        <f>IF(ISERROR(TER_onderwijs_ele_kWh/1000),0,TER_onderwijs_ele_kWh/1000)</f>
        <v>56800.761899760197</v>
      </c>
      <c r="C31" s="39">
        <f>IF(ISERROR(B31*3.6/1000000/'E Balans VL '!Z11*100),0,B31*3.6/1000000/'E Balans VL '!Z11*100)</f>
        <v>11.790519597309617</v>
      </c>
      <c r="D31" s="233" t="s">
        <v>676</v>
      </c>
    </row>
    <row r="32" spans="1:18">
      <c r="A32" s="228" t="s">
        <v>249</v>
      </c>
      <c r="B32" s="33">
        <f>IF(ISERROR(TER_rest_ele_kWh/1000),0,TER_rest_ele_kWh/1000)</f>
        <v>69721.032999999996</v>
      </c>
      <c r="C32" s="39">
        <f>IF(ISERROR(B32*3.6/1000000/'E Balans VL '!Z8*100),0,B32*3.6/1000000/'E Balans VL '!Z8*100)</f>
        <v>0.58735868753026121</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330705.77194000001</v>
      </c>
      <c r="C5" s="17">
        <f>IF(ISERROR('Eigen informatie GS &amp; warmtenet'!B59),0,'Eigen informatie GS &amp; warmtenet'!B59)</f>
        <v>0</v>
      </c>
      <c r="D5" s="30">
        <f>SUM(D6:D15)</f>
        <v>278897.46228029591</v>
      </c>
      <c r="E5" s="17">
        <f>SUM(E6:E15)</f>
        <v>18916.280409622934</v>
      </c>
      <c r="F5" s="17">
        <f>SUM(F6:F15)</f>
        <v>288455.96829229902</v>
      </c>
      <c r="G5" s="18"/>
      <c r="H5" s="17"/>
      <c r="I5" s="17"/>
      <c r="J5" s="17">
        <f>SUM(J6:J15)</f>
        <v>2877.0319145416179</v>
      </c>
      <c r="K5" s="17"/>
      <c r="L5" s="17"/>
      <c r="M5" s="17"/>
      <c r="N5" s="17">
        <f>SUM(N6:N15)</f>
        <v>67454.508308914941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10.553840000000001</v>
      </c>
      <c r="C7" s="33"/>
      <c r="D7" s="37">
        <f>IF( ISERROR(IND_nonf_gas_kWhh/1000),0,IND_nonf_gas_kWh/1000)*0.902</f>
        <v>0</v>
      </c>
      <c r="E7" s="33">
        <f>C29*'E Balans VL '!I17/100/3.6*1000000</f>
        <v>4.5258620483979238E-2</v>
      </c>
      <c r="F7" s="33">
        <f>C29*'E Balans VL '!L17/100/3.6*1000000+C29*'E Balans VL '!N17/100/3.6*1000000</f>
        <v>2.0926275811473332</v>
      </c>
      <c r="G7" s="34"/>
      <c r="H7" s="33"/>
      <c r="I7" s="33"/>
      <c r="J7" s="40">
        <f>C29*'E Balans VL '!D17/100/3.6*1000000+C29*'E Balans VL '!E17/100/3.6*1000000</f>
        <v>4.9537456468262873</v>
      </c>
      <c r="K7" s="33"/>
      <c r="L7" s="33"/>
      <c r="M7" s="33"/>
      <c r="N7" s="33">
        <f>C29*'E Balans VL '!Y17/100/3.6*1000000</f>
        <v>0</v>
      </c>
      <c r="O7" s="33"/>
      <c r="P7" s="33"/>
      <c r="R7" s="32"/>
    </row>
    <row r="8" spans="1:18">
      <c r="A8" s="6" t="s">
        <v>35</v>
      </c>
      <c r="B8" s="37">
        <f t="shared" si="0"/>
        <v>104634.59600000001</v>
      </c>
      <c r="C8" s="33"/>
      <c r="D8" s="37">
        <f>IF( ISERROR(IND_metaal_Gas_kWH/1000),0,IND_metaal_Gas_kWH/1000)*0.902</f>
        <v>4064.5896994773589</v>
      </c>
      <c r="E8" s="33">
        <f>C30*'E Balans VL '!I18/100/3.6*1000000</f>
        <v>2618.6377246396069</v>
      </c>
      <c r="F8" s="33">
        <f>C30*'E Balans VL '!L18/100/3.6*1000000+C30*'E Balans VL '!N18/100/3.6*1000000</f>
        <v>32793.002865647693</v>
      </c>
      <c r="G8" s="34"/>
      <c r="H8" s="33"/>
      <c r="I8" s="33"/>
      <c r="J8" s="40">
        <f>C30*'E Balans VL '!D18/100/3.6*1000000+C30*'E Balans VL '!E18/100/3.6*1000000</f>
        <v>0</v>
      </c>
      <c r="K8" s="33"/>
      <c r="L8" s="33"/>
      <c r="M8" s="33"/>
      <c r="N8" s="33">
        <f>C30*'E Balans VL '!Y18/100/3.6*1000000</f>
        <v>2628.6926019760022</v>
      </c>
      <c r="O8" s="33"/>
      <c r="P8" s="33"/>
      <c r="R8" s="32"/>
    </row>
    <row r="9" spans="1:18">
      <c r="A9" s="6" t="s">
        <v>32</v>
      </c>
      <c r="B9" s="37">
        <f t="shared" si="0"/>
        <v>44758.232000000004</v>
      </c>
      <c r="C9" s="33"/>
      <c r="D9" s="37">
        <f>IF( ISERROR(IND_andere_gas_kWh/1000),0,IND_andere_gas_kWh/1000)*0.902</f>
        <v>33419.967628177837</v>
      </c>
      <c r="E9" s="33">
        <f>C31*'E Balans VL '!I19/100/3.6*1000000</f>
        <v>12306.678038626222</v>
      </c>
      <c r="F9" s="33">
        <f>C31*'E Balans VL '!L19/100/3.6*1000000+C31*'E Balans VL '!N19/100/3.6*1000000</f>
        <v>35277.275307565811</v>
      </c>
      <c r="G9" s="34"/>
      <c r="H9" s="33"/>
      <c r="I9" s="33"/>
      <c r="J9" s="40">
        <f>C31*'E Balans VL '!D19/100/3.6*1000000+C31*'E Balans VL '!E19/100/3.6*1000000</f>
        <v>0</v>
      </c>
      <c r="K9" s="33"/>
      <c r="L9" s="33"/>
      <c r="M9" s="33"/>
      <c r="N9" s="33">
        <f>C31*'E Balans VL '!Y19/100/3.6*1000000</f>
        <v>3605.7513745648607</v>
      </c>
      <c r="O9" s="33"/>
      <c r="P9" s="33"/>
      <c r="R9" s="32"/>
    </row>
    <row r="10" spans="1:18">
      <c r="A10" s="6" t="s">
        <v>40</v>
      </c>
      <c r="B10" s="37">
        <f t="shared" si="0"/>
        <v>109716.883</v>
      </c>
      <c r="C10" s="33"/>
      <c r="D10" s="37">
        <f>IF( ISERROR(IND_voed_gas_kWh/1000),0,IND_voed_gas_kWh/1000)*0.902</f>
        <v>20941.442944712973</v>
      </c>
      <c r="E10" s="33">
        <f>C32*'E Balans VL '!I20/100/3.6*1000000</f>
        <v>1118.5031788092642</v>
      </c>
      <c r="F10" s="33">
        <f>C32*'E Balans VL '!L20/100/3.6*1000000+C32*'E Balans VL '!N20/100/3.6*1000000</f>
        <v>207254.50577413765</v>
      </c>
      <c r="G10" s="34"/>
      <c r="H10" s="33"/>
      <c r="I10" s="33"/>
      <c r="J10" s="40">
        <f>C32*'E Balans VL '!D20/100/3.6*1000000+C32*'E Balans VL '!E20/100/3.6*1000000</f>
        <v>2625.8840054564903</v>
      </c>
      <c r="K10" s="33"/>
      <c r="L10" s="33"/>
      <c r="M10" s="33"/>
      <c r="N10" s="33">
        <f>C32*'E Balans VL '!Y20/100/3.6*1000000</f>
        <v>57833.43517622519</v>
      </c>
      <c r="O10" s="33"/>
      <c r="P10" s="33"/>
      <c r="R10" s="32"/>
    </row>
    <row r="11" spans="1:18">
      <c r="A11" s="6" t="s">
        <v>39</v>
      </c>
      <c r="B11" s="37">
        <f t="shared" si="0"/>
        <v>1800.1869999999999</v>
      </c>
      <c r="C11" s="33"/>
      <c r="D11" s="37">
        <f>IF( ISERROR(IND_textiel_gas_kWh/1000),0,IND_textiel_gas_kWh/1000)*0.902</f>
        <v>1205.6679257411758</v>
      </c>
      <c r="E11" s="33">
        <f>C33*'E Balans VL '!I21/100/3.6*1000000</f>
        <v>4.7713762329880627</v>
      </c>
      <c r="F11" s="33">
        <f>C33*'E Balans VL '!L21/100/3.6*1000000+C33*'E Balans VL '!N21/100/3.6*1000000</f>
        <v>80.398208451168699</v>
      </c>
      <c r="G11" s="34"/>
      <c r="H11" s="33"/>
      <c r="I11" s="33"/>
      <c r="J11" s="40">
        <f>C33*'E Balans VL '!D21/100/3.6*1000000+C33*'E Balans VL '!E21/100/3.6*1000000</f>
        <v>0</v>
      </c>
      <c r="K11" s="33"/>
      <c r="L11" s="33"/>
      <c r="M11" s="33"/>
      <c r="N11" s="33">
        <f>C33*'E Balans VL '!Y21/100/3.6*1000000</f>
        <v>16.965475625525329</v>
      </c>
      <c r="O11" s="33"/>
      <c r="P11" s="33"/>
      <c r="R11" s="32"/>
    </row>
    <row r="12" spans="1:18">
      <c r="A12" s="6" t="s">
        <v>36</v>
      </c>
      <c r="B12" s="37">
        <f t="shared" si="0"/>
        <v>8714.7446</v>
      </c>
      <c r="C12" s="33"/>
      <c r="D12" s="37">
        <f>IF( ISERROR(IND_min_gas_kWh/1000),0,IND_min_gas_kWh/1000)*0.902</f>
        <v>0</v>
      </c>
      <c r="E12" s="33">
        <f>C34*'E Balans VL '!I22/100/3.6*1000000</f>
        <v>26.393019253120972</v>
      </c>
      <c r="F12" s="33">
        <f>C34*'E Balans VL '!L22/100/3.6*1000000+C34*'E Balans VL '!N22/100/3.6*1000000</f>
        <v>272.34326113057847</v>
      </c>
      <c r="G12" s="34"/>
      <c r="H12" s="33"/>
      <c r="I12" s="33"/>
      <c r="J12" s="40">
        <f>C34*'E Balans VL '!D22/100/3.6*1000000+C34*'E Balans VL '!E22/100/3.6*1000000</f>
        <v>12.922031668185509</v>
      </c>
      <c r="K12" s="33"/>
      <c r="L12" s="33"/>
      <c r="M12" s="33"/>
      <c r="N12" s="33">
        <f>C34*'E Balans VL '!Y22/100/3.6*1000000</f>
        <v>0</v>
      </c>
      <c r="O12" s="33"/>
      <c r="P12" s="33"/>
      <c r="R12" s="32"/>
    </row>
    <row r="13" spans="1:18">
      <c r="A13" s="6" t="s">
        <v>38</v>
      </c>
      <c r="B13" s="37">
        <f t="shared" si="0"/>
        <v>4728.7759999999998</v>
      </c>
      <c r="C13" s="33"/>
      <c r="D13" s="37">
        <f>IF( ISERROR(IND_papier_gas_kWh/1000),0,IND_papier_gas_kWh/1000)*0.902</f>
        <v>1926.6951051765711</v>
      </c>
      <c r="E13" s="33">
        <f>C35*'E Balans VL '!I23/100/3.6*1000000</f>
        <v>9.7936142806941664</v>
      </c>
      <c r="F13" s="33">
        <f>C35*'E Balans VL '!L23/100/3.6*1000000+C35*'E Balans VL '!N23/100/3.6*1000000</f>
        <v>93.781765769992489</v>
      </c>
      <c r="G13" s="34"/>
      <c r="H13" s="33"/>
      <c r="I13" s="33"/>
      <c r="J13" s="40">
        <f>C35*'E Balans VL '!D23/100/3.6*1000000+C35*'E Balans VL '!E23/100/3.6*1000000</f>
        <v>0</v>
      </c>
      <c r="K13" s="33"/>
      <c r="L13" s="33"/>
      <c r="M13" s="33"/>
      <c r="N13" s="33">
        <f>C35*'E Balans VL '!Y23/100/3.6*1000000</f>
        <v>327.96451741993224</v>
      </c>
      <c r="O13" s="33"/>
      <c r="P13" s="33"/>
      <c r="R13" s="32"/>
    </row>
    <row r="14" spans="1:18">
      <c r="A14" s="6" t="s">
        <v>33</v>
      </c>
      <c r="B14" s="37">
        <f t="shared" si="0"/>
        <v>738.99549999999999</v>
      </c>
      <c r="C14" s="33"/>
      <c r="D14" s="37">
        <f>IF( ISERROR(IND_chemie_gas_kWh/1000),0,IND_chemie_gas_kWh/1000)*0.902</f>
        <v>236.57406791558421</v>
      </c>
      <c r="E14" s="33">
        <f>C36*'E Balans VL '!I24/100/3.6*1000000</f>
        <v>2.7706155783941919</v>
      </c>
      <c r="F14" s="33">
        <f>C36*'E Balans VL '!L24/100/3.6*1000000+C36*'E Balans VL '!N24/100/3.6*1000000</f>
        <v>8.5974385580433363</v>
      </c>
      <c r="G14" s="34"/>
      <c r="H14" s="33"/>
      <c r="I14" s="33"/>
      <c r="J14" s="40">
        <f>C36*'E Balans VL '!D24/100/3.6*1000000+C36*'E Balans VL '!E24/100/3.6*1000000</f>
        <v>0</v>
      </c>
      <c r="K14" s="33"/>
      <c r="L14" s="33"/>
      <c r="M14" s="33"/>
      <c r="N14" s="33">
        <f>C36*'E Balans VL '!Y24/100/3.6*1000000</f>
        <v>12.625383459144269</v>
      </c>
      <c r="O14" s="33"/>
      <c r="P14" s="33"/>
      <c r="R14" s="32"/>
    </row>
    <row r="15" spans="1:18">
      <c r="A15" s="6" t="s">
        <v>259</v>
      </c>
      <c r="B15" s="37">
        <f t="shared" si="0"/>
        <v>55602.803999999996</v>
      </c>
      <c r="C15" s="33"/>
      <c r="D15" s="37">
        <f>IF( ISERROR(IND_rest_gas_kWh/1000),0,IND_rest_gas_kWh/1000)*0.902</f>
        <v>217102.52490909438</v>
      </c>
      <c r="E15" s="33">
        <f>C37*'E Balans VL '!I15/100/3.6*1000000</f>
        <v>2828.6875835821597</v>
      </c>
      <c r="F15" s="33">
        <f>C37*'E Balans VL '!L15/100/3.6*1000000+C37*'E Balans VL '!N15/100/3.6*1000000</f>
        <v>12673.971043456942</v>
      </c>
      <c r="G15" s="34"/>
      <c r="H15" s="33"/>
      <c r="I15" s="33"/>
      <c r="J15" s="40">
        <f>C37*'E Balans VL '!D15/100/3.6*1000000+C37*'E Balans VL '!E15/100/3.6*1000000</f>
        <v>233.27213177011629</v>
      </c>
      <c r="K15" s="33"/>
      <c r="L15" s="33"/>
      <c r="M15" s="33"/>
      <c r="N15" s="33">
        <f>C37*'E Balans VL '!Y15/100/3.6*1000000</f>
        <v>3029.0737796442963</v>
      </c>
      <c r="O15" s="33"/>
      <c r="P15" s="33"/>
      <c r="R15" s="32"/>
    </row>
    <row r="16" spans="1:18">
      <c r="A16" s="16" t="s">
        <v>481</v>
      </c>
      <c r="B16" s="243">
        <f>'lokale energieproductie'!N47+'lokale energieproductie'!N39</f>
        <v>3627</v>
      </c>
      <c r="C16" s="243">
        <f>'lokale energieproductie'!O47+'lokale energieproductie'!O39</f>
        <v>5181.4285714285716</v>
      </c>
      <c r="D16" s="302">
        <f>('lokale energieproductie'!P39+'lokale energieproductie'!P47)*(-1)</f>
        <v>-10362.857142857143</v>
      </c>
      <c r="E16" s="244"/>
      <c r="F16" s="302">
        <f>('lokale energieproductie'!S39+'lokale energieproductie'!S47)*(-1)</f>
        <v>0</v>
      </c>
      <c r="G16" s="245"/>
      <c r="H16" s="244"/>
      <c r="I16" s="244"/>
      <c r="J16" s="244"/>
      <c r="K16" s="244"/>
      <c r="L16" s="302">
        <f>('lokale energieproductie'!T39+'lokale energieproductie'!U39+'lokale energieproductie'!T47+'lokale energieproductie'!U47)*(-1)</f>
        <v>0</v>
      </c>
      <c r="M16" s="244"/>
      <c r="N16" s="302">
        <f>('lokale energieproductie'!Q39+'lokale energieproductie'!R39+'lokale energieproductie'!V39+'lokale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334332.77194000001</v>
      </c>
      <c r="C18" s="21">
        <f>C5+C16</f>
        <v>5181.4285714285716</v>
      </c>
      <c r="D18" s="21">
        <f>MAX((D5+D16),0)</f>
        <v>268534.60513743875</v>
      </c>
      <c r="E18" s="21">
        <f>MAX((E5+E16),0)</f>
        <v>18916.280409622934</v>
      </c>
      <c r="F18" s="21">
        <f>MAX((F5+F16),0)</f>
        <v>288455.96829229902</v>
      </c>
      <c r="G18" s="21"/>
      <c r="H18" s="21"/>
      <c r="I18" s="21"/>
      <c r="J18" s="21">
        <f>MAX((J5+J16),0)</f>
        <v>2877.0319145416179</v>
      </c>
      <c r="K18" s="21"/>
      <c r="L18" s="21">
        <f>MAX((L5+L16),0)</f>
        <v>0</v>
      </c>
      <c r="M18" s="21"/>
      <c r="N18" s="21">
        <f>MAX((N5+N16),0)</f>
        <v>67454.508308914941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0.20750327228509921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69375.144209697799</v>
      </c>
      <c r="C22" s="23">
        <f ca="1">C18*C20</f>
        <v>1231.3512605042017</v>
      </c>
      <c r="D22" s="23">
        <f>D18*D20</f>
        <v>54243.990237762628</v>
      </c>
      <c r="E22" s="23">
        <f>E18*E20</f>
        <v>4293.9956529844058</v>
      </c>
      <c r="F22" s="23">
        <f>F18*F20</f>
        <v>77017.743534043839</v>
      </c>
      <c r="G22" s="23"/>
      <c r="H22" s="23"/>
      <c r="I22" s="23"/>
      <c r="J22" s="23">
        <f>J18*J20</f>
        <v>1018.4692977477326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10.553840000000001</v>
      </c>
      <c r="C29" s="39">
        <f>IF(ISERROR(B29*3.6/1000000/'E Balans VL '!Z17*100),0,B29*3.6/1000000/'E Balans VL '!Z17*100)</f>
        <v>1.1883078552618657E-2</v>
      </c>
      <c r="D29" s="233" t="s">
        <v>676</v>
      </c>
    </row>
    <row r="30" spans="1:18">
      <c r="A30" s="168" t="s">
        <v>35</v>
      </c>
      <c r="B30" s="37">
        <f>IF( ISERROR(IND_metaal_ele_kWh/1000),0,IND_metaal_ele_kWh/1000)</f>
        <v>104634.59600000001</v>
      </c>
      <c r="C30" s="39">
        <f>IF(ISERROR(B30*3.6/1000000/'E Balans VL '!Z18*100),0,B30*3.6/1000000/'E Balans VL '!Z18*100)</f>
        <v>14.645356453566496</v>
      </c>
      <c r="D30" s="233" t="s">
        <v>676</v>
      </c>
    </row>
    <row r="31" spans="1:18">
      <c r="A31" s="6" t="s">
        <v>32</v>
      </c>
      <c r="B31" s="37">
        <f>IF( ISERROR(IND_ander_ele_kWh/1000),0,IND_ander_ele_kWh/1000)</f>
        <v>44758.232000000004</v>
      </c>
      <c r="C31" s="39">
        <f>IF(ISERROR(B31*3.6/1000000/'E Balans VL '!Z19*100),0,B31*3.6/1000000/'E Balans VL '!Z19*100)</f>
        <v>1.9590605538231938</v>
      </c>
      <c r="D31" s="233" t="s">
        <v>676</v>
      </c>
    </row>
    <row r="32" spans="1:18">
      <c r="A32" s="168" t="s">
        <v>40</v>
      </c>
      <c r="B32" s="37">
        <f>IF( ISERROR(IND_voed_ele_kWh/1000),0,IND_voed_ele_kWh/1000)</f>
        <v>109716.883</v>
      </c>
      <c r="C32" s="39">
        <f>IF(ISERROR(B32*3.6/1000000/'E Balans VL '!Z20*100),0,B32*3.6/1000000/'E Balans VL '!Z20*100)</f>
        <v>27.162256712833848</v>
      </c>
      <c r="D32" s="233" t="s">
        <v>676</v>
      </c>
    </row>
    <row r="33" spans="1:5">
      <c r="A33" s="168" t="s">
        <v>39</v>
      </c>
      <c r="B33" s="37">
        <f>IF( ISERROR(IND_textiel_ele_kWh/1000),0,IND_textiel_ele_kWh/1000)</f>
        <v>1800.1869999999999</v>
      </c>
      <c r="C33" s="39">
        <f>IF(ISERROR(B33*3.6/1000000/'E Balans VL '!Z21*100),0,B33*3.6/1000000/'E Balans VL '!Z21*100)</f>
        <v>0.20284936431384468</v>
      </c>
      <c r="D33" s="233" t="s">
        <v>676</v>
      </c>
    </row>
    <row r="34" spans="1:5">
      <c r="A34" s="168" t="s">
        <v>36</v>
      </c>
      <c r="B34" s="37">
        <f>IF( ISERROR(IND_min_ele_kWh/1000),0,IND_min_ele_kWh/1000)</f>
        <v>8714.7446</v>
      </c>
      <c r="C34" s="39">
        <f>IF(ISERROR(B34*3.6/1000000/'E Balans VL '!Z22*100),0,B34*3.6/1000000/'E Balans VL '!Z22*100)</f>
        <v>0.24728889750087563</v>
      </c>
      <c r="D34" s="233" t="s">
        <v>676</v>
      </c>
    </row>
    <row r="35" spans="1:5">
      <c r="A35" s="168" t="s">
        <v>38</v>
      </c>
      <c r="B35" s="37">
        <f>IF( ISERROR(IND_papier_ele_kWh/1000),0,IND_papier_ele_kWh/1000)</f>
        <v>4728.7759999999998</v>
      </c>
      <c r="C35" s="39">
        <f>IF(ISERROR(B35*3.6/1000000/'E Balans VL '!Z22*100),0,B35*3.6/1000000/'E Balans VL '!Z22*100)</f>
        <v>0.13418337051077789</v>
      </c>
      <c r="D35" s="233" t="s">
        <v>676</v>
      </c>
    </row>
    <row r="36" spans="1:5">
      <c r="A36" s="168" t="s">
        <v>33</v>
      </c>
      <c r="B36" s="37">
        <f>IF( ISERROR(IND_chemie_ele_kWh/1000),0,IND_chemie_ele_kWh/1000)</f>
        <v>738.99549999999999</v>
      </c>
      <c r="C36" s="39">
        <f>IF(ISERROR(B36*3.6/1000000/'E Balans VL '!Z24*100),0,B36*3.6/1000000/'E Balans VL '!Z24*100)</f>
        <v>1.8843257293885408E-2</v>
      </c>
      <c r="D36" s="233" t="s">
        <v>676</v>
      </c>
    </row>
    <row r="37" spans="1:5">
      <c r="A37" s="168" t="s">
        <v>259</v>
      </c>
      <c r="B37" s="37">
        <f>IF( ISERROR(IND_rest_ele_kWh/1000),0,IND_rest_ele_kWh/1000)</f>
        <v>55602.803999999996</v>
      </c>
      <c r="C37" s="39">
        <f>IF(ISERROR(B37*3.6/1000000/'E Balans VL '!Z15*100),0,B37*3.6/1000000/'E Balans VL '!Z15*100)</f>
        <v>0.41228527205711946</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22741.204300000001</v>
      </c>
      <c r="C5" s="17">
        <f>'Eigen informatie GS &amp; warmtenet'!B60</f>
        <v>0</v>
      </c>
      <c r="D5" s="30">
        <f>IF(ISERROR(SUM(LB_lb_gas_kWh,LB_rest_gas_kWh)/1000),0,SUM(LB_lb_gas_kWh,LB_rest_gas_kWh)/1000)*0.902</f>
        <v>20091.531089166834</v>
      </c>
      <c r="E5" s="17">
        <f>B17*'E Balans VL '!I25/3.6*1000000/100</f>
        <v>210.63855911850723</v>
      </c>
      <c r="F5" s="17">
        <f>B17*('E Balans VL '!L25/3.6*1000000+'E Balans VL '!N25/3.6*1000000)/100</f>
        <v>57698.767504073374</v>
      </c>
      <c r="G5" s="18"/>
      <c r="H5" s="17"/>
      <c r="I5" s="17"/>
      <c r="J5" s="17">
        <f>('E Balans VL '!D25+'E Balans VL '!E25)/3.6*1000000*landbouw!B17/100</f>
        <v>3486.4804117707063</v>
      </c>
      <c r="K5" s="17"/>
      <c r="L5" s="17">
        <f>L6*(-1)</f>
        <v>0</v>
      </c>
      <c r="M5" s="17"/>
      <c r="N5" s="17">
        <f>N6*(-1)</f>
        <v>0</v>
      </c>
      <c r="O5" s="17"/>
      <c r="P5" s="17"/>
      <c r="R5" s="32"/>
    </row>
    <row r="6" spans="1:18">
      <c r="A6" s="16" t="s">
        <v>481</v>
      </c>
      <c r="B6" s="17" t="s">
        <v>204</v>
      </c>
      <c r="C6" s="17">
        <f>'lokale energieproductie'!O49+'lokale energieproductie'!O41</f>
        <v>0</v>
      </c>
      <c r="D6" s="302">
        <f>('lokale energieproductie'!P41+'lokale energieproductie'!P49)*(-1)</f>
        <v>0</v>
      </c>
      <c r="E6" s="244"/>
      <c r="F6" s="302">
        <f>('lokale energieproductie'!S41+'lokale energieproductie'!S878)*(-1)</f>
        <v>0</v>
      </c>
      <c r="G6" s="245"/>
      <c r="H6" s="244"/>
      <c r="I6" s="244"/>
      <c r="J6" s="244"/>
      <c r="K6" s="244"/>
      <c r="L6" s="302">
        <f>('lokale energieproductie'!T41+'lokale energieproductie'!U41+'lokale energieproductie'!T49+'lokale energieproductie'!U49)*(-1)</f>
        <v>0</v>
      </c>
      <c r="M6" s="244"/>
      <c r="N6" s="302">
        <f>('lokale energieproductie'!V41+'lokale energieproductie'!R41+'lokale energieproductie'!Q41+'lokale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22741.204300000001</v>
      </c>
      <c r="C8" s="21">
        <f>C5+C6</f>
        <v>0</v>
      </c>
      <c r="D8" s="21">
        <f>MAX((D5+D6),0)</f>
        <v>20091.531089166834</v>
      </c>
      <c r="E8" s="21">
        <f>MAX((E5+E6),0)</f>
        <v>210.63855911850723</v>
      </c>
      <c r="F8" s="21">
        <f>MAX((F5+F6),0)</f>
        <v>57698.767504073374</v>
      </c>
      <c r="G8" s="21"/>
      <c r="H8" s="21"/>
      <c r="I8" s="21"/>
      <c r="J8" s="21">
        <f>MAX((J5+J6),0)</f>
        <v>3486.4804117707063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0.20750327228509921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4718.874307953969</v>
      </c>
      <c r="C12" s="23">
        <f ca="1">C8*C10</f>
        <v>0</v>
      </c>
      <c r="D12" s="23">
        <f>D8*D10</f>
        <v>4058.4892800117009</v>
      </c>
      <c r="E12" s="23">
        <f>E8*E10</f>
        <v>47.814952919901145</v>
      </c>
      <c r="F12" s="23">
        <f>F8*F10</f>
        <v>15405.570923587591</v>
      </c>
      <c r="G12" s="23"/>
      <c r="H12" s="23"/>
      <c r="I12" s="23"/>
      <c r="J12" s="23">
        <f>J8*J10</f>
        <v>1234.2140657668299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3.2333170545815584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67.568836485226754</v>
      </c>
      <c r="C26" s="243">
        <f>B26*'GWP N2O_CH4'!B5</f>
        <v>1418.9455661897618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6.4242365098796688</v>
      </c>
      <c r="C27" s="243">
        <f>B27*'GWP N2O_CH4'!B5</f>
        <v>134.90896670747304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1.004424969982723</v>
      </c>
      <c r="C28" s="243">
        <f>B28*'GWP N2O_CH4'!B4</f>
        <v>311.37174069464413</v>
      </c>
      <c r="D28" s="50"/>
    </row>
    <row r="29" spans="1:4">
      <c r="A29" s="41" t="s">
        <v>266</v>
      </c>
      <c r="B29" s="243">
        <f>B34*'ha_N2O bodem landbouw'!B4</f>
        <v>9.9296807213840665</v>
      </c>
      <c r="C29" s="243">
        <f>B29*'GWP N2O_CH4'!B4</f>
        <v>3078.2010236290607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2.2270524515393387E-3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1.5432611937773273E-3</v>
      </c>
      <c r="C5" s="430" t="s">
        <v>204</v>
      </c>
      <c r="D5" s="415">
        <f>SUM(D6:D11)</f>
        <v>2.2444184746728086E-3</v>
      </c>
      <c r="E5" s="415">
        <f>SUM(E6:E11)</f>
        <v>2.4391056962477439E-2</v>
      </c>
      <c r="F5" s="428" t="s">
        <v>204</v>
      </c>
      <c r="G5" s="415">
        <f>SUM(G6:G11)</f>
        <v>8.6228452312370933</v>
      </c>
      <c r="H5" s="415">
        <f>SUM(H6:H11)</f>
        <v>1.3265337572354472</v>
      </c>
      <c r="I5" s="430" t="s">
        <v>204</v>
      </c>
      <c r="J5" s="430" t="s">
        <v>204</v>
      </c>
      <c r="K5" s="430" t="s">
        <v>204</v>
      </c>
      <c r="L5" s="430" t="s">
        <v>204</v>
      </c>
      <c r="M5" s="415">
        <f>SUM(M6:M11)</f>
        <v>0.54039107869747349</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4.0951468692857314E-4</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6.1850562581088802E-4</v>
      </c>
      <c r="E6" s="858">
        <f>vkm_GW_PW*SUMIFS(TableVerdeelsleutelVkm[LPG],TableVerdeelsleutelVkm[Voertuigtype],"Lichte voertuigen")*SUMIFS(TableECFTransport[EnergieConsumptieFactor (PJ per km)],TableECFTransport[Index],CONCATENATE($A6,"_LPG_LPG"))</f>
        <v>6.0919770655288134E-3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1.393716378252714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0.35966628188800298</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9.1774559686540205E-2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1.2391399362401813E-5</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0.47558706938487694</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8.9926041362776877E-6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2.7573456063271558E-2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2.0927315601708131E-4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4.7679192084769265E-4</v>
      </c>
      <c r="E8" s="418">
        <f>vkm_NGW_PW*SUMIFS(TableVerdeelsleutelVkm[LPG],TableVerdeelsleutelVkm[Voertuigtype],"Lichte voertuigen")*SUMIFS(TableECFTransport[EnergieConsumptieFactor (PJ per km)],TableECFTransport[Index],CONCATENATE($A8,"_LPG_LPG"))</f>
        <v>4.478808577191685E-3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0.95100924108938112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0.26783520833743568</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6.3306549896792644E-2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2.9665747763350448E-6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0.1462868643363264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2.5985846436813434E-6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8.4813744035918664E-3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8.3396263559921231E-4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1.1491209280142282E-3</v>
      </c>
      <c r="E10" s="418">
        <f>vkm_SW_PW*SUMIFS(TableVerdeelsleutelVkm[LPG],TableVerdeelsleutelVkm[Voertuigtype],"Lichte voertuigen")*SUMIFS(TableECFTransport[EnergieConsumptieFactor (PJ per km)],TableECFTransport[Index],CONCATENATE($A10,"_LPG_LPG"))</f>
        <v>1.382027131975694E-2</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2.906768938359038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0.69896453996043817</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0.18984660731716335</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7.5152741093723608E-5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2.7494767398147557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5.6135860790387913E-5</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0.1594085313301139</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428.68366493814642</v>
      </c>
      <c r="C14" s="21"/>
      <c r="D14" s="21">
        <f t="shared" ref="D14:M14" si="0">((D5)*10^9/3600)+D12</f>
        <v>623.4495762980024</v>
      </c>
      <c r="E14" s="21">
        <f t="shared" si="0"/>
        <v>6775.2936006881773</v>
      </c>
      <c r="F14" s="21"/>
      <c r="G14" s="21">
        <f t="shared" si="0"/>
        <v>2395234.7864547479</v>
      </c>
      <c r="H14" s="21">
        <f t="shared" si="0"/>
        <v>368481.59923206863</v>
      </c>
      <c r="I14" s="21"/>
      <c r="J14" s="21"/>
      <c r="K14" s="21"/>
      <c r="L14" s="21"/>
      <c r="M14" s="21">
        <f t="shared" si="0"/>
        <v>150108.63297152042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0.20750327228509921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88.953263249834436</v>
      </c>
      <c r="C18" s="23"/>
      <c r="D18" s="23">
        <f t="shared" ref="D18:M18" si="1">D14*D16</f>
        <v>125.9368144121965</v>
      </c>
      <c r="E18" s="23">
        <f t="shared" si="1"/>
        <v>1537.9916473562164</v>
      </c>
      <c r="F18" s="23"/>
      <c r="G18" s="23">
        <f t="shared" si="1"/>
        <v>639527.68798341777</v>
      </c>
      <c r="H18" s="23">
        <f t="shared" si="1"/>
        <v>91751.918208785093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0.12160633456587856</v>
      </c>
      <c r="C50" s="313">
        <f t="shared" ref="C50:P50" si="2">SUM(C51:C52)</f>
        <v>0</v>
      </c>
      <c r="D50" s="313">
        <f t="shared" si="2"/>
        <v>0</v>
      </c>
      <c r="E50" s="313">
        <f t="shared" si="2"/>
        <v>0</v>
      </c>
      <c r="F50" s="313">
        <f t="shared" si="2"/>
        <v>0</v>
      </c>
      <c r="G50" s="313">
        <f t="shared" si="2"/>
        <v>0.17134079058119017</v>
      </c>
      <c r="H50" s="313">
        <f t="shared" si="2"/>
        <v>0</v>
      </c>
      <c r="I50" s="313">
        <f t="shared" si="2"/>
        <v>0</v>
      </c>
      <c r="J50" s="313">
        <f t="shared" si="2"/>
        <v>0</v>
      </c>
      <c r="K50" s="313">
        <f t="shared" si="2"/>
        <v>0</v>
      </c>
      <c r="L50" s="313">
        <f t="shared" si="2"/>
        <v>0</v>
      </c>
      <c r="M50" s="313">
        <f t="shared" si="2"/>
        <v>9.8637528036548839E-3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9.0423599962367093E-4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0.17134079058119017</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9.8637528036548839E-3</v>
      </c>
      <c r="N51" s="315"/>
      <c r="O51" s="315"/>
      <c r="P51" s="318"/>
    </row>
    <row r="52" spans="1:18">
      <c r="A52" s="4" t="s">
        <v>318</v>
      </c>
      <c r="B52" s="859">
        <f>vkm_tram*SUMIFS(TableECFTransport[EnergieConsumptieFactor (PJ per km)],TableECFTransport[Index],"Tram_gemiddeld_Electric_Electric")</f>
        <v>0.1207020985662549</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33779.537379410714</v>
      </c>
      <c r="C54" s="21">
        <f t="shared" ref="C54:P54" si="3">(C50)*10^9/3600</f>
        <v>0</v>
      </c>
      <c r="D54" s="21">
        <f t="shared" si="3"/>
        <v>0</v>
      </c>
      <c r="E54" s="21">
        <f t="shared" si="3"/>
        <v>0</v>
      </c>
      <c r="F54" s="21">
        <f t="shared" si="3"/>
        <v>0</v>
      </c>
      <c r="G54" s="21">
        <f t="shared" si="3"/>
        <v>47594.664050330604</v>
      </c>
      <c r="H54" s="21">
        <f t="shared" si="3"/>
        <v>0</v>
      </c>
      <c r="I54" s="21">
        <f t="shared" si="3"/>
        <v>0</v>
      </c>
      <c r="J54" s="21">
        <f t="shared" si="3"/>
        <v>0</v>
      </c>
      <c r="K54" s="21">
        <f t="shared" si="3"/>
        <v>0</v>
      </c>
      <c r="L54" s="21">
        <f t="shared" si="3"/>
        <v>0</v>
      </c>
      <c r="M54" s="21">
        <f t="shared" si="3"/>
        <v>2739.9313343485787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0.20750327228509921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7009.3645425045479</v>
      </c>
      <c r="C58" s="23">
        <f t="shared" ref="C58:P58" ca="1" si="4">C54*C56</f>
        <v>0</v>
      </c>
      <c r="D58" s="23">
        <f t="shared" si="4"/>
        <v>0</v>
      </c>
      <c r="E58" s="23">
        <f t="shared" si="4"/>
        <v>0</v>
      </c>
      <c r="F58" s="23">
        <f t="shared" si="4"/>
        <v>0</v>
      </c>
      <c r="G58" s="23">
        <f t="shared" si="4"/>
        <v>12707.775301438272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1"/>
  <sheetViews>
    <sheetView showGridLines="0" zoomScale="65" zoomScaleNormal="65" workbookViewId="0">
      <selection activeCell="A28" sqref="A28:XFD38"/>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65610.176517411266</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58262.130284408042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N38</f>
        <v>10818.1875</v>
      </c>
      <c r="C8" s="537">
        <f>B58</f>
        <v>12727.279411764706</v>
      </c>
      <c r="D8" s="1014"/>
      <c r="E8" s="1014">
        <f>E58</f>
        <v>0</v>
      </c>
      <c r="F8" s="1015"/>
      <c r="G8" s="538"/>
      <c r="H8" s="1014">
        <f>I58</f>
        <v>0</v>
      </c>
      <c r="I8" s="1014">
        <f>G58+F58</f>
        <v>0</v>
      </c>
      <c r="J8" s="1014">
        <f>H58+D58+C58</f>
        <v>0</v>
      </c>
      <c r="K8" s="1014"/>
      <c r="L8" s="1014"/>
      <c r="M8" s="1014"/>
      <c r="N8" s="539"/>
      <c r="O8" s="540">
        <f>C8*$C$12+D8*$D$12+E8*$E$12+F8*$F$12+G8*$G$12+H8*$H$12+I8*$I$12+J8*$J$12</f>
        <v>2570.9104411764706</v>
      </c>
      <c r="P8" s="1250"/>
      <c r="Q8" s="1251"/>
      <c r="S8" s="978"/>
      <c r="T8" s="1271"/>
      <c r="U8" s="1271"/>
    </row>
    <row r="9" spans="1:21" s="526" customFormat="1" ht="17.45" customHeight="1" thickBot="1">
      <c r="A9" s="541" t="s">
        <v>237</v>
      </c>
      <c r="B9" s="542">
        <f>N46+'Eigen informatie GS &amp; warmtenet'!B12</f>
        <v>19768.5</v>
      </c>
      <c r="C9" s="543">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154458.9943018193</v>
      </c>
      <c r="C10" s="550">
        <f t="shared" ref="C10:L10" si="0">SUM(C8:C9)</f>
        <v>12727.279411764706</v>
      </c>
      <c r="D10" s="550">
        <f t="shared" si="0"/>
        <v>0</v>
      </c>
      <c r="E10" s="550">
        <f t="shared" si="0"/>
        <v>0</v>
      </c>
      <c r="F10" s="550">
        <f t="shared" si="0"/>
        <v>0</v>
      </c>
      <c r="G10" s="550">
        <f t="shared" si="0"/>
        <v>0</v>
      </c>
      <c r="H10" s="550">
        <f t="shared" si="0"/>
        <v>0</v>
      </c>
      <c r="I10" s="550">
        <f t="shared" si="0"/>
        <v>0</v>
      </c>
      <c r="J10" s="550">
        <f t="shared" si="0"/>
        <v>56481.428571428572</v>
      </c>
      <c r="K10" s="550">
        <f t="shared" si="0"/>
        <v>0</v>
      </c>
      <c r="L10" s="550">
        <f t="shared" si="0"/>
        <v>0</v>
      </c>
      <c r="M10" s="1017"/>
      <c r="N10" s="1017"/>
      <c r="O10" s="551">
        <f>SUM(O4:O9)</f>
        <v>2570.9104411764706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O38</f>
        <v>15454.553571428572</v>
      </c>
      <c r="C17" s="562">
        <f>B59</f>
        <v>18181.827731092439</v>
      </c>
      <c r="D17" s="563"/>
      <c r="E17" s="563">
        <f>E59</f>
        <v>0</v>
      </c>
      <c r="F17" s="1020"/>
      <c r="G17" s="564"/>
      <c r="H17" s="562">
        <f>I59</f>
        <v>0</v>
      </c>
      <c r="I17" s="563">
        <f>G59+F59</f>
        <v>0</v>
      </c>
      <c r="J17" s="563">
        <f>H59+D59+C59</f>
        <v>0</v>
      </c>
      <c r="K17" s="563"/>
      <c r="L17" s="563"/>
      <c r="M17" s="563"/>
      <c r="N17" s="1021"/>
      <c r="O17" s="565">
        <f>C17*$C$22+E17*$E$22+H17*$H$22+I17*$I$22+J17*$J$22+D17*$D$22+F17*$F$22+G17*$G$22+K17*$K$22+L17*$L$22</f>
        <v>3672.7292016806728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15454.553571428572</v>
      </c>
      <c r="C20" s="549">
        <f>SUM(C17:C19)</f>
        <v>18181.827731092439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3672.7292016806728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51" hidden="1">
      <c r="A28" s="572"/>
      <c r="B28" s="763">
        <v>11002</v>
      </c>
      <c r="C28" s="763">
        <v>2018</v>
      </c>
      <c r="D28" s="620"/>
      <c r="E28" s="619"/>
      <c r="F28" s="619"/>
      <c r="G28" s="619" t="s">
        <v>922</v>
      </c>
      <c r="H28" s="619" t="s">
        <v>923</v>
      </c>
      <c r="I28" s="619"/>
      <c r="J28" s="762"/>
      <c r="K28" s="762"/>
      <c r="L28" s="619" t="s">
        <v>924</v>
      </c>
      <c r="M28" s="619">
        <v>220</v>
      </c>
      <c r="N28" s="619">
        <v>990</v>
      </c>
      <c r="O28" s="619">
        <v>1414.2857142857142</v>
      </c>
      <c r="P28" s="619">
        <v>2828.5714285714289</v>
      </c>
      <c r="Q28" s="619">
        <v>0</v>
      </c>
      <c r="R28" s="619">
        <v>0</v>
      </c>
      <c r="S28" s="619">
        <v>0</v>
      </c>
      <c r="T28" s="619">
        <v>0</v>
      </c>
      <c r="U28" s="619">
        <v>0</v>
      </c>
      <c r="V28" s="619">
        <v>0</v>
      </c>
      <c r="W28" s="619">
        <v>0</v>
      </c>
      <c r="X28" s="619">
        <v>1500</v>
      </c>
      <c r="Y28" s="619" t="s">
        <v>50</v>
      </c>
      <c r="Z28" s="621" t="s">
        <v>149</v>
      </c>
    </row>
    <row r="29" spans="1:26" s="573" customFormat="1" ht="25.5" hidden="1">
      <c r="A29" s="572"/>
      <c r="B29" s="763">
        <v>11002</v>
      </c>
      <c r="C29" s="763">
        <v>2170</v>
      </c>
      <c r="D29" s="620"/>
      <c r="E29" s="619"/>
      <c r="F29" s="619"/>
      <c r="G29" s="619" t="s">
        <v>922</v>
      </c>
      <c r="H29" s="619" t="s">
        <v>923</v>
      </c>
      <c r="I29" s="619"/>
      <c r="J29" s="762"/>
      <c r="K29" s="762"/>
      <c r="L29" s="619" t="s">
        <v>924</v>
      </c>
      <c r="M29" s="619">
        <v>806</v>
      </c>
      <c r="N29" s="619">
        <v>3627</v>
      </c>
      <c r="O29" s="619">
        <v>5181.4285714285716</v>
      </c>
      <c r="P29" s="619">
        <v>10362.857142857143</v>
      </c>
      <c r="Q29" s="619">
        <v>0</v>
      </c>
      <c r="R29" s="619">
        <v>0</v>
      </c>
      <c r="S29" s="619">
        <v>0</v>
      </c>
      <c r="T29" s="619">
        <v>0</v>
      </c>
      <c r="U29" s="619">
        <v>0</v>
      </c>
      <c r="V29" s="619">
        <v>0</v>
      </c>
      <c r="W29" s="619">
        <v>0</v>
      </c>
      <c r="X29" s="619">
        <v>500</v>
      </c>
      <c r="Y29" s="619" t="s">
        <v>40</v>
      </c>
      <c r="Z29" s="621" t="s">
        <v>376</v>
      </c>
    </row>
    <row r="30" spans="1:26" s="573" customFormat="1" ht="51" hidden="1">
      <c r="A30" s="572"/>
      <c r="B30" s="763">
        <v>11002</v>
      </c>
      <c r="C30" s="763">
        <v>2020</v>
      </c>
      <c r="D30" s="620"/>
      <c r="E30" s="619"/>
      <c r="F30" s="619"/>
      <c r="G30" s="619" t="s">
        <v>922</v>
      </c>
      <c r="H30" s="619" t="s">
        <v>923</v>
      </c>
      <c r="I30" s="619"/>
      <c r="J30" s="762"/>
      <c r="K30" s="762"/>
      <c r="L30" s="619" t="s">
        <v>924</v>
      </c>
      <c r="M30" s="619">
        <v>834</v>
      </c>
      <c r="N30" s="619">
        <v>3753</v>
      </c>
      <c r="O30" s="619">
        <v>5361.4285714285716</v>
      </c>
      <c r="P30" s="619">
        <v>10722.857142857143</v>
      </c>
      <c r="Q30" s="619">
        <v>0</v>
      </c>
      <c r="R30" s="619">
        <v>0</v>
      </c>
      <c r="S30" s="619">
        <v>0</v>
      </c>
      <c r="T30" s="619">
        <v>0</v>
      </c>
      <c r="U30" s="619">
        <v>0</v>
      </c>
      <c r="V30" s="619">
        <v>0</v>
      </c>
      <c r="W30" s="619">
        <v>0</v>
      </c>
      <c r="X30" s="619">
        <v>1500</v>
      </c>
      <c r="Y30" s="619" t="s">
        <v>50</v>
      </c>
      <c r="Z30" s="621" t="s">
        <v>149</v>
      </c>
    </row>
    <row r="31" spans="1:26" s="573" customFormat="1" ht="51" hidden="1">
      <c r="A31" s="572"/>
      <c r="B31" s="763">
        <v>11002</v>
      </c>
      <c r="C31" s="763">
        <v>2018</v>
      </c>
      <c r="D31" s="620"/>
      <c r="E31" s="619"/>
      <c r="F31" s="619"/>
      <c r="G31" s="619" t="s">
        <v>922</v>
      </c>
      <c r="H31" s="619" t="s">
        <v>923</v>
      </c>
      <c r="I31" s="619"/>
      <c r="J31" s="762"/>
      <c r="K31" s="762"/>
      <c r="L31" s="619" t="s">
        <v>924</v>
      </c>
      <c r="M31" s="619">
        <v>60</v>
      </c>
      <c r="N31" s="619">
        <v>270</v>
      </c>
      <c r="O31" s="619">
        <v>385.71428571428572</v>
      </c>
      <c r="P31" s="619">
        <v>771.42857142857144</v>
      </c>
      <c r="Q31" s="619">
        <v>0</v>
      </c>
      <c r="R31" s="619">
        <v>0</v>
      </c>
      <c r="S31" s="619">
        <v>0</v>
      </c>
      <c r="T31" s="619">
        <v>0</v>
      </c>
      <c r="U31" s="619">
        <v>0</v>
      </c>
      <c r="V31" s="619">
        <v>0</v>
      </c>
      <c r="W31" s="619">
        <v>0</v>
      </c>
      <c r="X31" s="619">
        <v>1500</v>
      </c>
      <c r="Y31" s="619" t="s">
        <v>50</v>
      </c>
      <c r="Z31" s="621" t="s">
        <v>149</v>
      </c>
    </row>
    <row r="32" spans="1:26" s="573" customFormat="1" ht="63.75" hidden="1">
      <c r="A32" s="572"/>
      <c r="B32" s="763">
        <v>11002</v>
      </c>
      <c r="C32" s="763">
        <v>2170</v>
      </c>
      <c r="D32" s="620"/>
      <c r="E32" s="619"/>
      <c r="F32" s="619"/>
      <c r="G32" s="619" t="s">
        <v>922</v>
      </c>
      <c r="H32" s="619" t="s">
        <v>923</v>
      </c>
      <c r="I32" s="619"/>
      <c r="J32" s="762"/>
      <c r="K32" s="762"/>
      <c r="L32" s="619" t="s">
        <v>924</v>
      </c>
      <c r="M32" s="619">
        <v>70</v>
      </c>
      <c r="N32" s="619">
        <v>315.00000000000006</v>
      </c>
      <c r="O32" s="619">
        <v>450.00000000000011</v>
      </c>
      <c r="P32" s="619">
        <v>900.00000000000023</v>
      </c>
      <c r="Q32" s="619">
        <v>0</v>
      </c>
      <c r="R32" s="619">
        <v>0</v>
      </c>
      <c r="S32" s="619">
        <v>0</v>
      </c>
      <c r="T32" s="619">
        <v>0</v>
      </c>
      <c r="U32" s="619">
        <v>0</v>
      </c>
      <c r="V32" s="619">
        <v>0</v>
      </c>
      <c r="W32" s="619">
        <v>0</v>
      </c>
      <c r="X32" s="619">
        <v>1600</v>
      </c>
      <c r="Y32" s="619" t="s">
        <v>49</v>
      </c>
      <c r="Z32" s="621" t="s">
        <v>149</v>
      </c>
    </row>
    <row r="33" spans="1:26" s="573" customFormat="1" ht="63.75" hidden="1">
      <c r="A33" s="572"/>
      <c r="B33" s="763">
        <v>11002</v>
      </c>
      <c r="C33" s="763">
        <v>2610</v>
      </c>
      <c r="D33" s="620"/>
      <c r="E33" s="619"/>
      <c r="F33" s="619"/>
      <c r="G33" s="619" t="s">
        <v>922</v>
      </c>
      <c r="H33" s="619" t="s">
        <v>923</v>
      </c>
      <c r="I33" s="619"/>
      <c r="J33" s="762"/>
      <c r="K33" s="762"/>
      <c r="L33" s="619" t="s">
        <v>924</v>
      </c>
      <c r="M33" s="619">
        <v>70</v>
      </c>
      <c r="N33" s="619">
        <v>315.00000000000006</v>
      </c>
      <c r="O33" s="619">
        <v>450.00000000000011</v>
      </c>
      <c r="P33" s="619">
        <v>900.00000000000023</v>
      </c>
      <c r="Q33" s="619">
        <v>0</v>
      </c>
      <c r="R33" s="619">
        <v>0</v>
      </c>
      <c r="S33" s="619">
        <v>0</v>
      </c>
      <c r="T33" s="619">
        <v>0</v>
      </c>
      <c r="U33" s="619">
        <v>0</v>
      </c>
      <c r="V33" s="619">
        <v>0</v>
      </c>
      <c r="W33" s="619">
        <v>0</v>
      </c>
      <c r="X33" s="619">
        <v>1600</v>
      </c>
      <c r="Y33" s="619" t="s">
        <v>49</v>
      </c>
      <c r="Z33" s="621" t="s">
        <v>149</v>
      </c>
    </row>
    <row r="34" spans="1:26" s="573" customFormat="1" ht="63.75" hidden="1">
      <c r="A34" s="572"/>
      <c r="B34" s="763">
        <v>11002</v>
      </c>
      <c r="C34" s="763">
        <v>2018</v>
      </c>
      <c r="D34" s="620"/>
      <c r="E34" s="619"/>
      <c r="F34" s="619"/>
      <c r="G34" s="619" t="s">
        <v>922</v>
      </c>
      <c r="H34" s="619" t="s">
        <v>923</v>
      </c>
      <c r="I34" s="619"/>
      <c r="J34" s="762"/>
      <c r="K34" s="762"/>
      <c r="L34" s="619" t="s">
        <v>924</v>
      </c>
      <c r="M34" s="619">
        <v>199</v>
      </c>
      <c r="N34" s="619">
        <v>895.5</v>
      </c>
      <c r="O34" s="619">
        <v>1279.2857142857142</v>
      </c>
      <c r="P34" s="619">
        <v>2558.5714285714289</v>
      </c>
      <c r="Q34" s="619">
        <v>0</v>
      </c>
      <c r="R34" s="619">
        <v>0</v>
      </c>
      <c r="S34" s="619">
        <v>0</v>
      </c>
      <c r="T34" s="619">
        <v>0</v>
      </c>
      <c r="U34" s="619">
        <v>0</v>
      </c>
      <c r="V34" s="619">
        <v>0</v>
      </c>
      <c r="W34" s="619">
        <v>0</v>
      </c>
      <c r="X34" s="619">
        <v>1600</v>
      </c>
      <c r="Y34" s="619" t="s">
        <v>49</v>
      </c>
      <c r="Z34" s="621" t="s">
        <v>149</v>
      </c>
    </row>
    <row r="35" spans="1:26" s="573" customFormat="1" ht="63.75" hidden="1">
      <c r="A35" s="572"/>
      <c r="B35" s="763">
        <v>11002</v>
      </c>
      <c r="C35" s="763">
        <v>2660</v>
      </c>
      <c r="D35" s="620"/>
      <c r="E35" s="619"/>
      <c r="F35" s="619"/>
      <c r="G35" s="619" t="s">
        <v>922</v>
      </c>
      <c r="H35" s="619" t="s">
        <v>923</v>
      </c>
      <c r="I35" s="619"/>
      <c r="J35" s="762"/>
      <c r="K35" s="762"/>
      <c r="L35" s="619" t="s">
        <v>925</v>
      </c>
      <c r="M35" s="619">
        <v>70</v>
      </c>
      <c r="N35" s="619">
        <v>315.00000000000006</v>
      </c>
      <c r="O35" s="619">
        <v>450.00000000000011</v>
      </c>
      <c r="P35" s="619">
        <v>900.00000000000023</v>
      </c>
      <c r="Q35" s="619">
        <v>0</v>
      </c>
      <c r="R35" s="619">
        <v>0</v>
      </c>
      <c r="S35" s="619">
        <v>0</v>
      </c>
      <c r="T35" s="619">
        <v>0</v>
      </c>
      <c r="U35" s="619">
        <v>0</v>
      </c>
      <c r="V35" s="619">
        <v>0</v>
      </c>
      <c r="W35" s="619">
        <v>0</v>
      </c>
      <c r="X35" s="619">
        <v>1600</v>
      </c>
      <c r="Y35" s="619" t="s">
        <v>49</v>
      </c>
      <c r="Z35" s="621" t="s">
        <v>149</v>
      </c>
    </row>
    <row r="36" spans="1:26" s="573" customFormat="1" ht="63.75" hidden="1">
      <c r="A36" s="572"/>
      <c r="B36" s="763">
        <v>11002</v>
      </c>
      <c r="C36" s="763">
        <v>2140</v>
      </c>
      <c r="D36" s="620"/>
      <c r="E36" s="619"/>
      <c r="F36" s="619"/>
      <c r="G36" s="619" t="s">
        <v>922</v>
      </c>
      <c r="H36" s="619" t="s">
        <v>923</v>
      </c>
      <c r="I36" s="619"/>
      <c r="J36" s="762"/>
      <c r="K36" s="762"/>
      <c r="L36" s="619" t="s">
        <v>924</v>
      </c>
      <c r="M36" s="619">
        <v>70</v>
      </c>
      <c r="N36" s="619">
        <v>315.00000000000006</v>
      </c>
      <c r="O36" s="619">
        <v>450.00000000000011</v>
      </c>
      <c r="P36" s="619">
        <v>900.00000000000023</v>
      </c>
      <c r="Q36" s="619">
        <v>0</v>
      </c>
      <c r="R36" s="619">
        <v>0</v>
      </c>
      <c r="S36" s="619">
        <v>0</v>
      </c>
      <c r="T36" s="619">
        <v>0</v>
      </c>
      <c r="U36" s="619">
        <v>0</v>
      </c>
      <c r="V36" s="619">
        <v>0</v>
      </c>
      <c r="W36" s="619">
        <v>0</v>
      </c>
      <c r="X36" s="619">
        <v>1600</v>
      </c>
      <c r="Y36" s="619" t="s">
        <v>49</v>
      </c>
      <c r="Z36" s="621" t="s">
        <v>149</v>
      </c>
    </row>
    <row r="37" spans="1:26" s="573" customFormat="1" ht="25.5" hidden="1">
      <c r="A37" s="572"/>
      <c r="B37" s="763">
        <v>11002</v>
      </c>
      <c r="C37" s="763">
        <v>2000</v>
      </c>
      <c r="D37" s="620"/>
      <c r="E37" s="619"/>
      <c r="F37" s="619"/>
      <c r="G37" s="619" t="s">
        <v>922</v>
      </c>
      <c r="H37" s="619" t="s">
        <v>923</v>
      </c>
      <c r="I37" s="619"/>
      <c r="J37" s="762"/>
      <c r="K37" s="762"/>
      <c r="L37" s="619" t="s">
        <v>925</v>
      </c>
      <c r="M37" s="619">
        <v>5.5</v>
      </c>
      <c r="N37" s="619">
        <v>22.6875</v>
      </c>
      <c r="O37" s="619">
        <v>32.410714285714285</v>
      </c>
      <c r="P37" s="619">
        <v>64.821428571428569</v>
      </c>
      <c r="Q37" s="619">
        <v>0</v>
      </c>
      <c r="R37" s="619">
        <v>0</v>
      </c>
      <c r="S37" s="619">
        <v>0</v>
      </c>
      <c r="T37" s="619">
        <v>0</v>
      </c>
      <c r="U37" s="619">
        <v>0</v>
      </c>
      <c r="V37" s="619">
        <v>0</v>
      </c>
      <c r="W37" s="619">
        <v>0</v>
      </c>
      <c r="X37" s="619">
        <v>1300</v>
      </c>
      <c r="Y37" s="619" t="s">
        <v>53</v>
      </c>
      <c r="Z37" s="621" t="s">
        <v>149</v>
      </c>
    </row>
    <row r="38" spans="1:26" s="557" customFormat="1" hidden="1">
      <c r="A38" s="575" t="s">
        <v>269</v>
      </c>
      <c r="B38" s="576"/>
      <c r="C38" s="576"/>
      <c r="D38" s="576"/>
      <c r="E38" s="576"/>
      <c r="F38" s="576"/>
      <c r="G38" s="576"/>
      <c r="H38" s="576"/>
      <c r="I38" s="576"/>
      <c r="J38" s="576"/>
      <c r="K38" s="576"/>
      <c r="L38" s="577"/>
      <c r="M38" s="577">
        <f>SUM(M28:M37)</f>
        <v>2404.5</v>
      </c>
      <c r="N38" s="577">
        <f>SUM(N28:N37)</f>
        <v>10818.1875</v>
      </c>
      <c r="O38" s="577">
        <f>SUM(O28:O37)</f>
        <v>15454.553571428572</v>
      </c>
      <c r="P38" s="577">
        <f>SUM(P28:P37)</f>
        <v>30909.107142857145</v>
      </c>
      <c r="Q38" s="577">
        <f>SUM(Q28:Q37)</f>
        <v>0</v>
      </c>
      <c r="R38" s="577">
        <f>SUM(R28:R37)</f>
        <v>0</v>
      </c>
      <c r="S38" s="577">
        <f>SUM(S28:S37)</f>
        <v>0</v>
      </c>
      <c r="T38" s="577">
        <f>SUM(T28:T37)</f>
        <v>0</v>
      </c>
      <c r="U38" s="577">
        <f>SUM(U28:U37)</f>
        <v>0</v>
      </c>
      <c r="V38" s="577">
        <f>SUM(V28:V37)</f>
        <v>0</v>
      </c>
      <c r="W38" s="577">
        <f>SUM(W28:W37)</f>
        <v>0</v>
      </c>
      <c r="X38" s="578"/>
      <c r="Y38" s="578"/>
      <c r="Z38" s="579"/>
    </row>
    <row r="39" spans="1:26" s="557" customFormat="1">
      <c r="A39" s="575" t="s">
        <v>276</v>
      </c>
      <c r="B39" s="576"/>
      <c r="C39" s="576"/>
      <c r="D39" s="576"/>
      <c r="E39" s="576"/>
      <c r="F39" s="576"/>
      <c r="G39" s="576"/>
      <c r="H39" s="576"/>
      <c r="I39" s="576"/>
      <c r="J39" s="576"/>
      <c r="K39" s="576"/>
      <c r="L39" s="577"/>
      <c r="M39" s="577">
        <f>SUMIF($Z$28:$Z$37,"industrie",M28:M37)</f>
        <v>806</v>
      </c>
      <c r="N39" s="577">
        <f>SUMIF($Z$28:$Z$37,"industrie",N28:N37)</f>
        <v>3627</v>
      </c>
      <c r="O39" s="577">
        <f>SUMIF($Z$28:$Z$37,"industrie",O28:O37)</f>
        <v>5181.4285714285716</v>
      </c>
      <c r="P39" s="577">
        <f>SUMIF($Z$28:$Z$37,"industrie",P28:P37)</f>
        <v>10362.857142857143</v>
      </c>
      <c r="Q39" s="577">
        <f>SUMIF($Z$28:$Z$37,"industrie",Q28:Q37)</f>
        <v>0</v>
      </c>
      <c r="R39" s="577">
        <f>SUMIF($Z$28:$Z$37,"industrie",R28:R37)</f>
        <v>0</v>
      </c>
      <c r="S39" s="577">
        <f>SUMIF($Z$28:$Z$37,"industrie",S28:S37)</f>
        <v>0</v>
      </c>
      <c r="T39" s="577">
        <f>SUMIF($Z$28:$Z$37,"industrie",T28:T37)</f>
        <v>0</v>
      </c>
      <c r="U39" s="577">
        <f>SUMIF($Z$28:$Z$37,"industrie",U28:U37)</f>
        <v>0</v>
      </c>
      <c r="V39" s="577">
        <f>SUMIF($Z$28:$Z$37,"industrie",V28:V37)</f>
        <v>0</v>
      </c>
      <c r="W39" s="577">
        <f>SUMIF($Z$28:$Z$37,"industrie",W28:W37)</f>
        <v>0</v>
      </c>
      <c r="X39" s="578"/>
      <c r="Y39" s="578"/>
      <c r="Z39" s="579"/>
    </row>
    <row r="40" spans="1:26" s="557" customFormat="1">
      <c r="A40" s="575" t="s">
        <v>277</v>
      </c>
      <c r="B40" s="576"/>
      <c r="C40" s="576"/>
      <c r="D40" s="576"/>
      <c r="E40" s="576"/>
      <c r="F40" s="576"/>
      <c r="G40" s="576"/>
      <c r="H40" s="576"/>
      <c r="I40" s="576"/>
      <c r="J40" s="576"/>
      <c r="K40" s="576"/>
      <c r="L40" s="577"/>
      <c r="M40" s="577">
        <f ca="1">SUMIF($Z$28:AC37,"tertiair",M28:M37)</f>
        <v>1598.5</v>
      </c>
      <c r="N40" s="577">
        <f ca="1">SUMIF($Z$28:AD37,"tertiair",N28:N37)</f>
        <v>7191.1875</v>
      </c>
      <c r="O40" s="577">
        <f ca="1">SUMIF($Z$28:AE37,"tertiair",O28:O37)</f>
        <v>10273.125</v>
      </c>
      <c r="P40" s="577">
        <f ca="1">SUMIF($Z$28:AF37,"tertiair",P28:P37)</f>
        <v>20546.25</v>
      </c>
      <c r="Q40" s="577">
        <f ca="1">SUMIF($Z$28:AG37,"tertiair",Q28:Q37)</f>
        <v>0</v>
      </c>
      <c r="R40" s="577">
        <f ca="1">SUMIF($Z$28:AH37,"tertiair",R28:R37)</f>
        <v>0</v>
      </c>
      <c r="S40" s="577">
        <f ca="1">SUMIF($Z$28:AI37,"tertiair",S28:S37)</f>
        <v>0</v>
      </c>
      <c r="T40" s="577">
        <f ca="1">SUMIF($Z$28:AJ37,"tertiair",T28:T37)</f>
        <v>0</v>
      </c>
      <c r="U40" s="577">
        <f ca="1">SUMIF($Z$28:AK37,"tertiair",U28:U37)</f>
        <v>0</v>
      </c>
      <c r="V40" s="577">
        <f ca="1">SUMIF($Z$28:AL37,"tertiair",V28:V37)</f>
        <v>0</v>
      </c>
      <c r="W40" s="577">
        <f ca="1">SUMIF($Z$28:AM37,"tertiair",W28:W37)</f>
        <v>0</v>
      </c>
      <c r="X40" s="578"/>
      <c r="Y40" s="578"/>
      <c r="Z40" s="579"/>
    </row>
    <row r="41" spans="1:26" s="557" customFormat="1" ht="15.75" thickBot="1">
      <c r="A41" s="580" t="s">
        <v>278</v>
      </c>
      <c r="B41" s="581"/>
      <c r="C41" s="581"/>
      <c r="D41" s="581"/>
      <c r="E41" s="581"/>
      <c r="F41" s="581"/>
      <c r="G41" s="581"/>
      <c r="H41" s="581"/>
      <c r="I41" s="581"/>
      <c r="J41" s="581"/>
      <c r="K41" s="581"/>
      <c r="L41" s="582"/>
      <c r="M41" s="582">
        <f>SUMIF($Z$28:$Z$37,"landbouw",M28:M37)</f>
        <v>0</v>
      </c>
      <c r="N41" s="582">
        <f>SUMIF($Z$28:$Z$37,"landbouw",N28:N37)</f>
        <v>0</v>
      </c>
      <c r="O41" s="582">
        <f>SUMIF($Z$28:$Z$37,"landbouw",O28:O37)</f>
        <v>0</v>
      </c>
      <c r="P41" s="582">
        <f>SUMIF($Z$28:$Z$37,"landbouw",P28:P37)</f>
        <v>0</v>
      </c>
      <c r="Q41" s="582">
        <f>SUMIF($Z$28:$Z$37,"landbouw",Q28:Q37)</f>
        <v>0</v>
      </c>
      <c r="R41" s="582">
        <f>SUMIF($Z$28:$Z$37,"landbouw",R28:R37)</f>
        <v>0</v>
      </c>
      <c r="S41" s="582">
        <f>SUMIF($Z$28:$Z$37,"landbouw",S28:S37)</f>
        <v>0</v>
      </c>
      <c r="T41" s="582">
        <f>SUMIF($Z$28:$Z$37,"landbouw",T28:T37)</f>
        <v>0</v>
      </c>
      <c r="U41" s="582">
        <f>SUMIF($Z$28:$Z$37,"landbouw",U28:U37)</f>
        <v>0</v>
      </c>
      <c r="V41" s="582">
        <f>SUMIF($Z$28:$Z$37,"landbouw",V28:V37)</f>
        <v>0</v>
      </c>
      <c r="W41" s="582">
        <f>SUMIF($Z$28:$Z$37,"landbouw",W28:W37)</f>
        <v>0</v>
      </c>
      <c r="X41" s="583"/>
      <c r="Y41" s="583"/>
      <c r="Z41" s="584"/>
    </row>
    <row r="42" spans="1:26" s="526" customFormat="1" ht="15.75" thickBot="1">
      <c r="A42" s="585"/>
      <c r="B42" s="586"/>
      <c r="C42" s="586"/>
      <c r="D42" s="586"/>
      <c r="E42" s="586"/>
      <c r="F42" s="586"/>
      <c r="G42" s="586"/>
      <c r="H42" s="586"/>
      <c r="I42" s="586"/>
      <c r="J42" s="586"/>
      <c r="K42" s="586"/>
      <c r="L42" s="569"/>
      <c r="M42" s="569"/>
      <c r="N42" s="569"/>
      <c r="O42" s="570"/>
      <c r="P42" s="570"/>
    </row>
    <row r="43" spans="1:26" s="526" customFormat="1" ht="45">
      <c r="A43" s="587" t="s">
        <v>270</v>
      </c>
      <c r="B43" s="616" t="s">
        <v>89</v>
      </c>
      <c r="C43" s="616" t="s">
        <v>90</v>
      </c>
      <c r="D43" s="616"/>
      <c r="E43" s="616"/>
      <c r="F43" s="616"/>
      <c r="G43" s="616" t="s">
        <v>91</v>
      </c>
      <c r="H43" s="616" t="s">
        <v>92</v>
      </c>
      <c r="I43" s="616"/>
      <c r="J43" s="616"/>
      <c r="K43" s="616"/>
      <c r="L43" s="616" t="s">
        <v>93</v>
      </c>
      <c r="M43" s="617" t="s">
        <v>287</v>
      </c>
      <c r="N43" s="617" t="s">
        <v>94</v>
      </c>
      <c r="O43" s="617" t="s">
        <v>95</v>
      </c>
      <c r="P43" s="617" t="s">
        <v>531</v>
      </c>
      <c r="Q43" s="617" t="s">
        <v>96</v>
      </c>
      <c r="R43" s="617" t="s">
        <v>97</v>
      </c>
      <c r="S43" s="617" t="s">
        <v>98</v>
      </c>
      <c r="T43" s="617" t="s">
        <v>99</v>
      </c>
      <c r="U43" s="617" t="s">
        <v>100</v>
      </c>
      <c r="V43" s="617" t="s">
        <v>101</v>
      </c>
      <c r="W43" s="616" t="s">
        <v>102</v>
      </c>
      <c r="X43" s="616" t="s">
        <v>288</v>
      </c>
      <c r="Y43" s="616" t="s">
        <v>103</v>
      </c>
      <c r="Z43" s="618" t="s">
        <v>289</v>
      </c>
    </row>
    <row r="44" spans="1:26" s="588" customFormat="1" ht="63.75" hidden="1">
      <c r="A44" s="574"/>
      <c r="B44" s="763">
        <v>11002</v>
      </c>
      <c r="C44" s="763">
        <v>2020</v>
      </c>
      <c r="D44" s="622"/>
      <c r="E44" s="622"/>
      <c r="F44" s="622"/>
      <c r="G44" s="622" t="s">
        <v>926</v>
      </c>
      <c r="H44" s="622" t="s">
        <v>927</v>
      </c>
      <c r="I44" s="622"/>
      <c r="J44" s="762"/>
      <c r="K44" s="762"/>
      <c r="L44" s="622" t="s">
        <v>925</v>
      </c>
      <c r="M44" s="622">
        <v>300</v>
      </c>
      <c r="N44" s="622">
        <v>1350</v>
      </c>
      <c r="O44" s="622">
        <v>0</v>
      </c>
      <c r="P44" s="622">
        <v>0</v>
      </c>
      <c r="Q44" s="622">
        <v>3857.1428571428573</v>
      </c>
      <c r="R44" s="622">
        <v>0</v>
      </c>
      <c r="S44" s="622">
        <v>0</v>
      </c>
      <c r="T44" s="622">
        <v>0</v>
      </c>
      <c r="U44" s="622">
        <v>0</v>
      </c>
      <c r="V44" s="622">
        <v>0</v>
      </c>
      <c r="W44" s="622">
        <v>0</v>
      </c>
      <c r="X44" s="622">
        <v>1600</v>
      </c>
      <c r="Y44" s="622" t="s">
        <v>49</v>
      </c>
      <c r="Z44" s="623" t="s">
        <v>149</v>
      </c>
    </row>
    <row r="45" spans="1:26" s="588" customFormat="1" ht="63.75" hidden="1">
      <c r="A45" s="574"/>
      <c r="B45" s="763">
        <v>11002</v>
      </c>
      <c r="C45" s="763">
        <v>2030</v>
      </c>
      <c r="D45" s="622"/>
      <c r="E45" s="622"/>
      <c r="F45" s="622"/>
      <c r="G45" s="622" t="s">
        <v>928</v>
      </c>
      <c r="H45" s="622" t="s">
        <v>927</v>
      </c>
      <c r="I45" s="622"/>
      <c r="J45" s="762"/>
      <c r="K45" s="762"/>
      <c r="L45" s="622" t="s">
        <v>924</v>
      </c>
      <c r="M45" s="622">
        <v>4093</v>
      </c>
      <c r="N45" s="622">
        <v>18418.5</v>
      </c>
      <c r="O45" s="622">
        <v>0</v>
      </c>
      <c r="P45" s="622">
        <v>0</v>
      </c>
      <c r="Q45" s="622">
        <v>0</v>
      </c>
      <c r="R45" s="622">
        <v>52624.285714285717</v>
      </c>
      <c r="S45" s="622">
        <v>0</v>
      </c>
      <c r="T45" s="622">
        <v>0</v>
      </c>
      <c r="U45" s="622">
        <v>0</v>
      </c>
      <c r="V45" s="622">
        <v>0</v>
      </c>
      <c r="W45" s="622">
        <v>0</v>
      </c>
      <c r="X45" s="622">
        <v>1600</v>
      </c>
      <c r="Y45" s="622" t="s">
        <v>49</v>
      </c>
      <c r="Z45" s="623" t="s">
        <v>149</v>
      </c>
    </row>
    <row r="46" spans="1:26" s="557" customFormat="1" hidden="1">
      <c r="A46" s="575" t="s">
        <v>269</v>
      </c>
      <c r="B46" s="576"/>
      <c r="C46" s="576"/>
      <c r="D46" s="576"/>
      <c r="E46" s="576"/>
      <c r="F46" s="576"/>
      <c r="G46" s="576"/>
      <c r="H46" s="576"/>
      <c r="I46" s="576"/>
      <c r="J46" s="576"/>
      <c r="K46" s="576"/>
      <c r="L46" s="577"/>
      <c r="M46" s="577">
        <f>SUM(M44:M45)</f>
        <v>4393</v>
      </c>
      <c r="N46" s="577">
        <f>SUM(N44:N45)</f>
        <v>19768.5</v>
      </c>
      <c r="O46" s="577">
        <f>SUM(O44:O45)</f>
        <v>0</v>
      </c>
      <c r="P46" s="577">
        <f>SUM(P44:P45)</f>
        <v>0</v>
      </c>
      <c r="Q46" s="577">
        <f>SUM(Q44:Q45)</f>
        <v>3857.1428571428573</v>
      </c>
      <c r="R46" s="577">
        <f>SUM(R44:R45)</f>
        <v>52624.285714285717</v>
      </c>
      <c r="S46" s="577">
        <f>SUM(S44:S45)</f>
        <v>0</v>
      </c>
      <c r="T46" s="577">
        <f>SUM(T44:T45)</f>
        <v>0</v>
      </c>
      <c r="U46" s="577">
        <f>SUM(U44:U45)</f>
        <v>0</v>
      </c>
      <c r="V46" s="577">
        <f>SUM(V44:V45)</f>
        <v>0</v>
      </c>
      <c r="W46" s="577">
        <f>SUM(W44:W45)</f>
        <v>0</v>
      </c>
      <c r="X46" s="578"/>
      <c r="Y46" s="578"/>
      <c r="Z46" s="579"/>
    </row>
    <row r="47" spans="1:26" s="557" customFormat="1">
      <c r="A47" s="575" t="s">
        <v>276</v>
      </c>
      <c r="B47" s="576"/>
      <c r="C47" s="576"/>
      <c r="D47" s="576"/>
      <c r="E47" s="576"/>
      <c r="F47" s="576"/>
      <c r="G47" s="576"/>
      <c r="H47" s="576"/>
      <c r="I47" s="576"/>
      <c r="J47" s="576"/>
      <c r="K47" s="576"/>
      <c r="L47" s="577"/>
      <c r="M47" s="577">
        <f>SUMIF($Z$44:$Z$45,"industrie",M44:M45)</f>
        <v>0</v>
      </c>
      <c r="N47" s="577">
        <f>SUMIF($Z$44:$Z$45,"industrie",N44:N45)</f>
        <v>0</v>
      </c>
      <c r="O47" s="577">
        <f>SUMIF($Z$44:$Z$45,"industrie",O44:O45)</f>
        <v>0</v>
      </c>
      <c r="P47" s="577">
        <f>SUMIF($Z$44:$Z$45,"industrie",P44:P45)</f>
        <v>0</v>
      </c>
      <c r="Q47" s="577">
        <f>SUMIF($Z$44:$Z$45,"industrie",Q44:Q45)</f>
        <v>0</v>
      </c>
      <c r="R47" s="577">
        <f>SUMIF($Z$44:$Z$45,"industrie",R44:R45)</f>
        <v>0</v>
      </c>
      <c r="S47" s="577">
        <f>SUMIF($Z$44:$Z$45,"industrie",S44:S45)</f>
        <v>0</v>
      </c>
      <c r="T47" s="577">
        <f>SUMIF($Z$44:$Z$45,"industrie",T44:T45)</f>
        <v>0</v>
      </c>
      <c r="U47" s="577">
        <f>SUMIF($Z$44:$Z$45,"industrie",U44:U45)</f>
        <v>0</v>
      </c>
      <c r="V47" s="577">
        <f>SUMIF($Z$44:$Z$45,"industrie",V44:V45)</f>
        <v>0</v>
      </c>
      <c r="W47" s="577">
        <f>SUMIF($Z$44:$Z$45,"industrie",W44:W45)</f>
        <v>0</v>
      </c>
      <c r="X47" s="578"/>
      <c r="Y47" s="578"/>
      <c r="Z47" s="579"/>
    </row>
    <row r="48" spans="1:26" s="557" customFormat="1">
      <c r="A48" s="575" t="s">
        <v>277</v>
      </c>
      <c r="B48" s="576"/>
      <c r="C48" s="576"/>
      <c r="D48" s="576"/>
      <c r="E48" s="576"/>
      <c r="F48" s="576"/>
      <c r="G48" s="576"/>
      <c r="H48" s="576"/>
      <c r="I48" s="576"/>
      <c r="J48" s="576"/>
      <c r="K48" s="576"/>
      <c r="L48" s="577"/>
      <c r="M48" s="577">
        <f>SUMIF($Z$44:$Z$46,"tertiair",M44:M46)</f>
        <v>4393</v>
      </c>
      <c r="N48" s="577">
        <f>SUMIF($Z$44:$Z$46,"tertiair",N44:N46)</f>
        <v>19768.5</v>
      </c>
      <c r="O48" s="577">
        <f>SUMIF($Z$44:$Z$46,"tertiair",O44:O46)</f>
        <v>0</v>
      </c>
      <c r="P48" s="577">
        <f>SUMIF($Z$44:$Z$46,"tertiair",P44:P46)</f>
        <v>0</v>
      </c>
      <c r="Q48" s="577">
        <f>SUMIF($Z$44:$Z$46,"tertiair",Q44:Q46)</f>
        <v>3857.1428571428573</v>
      </c>
      <c r="R48" s="577">
        <f>SUMIF($Z$44:$Z$46,"tertiair",R44:R46)</f>
        <v>52624.285714285717</v>
      </c>
      <c r="S48" s="577">
        <f>SUMIF($Z$44:$Z$46,"tertiair",S44:S46)</f>
        <v>0</v>
      </c>
      <c r="T48" s="577">
        <f>SUMIF($Z$44:$Z$46,"tertiair",T44:T46)</f>
        <v>0</v>
      </c>
      <c r="U48" s="577">
        <f>SUMIF($Z$44:$Z$46,"tertiair",U44:U46)</f>
        <v>0</v>
      </c>
      <c r="V48" s="577">
        <f>SUMIF($Z$44:$Z$46,"tertiair",V44:V46)</f>
        <v>0</v>
      </c>
      <c r="W48" s="577">
        <f>SUMIF($Z$44:$Z$46,"tertiair",W44:W46)</f>
        <v>0</v>
      </c>
      <c r="X48" s="578"/>
      <c r="Y48" s="578"/>
      <c r="Z48" s="579"/>
    </row>
    <row r="49" spans="1:27" s="557" customFormat="1" ht="15.75" thickBot="1">
      <c r="A49" s="580" t="s">
        <v>278</v>
      </c>
      <c r="B49" s="581"/>
      <c r="C49" s="581"/>
      <c r="D49" s="581"/>
      <c r="E49" s="581"/>
      <c r="F49" s="581"/>
      <c r="G49" s="581"/>
      <c r="H49" s="581"/>
      <c r="I49" s="581"/>
      <c r="J49" s="581"/>
      <c r="K49" s="581"/>
      <c r="L49" s="582"/>
      <c r="M49" s="582">
        <f>SUMIF($Z$44:$Z$47,"landbouw",M44:M47)</f>
        <v>0</v>
      </c>
      <c r="N49" s="582">
        <f>SUMIF($Z$44:$Z$47,"landbouw",N44:N47)</f>
        <v>0</v>
      </c>
      <c r="O49" s="582">
        <f>SUMIF($Z$44:$Z$47,"landbouw",O44:O47)</f>
        <v>0</v>
      </c>
      <c r="P49" s="582">
        <f>SUMIF($Z$44:$Z$47,"landbouw",P44:P47)</f>
        <v>0</v>
      </c>
      <c r="Q49" s="582">
        <f>SUMIF($Z$44:$Z$47,"landbouw",Q44:Q47)</f>
        <v>0</v>
      </c>
      <c r="R49" s="582">
        <f>SUMIF($Z$44:$Z$47,"landbouw",R44:R47)</f>
        <v>0</v>
      </c>
      <c r="S49" s="582">
        <f>SUMIF($Z$44:$Z$47,"landbouw",S44:S47)</f>
        <v>0</v>
      </c>
      <c r="T49" s="582">
        <f>SUMIF($Z$44:$Z$47,"landbouw",T44:T47)</f>
        <v>0</v>
      </c>
      <c r="U49" s="582">
        <f>SUMIF($Z$44:$Z$47,"landbouw",U44:U47)</f>
        <v>0</v>
      </c>
      <c r="V49" s="582">
        <f>SUMIF($Z$44:$Z$47,"landbouw",V44:V47)</f>
        <v>0</v>
      </c>
      <c r="W49" s="582">
        <f>SUMIF($Z$44:$Z$47,"landbouw",W44:W47)</f>
        <v>0</v>
      </c>
      <c r="X49" s="583"/>
      <c r="Y49" s="583"/>
      <c r="Z49" s="584"/>
    </row>
    <row r="50" spans="1:27" s="589" customFormat="1">
      <c r="A50" s="585"/>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row>
    <row r="51" spans="1:27" s="589" customFormat="1" ht="15.75" thickBot="1">
      <c r="A51" s="585"/>
      <c r="B51" s="569"/>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row>
    <row r="52" spans="1:27">
      <c r="A52" s="590" t="s">
        <v>271</v>
      </c>
      <c r="B52" s="591"/>
      <c r="C52" s="591"/>
      <c r="D52" s="591"/>
      <c r="E52" s="591"/>
      <c r="F52" s="591"/>
      <c r="G52" s="591"/>
      <c r="H52" s="591"/>
      <c r="I52" s="592"/>
      <c r="J52" s="593"/>
      <c r="K52" s="593"/>
      <c r="L52" s="594"/>
      <c r="M52" s="594"/>
      <c r="N52" s="594"/>
      <c r="O52" s="594"/>
      <c r="P52" s="594"/>
    </row>
    <row r="53" spans="1:27">
      <c r="A53" s="596"/>
      <c r="B53" s="586"/>
      <c r="C53" s="586"/>
      <c r="D53" s="586"/>
      <c r="E53" s="586"/>
      <c r="F53" s="586"/>
      <c r="G53" s="586"/>
      <c r="H53" s="586"/>
      <c r="I53" s="597"/>
      <c r="J53" s="586"/>
      <c r="K53" s="586"/>
      <c r="L53" s="594"/>
      <c r="M53" s="594"/>
      <c r="N53" s="594"/>
      <c r="O53" s="594"/>
      <c r="P53" s="594"/>
    </row>
    <row r="54" spans="1:27">
      <c r="A54" s="598"/>
      <c r="B54" s="599" t="s">
        <v>272</v>
      </c>
      <c r="C54" s="599" t="s">
        <v>273</v>
      </c>
      <c r="D54" s="599"/>
      <c r="E54" s="599"/>
      <c r="F54" s="599"/>
      <c r="G54" s="599"/>
      <c r="H54" s="599"/>
      <c r="I54" s="600"/>
      <c r="J54" s="599"/>
      <c r="K54" s="599"/>
      <c r="L54" s="599"/>
      <c r="M54" s="599"/>
      <c r="N54" s="599"/>
      <c r="O54" s="599"/>
      <c r="P54" s="594"/>
    </row>
    <row r="55" spans="1:27">
      <c r="A55" s="596" t="s">
        <v>269</v>
      </c>
      <c r="B55" s="601">
        <f>IF(ISERROR(O38/(O38+N38)),0,O38/(O38+N38))</f>
        <v>0.58823529411764708</v>
      </c>
      <c r="C55" s="602">
        <f>IF(ISERROR(N38/(O38+N38)),0,N38/(N38+O38))</f>
        <v>0.41176470588235292</v>
      </c>
      <c r="D55" s="569"/>
      <c r="E55" s="569"/>
      <c r="F55" s="569"/>
      <c r="G55" s="569"/>
      <c r="H55" s="569"/>
      <c r="I55" s="603"/>
      <c r="J55" s="569"/>
      <c r="K55" s="569"/>
      <c r="L55" s="604"/>
      <c r="M55" s="604"/>
      <c r="N55" s="604"/>
      <c r="O55" s="604"/>
      <c r="P55" s="594"/>
    </row>
    <row r="56" spans="1:27">
      <c r="A56" s="596"/>
      <c r="B56" s="605"/>
      <c r="C56" s="605"/>
      <c r="D56" s="605"/>
      <c r="E56" s="605"/>
      <c r="F56" s="605"/>
      <c r="G56" s="605"/>
      <c r="H56" s="605"/>
      <c r="I56" s="606"/>
      <c r="J56" s="605"/>
      <c r="K56" s="605"/>
      <c r="L56" s="607"/>
      <c r="M56" s="607"/>
      <c r="N56" s="607"/>
      <c r="O56" s="607"/>
      <c r="P56" s="594"/>
    </row>
    <row r="57" spans="1:27" ht="30">
      <c r="A57" s="608"/>
      <c r="B57" s="609" t="s">
        <v>531</v>
      </c>
      <c r="C57" s="609" t="s">
        <v>96</v>
      </c>
      <c r="D57" s="609" t="s">
        <v>97</v>
      </c>
      <c r="E57" s="609" t="s">
        <v>98</v>
      </c>
      <c r="F57" s="609" t="s">
        <v>99</v>
      </c>
      <c r="G57" s="609" t="s">
        <v>100</v>
      </c>
      <c r="H57" s="609" t="s">
        <v>101</v>
      </c>
      <c r="I57" s="610" t="s">
        <v>102</v>
      </c>
      <c r="J57" s="599"/>
      <c r="K57" s="599"/>
      <c r="L57" s="607"/>
      <c r="M57" s="607"/>
      <c r="N57" s="607"/>
      <c r="O57" s="594"/>
      <c r="P57" s="594"/>
    </row>
    <row r="58" spans="1:27">
      <c r="A58" s="598" t="s">
        <v>274</v>
      </c>
      <c r="B58" s="611">
        <f t="shared" ref="B58:I58" si="2">$C$55*P38</f>
        <v>12727.279411764706</v>
      </c>
      <c r="C58" s="611">
        <f t="shared" si="2"/>
        <v>0</v>
      </c>
      <c r="D58" s="611">
        <f t="shared" si="2"/>
        <v>0</v>
      </c>
      <c r="E58" s="611">
        <f t="shared" si="2"/>
        <v>0</v>
      </c>
      <c r="F58" s="611">
        <f t="shared" si="2"/>
        <v>0</v>
      </c>
      <c r="G58" s="611">
        <f t="shared" si="2"/>
        <v>0</v>
      </c>
      <c r="H58" s="611">
        <f t="shared" si="2"/>
        <v>0</v>
      </c>
      <c r="I58" s="612">
        <f t="shared" si="2"/>
        <v>0</v>
      </c>
      <c r="J58" s="569"/>
      <c r="K58" s="569"/>
      <c r="L58" s="607"/>
      <c r="M58" s="607"/>
      <c r="N58" s="607"/>
      <c r="O58" s="594"/>
      <c r="P58" s="594"/>
    </row>
    <row r="59" spans="1:27" ht="15.75" thickBot="1">
      <c r="A59" s="613" t="s">
        <v>275</v>
      </c>
      <c r="B59" s="614">
        <f t="shared" ref="B59:I59" si="3">$B$55*P38</f>
        <v>18181.827731092439</v>
      </c>
      <c r="C59" s="614">
        <f t="shared" si="3"/>
        <v>0</v>
      </c>
      <c r="D59" s="614">
        <f t="shared" si="3"/>
        <v>0</v>
      </c>
      <c r="E59" s="614">
        <f t="shared" si="3"/>
        <v>0</v>
      </c>
      <c r="F59" s="614">
        <f t="shared" si="3"/>
        <v>0</v>
      </c>
      <c r="G59" s="614">
        <f t="shared" si="3"/>
        <v>0</v>
      </c>
      <c r="H59" s="614">
        <f t="shared" si="3"/>
        <v>0</v>
      </c>
      <c r="I59" s="615">
        <f t="shared" si="3"/>
        <v>0</v>
      </c>
      <c r="J59" s="569"/>
      <c r="K59" s="569"/>
      <c r="L59" s="607"/>
      <c r="M59" s="607"/>
      <c r="N59" s="607"/>
      <c r="O59" s="594"/>
      <c r="P59" s="594"/>
    </row>
    <row r="60" spans="1:27">
      <c r="J60" s="555"/>
      <c r="K60" s="555"/>
      <c r="L60" s="555"/>
      <c r="M60" s="555"/>
      <c r="N60" s="555"/>
    </row>
    <row r="61" spans="1:27">
      <c r="J61" s="555"/>
      <c r="K61" s="555"/>
      <c r="L61" s="555"/>
      <c r="M61" s="555"/>
      <c r="N6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2021-11-11T13:06:14Z</dcterms:modified>
</cp:coreProperties>
</file>