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C65E7BA0-DCA2-491F-A468-400D0604861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J9" i="18" l="1"/>
  <c r="B45" i="18"/>
  <c r="F49" i="18" s="1"/>
  <c r="I49" i="18"/>
  <c r="H17" i="18" s="1"/>
  <c r="G49" i="18"/>
  <c r="C49" i="18"/>
  <c r="B49" i="18"/>
  <c r="C17" i="18" s="1"/>
  <c r="C20" i="18" s="1"/>
  <c r="B20" i="18"/>
  <c r="C45" i="18"/>
  <c r="O18" i="18"/>
  <c r="H20" i="18"/>
  <c r="G20" i="18"/>
  <c r="K20" i="18"/>
  <c r="B10" i="18"/>
  <c r="O19" i="18"/>
  <c r="O9" i="18"/>
  <c r="H49" i="18"/>
  <c r="E48" i="18"/>
  <c r="E8" i="18" s="1"/>
  <c r="E10" i="18" s="1"/>
  <c r="E49" i="18"/>
  <c r="E17" i="18" s="1"/>
  <c r="E20" i="18" s="1"/>
  <c r="N6" i="17"/>
  <c r="I17" i="18" l="1"/>
  <c r="I20" i="18" s="1"/>
  <c r="D49" i="18"/>
  <c r="I48" i="18"/>
  <c r="H8" i="18" s="1"/>
  <c r="H10" i="18" s="1"/>
  <c r="G48" i="18"/>
  <c r="I8" i="18" s="1"/>
  <c r="I10" i="18" s="1"/>
  <c r="F48" i="18"/>
  <c r="D48" i="18"/>
  <c r="C48" i="18"/>
  <c r="B48" i="18"/>
  <c r="C8" i="18" s="1"/>
  <c r="C10" i="18" s="1"/>
  <c r="H48" i="18"/>
  <c r="J17" i="18"/>
  <c r="J20" i="18" s="1"/>
  <c r="L6" i="17"/>
  <c r="F6" i="17"/>
  <c r="D6" i="17"/>
  <c r="C6" i="17"/>
  <c r="N16" i="16"/>
  <c r="L16" i="16"/>
  <c r="F16" i="16"/>
  <c r="D16" i="16"/>
  <c r="C16" i="16"/>
  <c r="B16" i="16"/>
  <c r="B13" i="15"/>
  <c r="J8" i="18" l="1"/>
  <c r="J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8" i="18" l="1"/>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3" i="13"/>
  <c r="B32"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<sst xmlns="http://schemas.openxmlformats.org/spreadsheetml/2006/main" count="2516" uniqueCount="929">
  <si>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</si>
  <si>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</si>
  <si>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</si>
  <si>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</si>
  <si>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</si>
  <si>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</si>
  <si>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</si>
  <si>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</si>
  <si>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</si>
  <si>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</si>
  <si>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</si>
  <si>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</si>
  <si>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</si>
  <si>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</si>
  <si>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</si>
  <si>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</si>
  <si>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</si>
  <si>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</si>
  <si>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</si>
  <si>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</si>
  <si>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</si>
  <si>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</si>
  <si>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</si>
  <si>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</si>
  <si>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</si>
  <si>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</si>
  <si>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</si>
  <si>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</si>
  <si>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</si>
  <si>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</si>
  <si>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</si>
  <si>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</si>
  <si>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</si>
  <si>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</si>
  <si>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</si>
  <si>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</si>
  <si>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</si>
  <si>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</si>
  <si>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</si>
  <si>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</si>
  <si>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</si>
  <si>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</si>
  <si>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</si>
  <si>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</si>
  <si>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</si>
  <si>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</si>
  <si>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</si>
  <si>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</si>
  <si>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</si>
  <si>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</si>
  <si>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</si>
  <si>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</si>
  <si>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</si>
  <si>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</si>
  <si>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</si>
  <si>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</si>
  <si>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</si>
  <si>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</si>
  <si>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</si>
  <si>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</si>
  <si>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</si>
  <si>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</si>
  <si>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</si>
  <si>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</si>
  <si>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</si>
  <si>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</si>
  <si>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</si>
  <si>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</si>
  <si>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</si>
  <si>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</si>
  <si>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</si>
  <si>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</si>
  <si>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</si>
  <si>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</si>
  <si>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</si>
  <si>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</si>
  <si>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</si>
  <si>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</si>
  <si>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</si>
  <si>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</si>
  <si>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</si>
  <si>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</si>
  <si>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</si>
  <si>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</si>
  <si>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</si>
  <si>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</si>
  <si>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</si>
  <si>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</si>
  <si>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</si>
  <si>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</si>
  <si>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</si>
  <si>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</si>
  <si>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</si>
  <si>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</si>
  <si>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</si>
  <si>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</si>
  <si>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</si>
  <si>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</si>
  <si>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</si>
  <si>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</si>
  <si>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</si>
  <si>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</si>
  <si>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</si>
  <si>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</si>
  <si>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</si>
  <si>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</si>
  <si>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</si>
  <si>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</si>
  <si>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</si>
  <si>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</si>
  <si>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</si>
  <si>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</si>
  <si>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</si>
  <si>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</si>
  <si>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</si>
  <si>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</si>
  <si>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</si>
  <si>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</si>
  <si>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</si>
  <si>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</si>
  <si>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</si>
  <si>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</si>
  <si>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</si>
  <si>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</si>
  <si>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</si>
  <si>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</si>
  <si>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</si>
  <si>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</si>
  <si>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</si>
  <si>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</si>
  <si>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</si>
  <si>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</si>
  <si>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</si>
  <si>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</si>
  <si>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</si>
  <si>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</si>
  <si>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</si>
  <si>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</si>
  <si>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</si>
  <si>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</si>
  <si>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</si>
  <si>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</si>
  <si>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</si>
  <si>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</si>
  <si>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</si>
  <si>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</si>
  <si>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</si>
  <si>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</si>
  <si>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</si>
  <si>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</si>
  <si>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</si>
  <si>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</si>
  <si>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</si>
  <si>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</si>
  <si>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</si>
  <si>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</si>
  <si>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</si>
  <si>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</si>
  <si>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</si>
  <si>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</si>
  <si>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</si>
  <si>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</si>
  <si>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</si>
  <si>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</si>
  <si>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</si>
  <si>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</si>
  <si>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</si>
  <si>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</si>
  <si>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</si>
  <si>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</si>
  <si>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</si>
  <si>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</si>
  <si>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</si>
  <si>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</si>
  <si>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</si>
  <si>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</si>
  <si>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</si>
  <si>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</si>
  <si>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</si>
  <si>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</si>
  <si>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</si>
  <si>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</si>
  <si>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</si>
  <si>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</si>
  <si>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</si>
  <si>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</si>
  <si>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</si>
  <si>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</si>
  <si>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</si>
  <si>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</si>
  <si>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</si>
  <si>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</si>
  <si>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</si>
  <si>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</si>
  <si>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</si>
  <si>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</si>
  <si>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</si>
  <si>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</si>
  <si>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</si>
  <si>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</si>
  <si>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</si>
  <si>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</si>
  <si>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</si>
  <si>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</si>
  <si>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</si>
  <si>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</si>
  <si>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</si>
  <si>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</si>
  <si>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</si>
  <si>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</si>
  <si>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</si>
  <si>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</si>
  <si>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</si>
  <si>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</si>
  <si>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</si>
  <si>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</si>
  <si>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</si>
  <si>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</si>
  <si>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</si>
  <si>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</si>
  <si>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</si>
  <si>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</si>
  <si>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</si>
  <si>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</si>
  <si>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</si>
  <si>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</si>
  <si>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</si>
  <si>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</si>
  <si>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</si>
  <si>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</si>
  <si>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</si>
  <si>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</si>
  <si>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</si>
  <si>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</si>
  <si>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</si>
  <si>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</si>
  <si>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</si>
  <si>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</si>
  <si>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</si>
  <si>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</si>
  <si>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</si>
  <si>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</si>
  <si>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</si>
  <si>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</si>
  <si>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</si>
  <si>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</si>
  <si>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</si>
  <si>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</si>
  <si>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</si>
  <si>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</si>
  <si>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</si>
  <si>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</si>
  <si>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</si>
  <si>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</si>
  <si>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</si>
  <si>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</si>
  <si>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</si>
  <si>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</si>
  <si>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</si>
  <si>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</si>
  <si>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</si>
  <si>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</si>
  <si>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</si>
  <si>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</si>
  <si>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</si>
  <si>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</si>
  <si>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</si>
  <si>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</si>
  <si>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</si>
  <si>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</si>
  <si>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</si>
  <si>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</si>
  <si>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</si>
  <si>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</si>
  <si>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</si>
  <si>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</si>
  <si>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</si>
  <si>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</si>
  <si>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</si>
  <si>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</si>
  <si>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</si>
  <si>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</si>
  <si>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</si>
  <si>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</si>
  <si>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</si>
  <si>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</si>
  <si>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</si>
  <si>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</si>
  <si>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</si>
  <si>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</si>
  <si>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</si>
  <si>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</si>
  <si>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</si>
  <si>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</si>
  <si>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</si>
  <si>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</si>
  <si>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</si>
  <si>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</si>
  <si>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</si>
  <si>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</si>
  <si>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</si>
  <si>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</si>
  <si>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</si>
  <si>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</si>
  <si>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</si>
  <si>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</si>
  <si>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</si>
  <si>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</si>
  <si>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</si>
  <si>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</si>
  <si>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</si>
  <si>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</si>
  <si>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</si>
  <si>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</si>
  <si>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</si>
  <si>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</si>
  <si>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</si>
  <si>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</si>
  <si>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</si>
  <si>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</si>
  <si>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</si>
  <si>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</si>
  <si>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</si>
  <si>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</si>
  <si>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</si>
  <si>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</si>
  <si>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</si>
  <si>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</si>
  <si>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</si>
  <si>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</si>
  <si>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</si>
  <si>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</si>
  <si>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</si>
  <si>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</si>
  <si>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</si>
  <si>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</si>
  <si>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</si>
  <si>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</si>
  <si>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</si>
  <si>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</si>
  <si>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</si>
  <si>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</si>
  <si>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</si>
  <si>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</si>
  <si>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</si>
  <si>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</si>
  <si>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</si>
  <si>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</si>
  <si>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</si>
  <si>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</si>
  <si>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</si>
  <si>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</si>
  <si>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</si>
  <si>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</si>
  <si>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</si>
  <si>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</si>
  <si>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</si>
  <si>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</si>
  <si>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</si>
  <si>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</si>
  <si>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</si>
  <si>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</si>
  <si>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</si>
  <si>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</si>
  <si>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</si>
  <si>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</si>
  <si>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</si>
  <si>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</si>
  <si>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</si>
  <si>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</si>
  <si>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</si>
  <si>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</si>
  <si>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</si>
  <si>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</si>
  <si>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</si>
  <si>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</si>
  <si>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</si>
  <si>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</si>
  <si>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</si>
  <si>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</si>
  <si>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</si>
  <si>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</si>
  <si>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</si>
  <si>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</si>
  <si>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</si>
  <si>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</si>
  <si>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</si>
  <si>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</si>
  <si>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</si>
  <si>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</si>
  <si>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</si>
  <si>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</si>
  <si>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</si>
  <si>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</si>
  <si>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</si>
  <si>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</si>
  <si>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</si>
  <si>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</si>
  <si>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</si>
  <si>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</si>
  <si>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</si>
  <si>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</si>
  <si>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</si>
  <si>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</si>
  <si>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</si>
  <si>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</si>
  <si>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</si>
  <si>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</si>
  <si>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</si>
  <si>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</si>
  <si>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</si>
  <si>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</si>
  <si>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</si>
  <si>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</si>
  <si>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</si>
  <si>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</si>
  <si>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</si>
  <si>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</si>
  <si>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</si>
  <si>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</si>
  <si>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</si>
  <si>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</si>
  <si>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</si>
  <si>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</si>
  <si>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</si>
  <si>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</si>
  <si>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</si>
  <si>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</si>
  <si>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</si>
  <si>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</si>
  <si>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</si>
  <si>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</si>
  <si>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</si>
  <si>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</si>
  <si>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</si>
  <si>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</si>
  <si>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</si>
  <si>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</si>
  <si>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</si>
  <si>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</si>
  <si>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</si>
  <si>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</si>
  <si>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</si>
  <si>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</si>
  <si>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</si>
  <si>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</si>
  <si>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</si>
  <si>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</si>
  <si>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</si>
  <si>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</si>
  <si>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</si>
  <si>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</si>
  <si>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</si>
  <si>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</si>
  <si>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</si>
  <si>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</si>
  <si>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</si>
  <si>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</si>
  <si>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</si>
  <si>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</si>
  <si>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</si>
  <si>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</si>
  <si>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</si>
  <si>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</si>
  <si>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</si>
  <si>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</si>
  <si>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</si>
  <si>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</si>
  <si>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</si>
  <si>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</si>
  <si>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</si>
  <si>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</si>
  <si>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</si>
  <si>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</si>
  <si>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</si>
  <si>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</si>
  <si>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</si>
  <si>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</si>
  <si>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</si>
  <si>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</si>
  <si>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</si>
  <si>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</si>
  <si>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</si>
  <si>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</si>
  <si>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</si>
  <si>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</si>
  <si>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</si>
  <si>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</si>
  <si>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</si>
  <si>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</si>
  <si>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</si>
  <si>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</si>
  <si>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</si>
  <si>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</si>
  <si>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</si>
  <si>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</si>
  <si>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</si>
  <si>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</si>
  <si>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</si>
  <si>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</si>
  <si>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</si>
  <si>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</si>
  <si>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</si>
  <si>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</si>
  <si>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</si>
  <si>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</si>
  <si>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</si>
  <si>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</si>
  <si>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</si>
  <si>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</si>
  <si>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</si>
  <si>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</si>
  <si>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</si>
  <si>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</si>
  <si>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</si>
  <si>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</si>
  <si>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</si>
  <si>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</si>
  <si>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</si>
  <si>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</si>
  <si>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</si>
  <si>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</si>
  <si>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</si>
  <si>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</si>
  <si>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</si>
  <si>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</si>
  <si>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</si>
  <si>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</si>
  <si>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</si>
  <si>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</si>
  <si>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</si>
  <si>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</si>
  <si>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</si>
  <si>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</si>
  <si>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</si>
  <si>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</si>
  <si>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</si>
  <si>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</si>
  <si>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</si>
  <si>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</si>
  <si>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</si>
  <si>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</si>
  <si>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</si>
  <si>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</si>
  <si>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</si>
  <si>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</si>
  <si>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</si>
  <si>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</si>
  <si>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</si>
  <si>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</si>
  <si>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</si>
  <si>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</si>
  <si>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</si>
  <si>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</si>
  <si>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</si>
  <si>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</si>
  <si>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</si>
  <si>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</si>
  <si>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</si>
  <si>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</si>
  <si>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</si>
  <si>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</si>
  <si>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</si>
  <si>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</si>
  <si>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</si>
  <si>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</si>
  <si>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</si>
  <si>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</si>
  <si>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</si>
  <si>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</si>
  <si>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</si>
  <si>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</si>
  <si>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</si>
  <si>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</si>
  <si>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</si>
  <si>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</si>
  <si>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</si>
  <si>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</si>
  <si>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</si>
  <si>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</si>
  <si>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</si>
  <si>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</si>
  <si>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</si>
  <si>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</si>
  <si>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</si>
  <si>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</si>
  <si>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</si>
  <si>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</si>
  <si>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</si>
  <si>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</si>
  <si>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</si>
  <si>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</si>
  <si>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</si>
  <si>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</si>
  <si>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</si>
  <si>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</si>
  <si>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</si>
  <si>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</si>
  <si>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</si>
  <si>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</si>
  <si>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</si>
  <si>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</si>
  <si>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</si>
  <si>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</si>
  <si>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</si>
  <si>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</si>
  <si>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</si>
  <si>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</si>
  <si>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</si>
  <si>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</si>
  <si>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</si>
  <si>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</si>
  <si>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</si>
  <si>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</si>
  <si>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</si>
  <si>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</si>
  <si>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</si>
  <si>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</si>
  <si>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</si>
  <si>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</si>
  <si>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</si>
  <si>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</si>
  <si>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</si>
  <si>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</si>
  <si>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</si>
  <si>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</si>
  <si>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</si>
  <si>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</si>
  <si>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</si>
  <si>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</si>
  <si>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</si>
  <si>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</si>
  <si>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</si>
  <si>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</si>
  <si>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</si>
  <si>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</si>
  <si>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</si>
  <si>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</si>
  <si>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</si>
  <si>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</si>
  <si>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</si>
  <si>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</si>
  <si>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</si>
  <si>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</si>
  <si>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</si>
  <si>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</si>
  <si>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</si>
  <si>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</si>
  <si>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</si>
  <si>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</si>
  <si>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</si>
  <si>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</si>
  <si>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</si>
  <si>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</si>
  <si>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</si>
  <si>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</si>
  <si>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</si>
  <si>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</si>
  <si>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</si>
  <si>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</si>
  <si>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</si>
  <si>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</si>
  <si>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</si>
  <si>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</si>
  <si>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</si>
  <si>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</si>
  <si>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</si>
  <si>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</si>
  <si>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</si>
  <si>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</si>
  <si>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</si>
  <si>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</si>
  <si>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</si>
  <si>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</si>
  <si>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</si>
  <si>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</si>
  <si>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</si>
  <si>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</si>
  <si>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</si>
  <si>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</si>
  <si>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</si>
  <si>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</si>
  <si>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</si>
  <si>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</si>
  <si>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</si>
  <si>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</si>
  <si>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</si>
  <si>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</si>
  <si>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</si>
  <si>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</si>
  <si>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</si>
  <si>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</si>
  <si>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</si>
  <si>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</si>
  <si>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</si>
  <si>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</si>
  <si>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</si>
  <si>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</si>
  <si>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</si>
  <si>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</si>
  <si>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</si>
  <si>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</si>
  <si>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</si>
  <si>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</si>
  <si>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</si>
  <si>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</si>
  <si>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</si>
  <si>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</si>
  <si>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</si>
  <si>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</si>
  <si>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</si>
  <si>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</si>
  <si>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</si>
  <si>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</si>
  <si>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</si>
  <si>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</si>
  <si>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</si>
  <si>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</si>
  <si>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</si>
  <si>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</si>
  <si>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</si>
  <si>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</si>
  <si>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</si>
  <si>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</si>
  <si>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</si>
  <si>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</si>
  <si>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</si>
  <si>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</si>
  <si>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</si>
  <si>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</si>
  <si>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</si>
  <si>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</si>
  <si>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</si>
  <si>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</si>
  <si>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</si>
  <si>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</si>
  <si>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</si>
  <si>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</si>
  <si>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</si>
  <si>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</si>
  <si>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</si>
  <si>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</si>
  <si>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</si>
  <si>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</si>
  <si>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</si>
  <si>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</si>
  <si>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</si>
  <si>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</si>
  <si>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</si>
  <si>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</si>
  <si>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</si>
  <si>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</si>
  <si>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</si>
  <si>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</si>
  <si>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</si>
  <si>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</si>
  <si>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</si>
  <si>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</si>
  <si>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</si>
  <si>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</si>
  <si>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</si>
  <si>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</si>
  <si>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</si>
  <si>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</si>
  <si>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</si>
  <si>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</si>
  <si>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</si>
  <si>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</si>
  <si>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</si>
  <si>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</si>
  <si>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</si>
  <si>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</si>
  <si>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</si>
  <si>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</si>
  <si>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</si>
  <si>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</si>
  <si>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</si>
  <si>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</si>
  <si>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</si>
  <si>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</si>
  <si>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</si>
  <si>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</si>
  <si>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</si>
  <si>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</si>
  <si>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</si>
  <si>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</si>
  <si>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</si>
  <si>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</si>
  <si>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</si>
  <si>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</si>
  <si>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</si>
  <si>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</si>
  <si>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</si>
  <si>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</si>
  <si>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</si>
  <si>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</si>
  <si>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</si>
  <si>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</si>
  <si>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</si>
  <si>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</si>
  <si>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</si>
  <si>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</si>
  <si>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</si>
  <si>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</si>
  <si>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</si>
  <si>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</si>
  <si>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</si>
  <si>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</si>
  <si>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</si>
  <si>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</si>
  <si>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</si>
  <si>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</si>
  <si>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</si>
  <si>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</si>
  <si>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</si>
  <si>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</si>
  <si>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</si>
  <si>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</si>
  <si>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</si>
  <si>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</si>
  <si>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</si>
  <si>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</si>
  <si>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</si>
  <si>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</si>
  <si>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</si>
  <si>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</si>
  <si>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</si>
  <si>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</si>
  <si>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</si>
  <si>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</si>
  <si>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</si>
  <si>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</si>
  <si>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</si>
  <si>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</si>
  <si>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</si>
  <si>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</si>
  <si>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</si>
  <si>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</si>
  <si>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</si>
  <si>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</si>
  <si>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</si>
  <si>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</si>
  <si>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</si>
  <si>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</si>
  <si>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</si>
  <si>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</si>
  <si>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</si>
  <si>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</si>
  <si>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</si>
  <si>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</si>
  <si>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</si>
  <si>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</si>
  <si>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</si>
  <si>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</si>
  <si>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</si>
  <si>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</si>
  <si>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</si>
  <si>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</si>
  <si>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</si>
  <si>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</si>
  <si>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</si>
  <si>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</si>
  <si>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</si>
  <si>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</si>
  <si>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</si>
  <si>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</si>
  <si>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</si>
  <si>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</si>
  <si>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</si>
  <si>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</si>
  <si>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</si>
  <si>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</si>
  <si>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</si>
  <si>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</si>
  <si>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</si>
  <si>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</si>
  <si>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</si>
  <si>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</si>
  <si>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</si>
  <si>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</si>
  <si>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</si>
  <si>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</si>
  <si>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</si>
  <si>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</si>
  <si>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</si>
  <si>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</si>
  <si>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</si>
  <si>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</si>
  <si>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</si>
  <si>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</si>
  <si>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</si>
  <si>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</si>
  <si>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</si>
  <si>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</si>
  <si>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</si>
  <si>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</si>
  <si>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</si>
  <si>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</si>
  <si>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</si>
  <si>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</si>
  <si>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</si>
  <si>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</si>
  <si>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</si>
  <si>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</si>
  <si>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</si>
  <si>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</si>
  <si>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</si>
  <si>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</si>
  <si>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</si>
  <si>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</si>
  <si>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</si>
  <si>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</si>
  <si>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</si>
  <si>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</si>
  <si>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</si>
  <si>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</si>
  <si>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</si>
  <si>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</si>
  <si>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</si>
  <si>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73006</t>
  </si>
  <si>
    <t>BILZEN</t>
  </si>
  <si>
    <t>Cultuurgrond (ha)</t>
  </si>
  <si>
    <t>Paarden&amp;pony's 200 - 600 kg</t>
  </si>
  <si>
    <t>Paarden&amp;pony's &lt; 200 kg</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</si>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</sst>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3F7D5E66-E527-4455-B96B-5BCE8F9DD8E9}"/>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296497.47249477904</c:v>
                </c:pt>
                <c:pt idx="1">
                  <c:v>59028.435803775305</c:v>
                </c:pt>
                <c:pt idx="2">
                  <c:v>1914.8030000000001</c:v>
                </c:pt>
                <c:pt idx="3">
                  <c:v>8051.0725689426099</c:v>
                </c:pt>
                <c:pt idx="4">
                  <c:v>132184.66572320252</c:v>
                </c:pt>
                <c:pt idx="5">
                  <c:v>200664.90298813628</c:v>
                </c:pt>
                <c:pt idx="6">
                  <c:v>3073.9877271845839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296497.47249477904</c:v>
                </c:pt>
                <c:pt idx="1">
                  <c:v>59028.435803775305</c:v>
                </c:pt>
                <c:pt idx="2">
                  <c:v>1914.8030000000001</c:v>
                </c:pt>
                <c:pt idx="3">
                  <c:v>8051.0725689426099</c:v>
                </c:pt>
                <c:pt idx="4">
                  <c:v>132184.66572320252</c:v>
                </c:pt>
                <c:pt idx="5">
                  <c:v>200664.90298813628</c:v>
                </c:pt>
                <c:pt idx="6">
                  <c:v>3073.9877271845839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63643.855764213658</c:v>
                </c:pt>
                <c:pt idx="2">
                  <c:v>11200.357962411115</c:v>
                </c:pt>
                <c:pt idx="3">
                  <c:v>372.22895611670833</c:v>
                </c:pt>
                <c:pt idx="4">
                  <c:v>1968.4609230395818</c:v>
                </c:pt>
                <c:pt idx="5">
                  <c:v>27229.566781730678</c:v>
                </c:pt>
                <c:pt idx="6">
                  <c:v>50726.851600716349</c:v>
                </c:pt>
                <c:pt idx="7">
                  <c:v>784.61115725281002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63643.855764213658</c:v>
                </c:pt>
                <c:pt idx="2">
                  <c:v>11200.357962411115</c:v>
                </c:pt>
                <c:pt idx="3">
                  <c:v>372.22895611670833</c:v>
                </c:pt>
                <c:pt idx="4">
                  <c:v>1968.4609230395818</c:v>
                </c:pt>
                <c:pt idx="5">
                  <c:v>27229.566781730678</c:v>
                </c:pt>
                <c:pt idx="6">
                  <c:v>50726.851600716349</c:v>
                </c:pt>
                <c:pt idx="7">
                  <c:v>784.61115725281002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73006</v>
      </c>
      <c r="B6" s="385"/>
      <c r="C6" s="386"/>
    </row>
    <row r="7" spans="1:7" s="383" customFormat="1" ht="15.75" customHeight="1">
      <c r="A7" s="387" t="str">
        <f>txtMunicipality</f>
        <v>BILZEN</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32276.452999999998</v>
      </c>
      <c r="D10" s="676">
        <f ca="1">tertiair!C16</f>
        <v>0</v>
      </c>
      <c r="E10" s="676">
        <f ca="1">tertiair!D16</f>
        <v>17179.658869999999</v>
      </c>
      <c r="F10" s="676">
        <f>tertiair!E16</f>
        <v>397.64421897337024</v>
      </c>
      <c r="G10" s="676">
        <f ca="1">tertiair!F16</f>
        <v>6507.9983863465841</v>
      </c>
      <c r="H10" s="676">
        <f>tertiair!G16</f>
        <v>0</v>
      </c>
      <c r="I10" s="676">
        <f>tertiair!H16</f>
        <v>0</v>
      </c>
      <c r="J10" s="676">
        <f>tertiair!I16</f>
        <v>0</v>
      </c>
      <c r="K10" s="676">
        <f>tertiair!J16</f>
        <v>0</v>
      </c>
      <c r="L10" s="676">
        <f>tertiair!K16</f>
        <v>0</v>
      </c>
      <c r="M10" s="676">
        <f ca="1">tertiair!L16</f>
        <v>0</v>
      </c>
      <c r="N10" s="676">
        <f>tertiair!M16</f>
        <v>0</v>
      </c>
      <c r="O10" s="676">
        <f ca="1">tertiair!N16</f>
        <v>4560.8543284553634</v>
      </c>
      <c r="P10" s="676">
        <f>tertiair!O16</f>
        <v>1.5633333333333335</v>
      </c>
      <c r="Q10" s="677">
        <f>tertiair!P16</f>
        <v>19.066666666666666</v>
      </c>
      <c r="R10" s="679">
        <f ca="1">SUM(C10:Q10)</f>
        <v>60943.238803775304</v>
      </c>
      <c r="S10" s="67"/>
    </row>
    <row r="11" spans="1:19" s="444" customFormat="1">
      <c r="A11" s="791" t="s">
        <v>214</v>
      </c>
      <c r="B11" s="796"/>
      <c r="C11" s="676">
        <f>huishoudens!B8</f>
        <v>55857.397240840517</v>
      </c>
      <c r="D11" s="676">
        <f>huishoudens!C8</f>
        <v>0</v>
      </c>
      <c r="E11" s="676">
        <f>huishoudens!D8</f>
        <v>85382.512709999995</v>
      </c>
      <c r="F11" s="676">
        <f>huishoudens!E8</f>
        <v>4125.250256604957</v>
      </c>
      <c r="G11" s="676">
        <f>huishoudens!F8</f>
        <v>126420.24435291326</v>
      </c>
      <c r="H11" s="676">
        <f>huishoudens!G8</f>
        <v>0</v>
      </c>
      <c r="I11" s="676">
        <f>huishoudens!H8</f>
        <v>0</v>
      </c>
      <c r="J11" s="676">
        <f>huishoudens!I8</f>
        <v>0</v>
      </c>
      <c r="K11" s="676">
        <f>huishoudens!J8</f>
        <v>2394.1477032916118</v>
      </c>
      <c r="L11" s="676">
        <f>huishoudens!K8</f>
        <v>0</v>
      </c>
      <c r="M11" s="676">
        <f>huishoudens!L8</f>
        <v>0</v>
      </c>
      <c r="N11" s="676">
        <f>huishoudens!M8</f>
        <v>0</v>
      </c>
      <c r="O11" s="676">
        <f>huishoudens!N8</f>
        <v>20833.696897795362</v>
      </c>
      <c r="P11" s="676">
        <f>huishoudens!O8</f>
        <v>473.69000000000005</v>
      </c>
      <c r="Q11" s="677">
        <f>huishoudens!P8</f>
        <v>1010.5333333333333</v>
      </c>
      <c r="R11" s="679">
        <f>SUM(C11:Q11)</f>
        <v>296497.47249477904</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20830.667999999998</v>
      </c>
      <c r="D13" s="676">
        <f>industrie!C18</f>
        <v>6621.4285714285716</v>
      </c>
      <c r="E13" s="676">
        <f>industrie!D18</f>
        <v>91156.739851142862</v>
      </c>
      <c r="F13" s="676">
        <f>industrie!E18</f>
        <v>2749.3066591935362</v>
      </c>
      <c r="G13" s="676">
        <f>industrie!F18</f>
        <v>9591.738190358983</v>
      </c>
      <c r="H13" s="676">
        <f>industrie!G18</f>
        <v>0</v>
      </c>
      <c r="I13" s="676">
        <f>industrie!H18</f>
        <v>0</v>
      </c>
      <c r="J13" s="676">
        <f>industrie!I18</f>
        <v>0</v>
      </c>
      <c r="K13" s="676">
        <f>industrie!J18</f>
        <v>22.228520569297871</v>
      </c>
      <c r="L13" s="676">
        <f>industrie!K18</f>
        <v>0</v>
      </c>
      <c r="M13" s="676">
        <f>industrie!L18</f>
        <v>0</v>
      </c>
      <c r="N13" s="676">
        <f>industrie!M18</f>
        <v>0</v>
      </c>
      <c r="O13" s="676">
        <f>industrie!N18</f>
        <v>1212.5559305092661</v>
      </c>
      <c r="P13" s="676">
        <f>industrie!O18</f>
        <v>0</v>
      </c>
      <c r="Q13" s="677">
        <f>industrie!P18</f>
        <v>0</v>
      </c>
      <c r="R13" s="679">
        <f>SUM(C13:Q13)</f>
        <v>132184.66572320252</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108964.51824084052</v>
      </c>
      <c r="D16" s="711">
        <f t="shared" ref="D16:R16" ca="1" si="0">SUM(D9:D15)</f>
        <v>6621.4285714285716</v>
      </c>
      <c r="E16" s="711">
        <f t="shared" ca="1" si="0"/>
        <v>193718.91143114286</v>
      </c>
      <c r="F16" s="711">
        <f t="shared" si="0"/>
        <v>7272.2011347718635</v>
      </c>
      <c r="G16" s="711">
        <f t="shared" ca="1" si="0"/>
        <v>142519.98092961882</v>
      </c>
      <c r="H16" s="711">
        <f t="shared" si="0"/>
        <v>0</v>
      </c>
      <c r="I16" s="711">
        <f t="shared" si="0"/>
        <v>0</v>
      </c>
      <c r="J16" s="711">
        <f t="shared" si="0"/>
        <v>0</v>
      </c>
      <c r="K16" s="711">
        <f t="shared" si="0"/>
        <v>2416.3762238609097</v>
      </c>
      <c r="L16" s="711">
        <f t="shared" si="0"/>
        <v>0</v>
      </c>
      <c r="M16" s="711">
        <f t="shared" ca="1" si="0"/>
        <v>0</v>
      </c>
      <c r="N16" s="711">
        <f t="shared" si="0"/>
        <v>0</v>
      </c>
      <c r="O16" s="711">
        <f t="shared" ca="1" si="0"/>
        <v>26607.10715675999</v>
      </c>
      <c r="P16" s="711">
        <f t="shared" si="0"/>
        <v>475.25333333333339</v>
      </c>
      <c r="Q16" s="711">
        <f t="shared" si="0"/>
        <v>1029.5999999999999</v>
      </c>
      <c r="R16" s="711">
        <f t="shared" ca="1" si="0"/>
        <v>489625.37702175684</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15.041113386545231</v>
      </c>
      <c r="D19" s="676">
        <f>transport!C54</f>
        <v>0</v>
      </c>
      <c r="E19" s="676">
        <f>transport!D54</f>
        <v>0</v>
      </c>
      <c r="F19" s="676">
        <f>transport!E54</f>
        <v>0</v>
      </c>
      <c r="G19" s="676">
        <f>transport!F54</f>
        <v>0</v>
      </c>
      <c r="H19" s="676">
        <f>transport!G54</f>
        <v>2927.6675412746777</v>
      </c>
      <c r="I19" s="676">
        <f>transport!H54</f>
        <v>0</v>
      </c>
      <c r="J19" s="676">
        <f>transport!I54</f>
        <v>0</v>
      </c>
      <c r="K19" s="676">
        <f>transport!J54</f>
        <v>0</v>
      </c>
      <c r="L19" s="676">
        <f>transport!K54</f>
        <v>0</v>
      </c>
      <c r="M19" s="676">
        <f>transport!L54</f>
        <v>0</v>
      </c>
      <c r="N19" s="676">
        <f>transport!M54</f>
        <v>131.27907252336129</v>
      </c>
      <c r="O19" s="676">
        <f>transport!N54</f>
        <v>0</v>
      </c>
      <c r="P19" s="676">
        <f>transport!O54</f>
        <v>0</v>
      </c>
      <c r="Q19" s="677">
        <f>transport!P54</f>
        <v>0</v>
      </c>
      <c r="R19" s="679">
        <f>SUM(C19:Q19)</f>
        <v>3073.9877271845839</v>
      </c>
      <c r="S19" s="67"/>
    </row>
    <row r="20" spans="1:19" s="444" customFormat="1">
      <c r="A20" s="791" t="s">
        <v>296</v>
      </c>
      <c r="B20" s="796"/>
      <c r="C20" s="676">
        <f>transport!B14</f>
        <v>16.954281686593365</v>
      </c>
      <c r="D20" s="676">
        <f>transport!C14</f>
        <v>0</v>
      </c>
      <c r="E20" s="676">
        <f>transport!D14</f>
        <v>16.546401538213289</v>
      </c>
      <c r="F20" s="676">
        <f>transport!E14</f>
        <v>612.18517395109336</v>
      </c>
      <c r="G20" s="676">
        <f>transport!F14</f>
        <v>0</v>
      </c>
      <c r="H20" s="676">
        <f>transport!G14</f>
        <v>162833.35882996809</v>
      </c>
      <c r="I20" s="676">
        <f>transport!H14</f>
        <v>28533.094580750465</v>
      </c>
      <c r="J20" s="676">
        <f>transport!I14</f>
        <v>0</v>
      </c>
      <c r="K20" s="676">
        <f>transport!J14</f>
        <v>0</v>
      </c>
      <c r="L20" s="676">
        <f>transport!K14</f>
        <v>0</v>
      </c>
      <c r="M20" s="676">
        <f>transport!L14</f>
        <v>0</v>
      </c>
      <c r="N20" s="676">
        <f>transport!M14</f>
        <v>8652.7637202418246</v>
      </c>
      <c r="O20" s="676">
        <f>transport!N14</f>
        <v>0</v>
      </c>
      <c r="P20" s="676">
        <f>transport!O14</f>
        <v>0</v>
      </c>
      <c r="Q20" s="677">
        <f>transport!P14</f>
        <v>0</v>
      </c>
      <c r="R20" s="679">
        <f>SUM(C20:Q20)</f>
        <v>200664.90298813628</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31.995395073138596</v>
      </c>
      <c r="D22" s="794">
        <f t="shared" ref="D22:R22" si="1">SUM(D18:D21)</f>
        <v>0</v>
      </c>
      <c r="E22" s="794">
        <f t="shared" si="1"/>
        <v>16.546401538213289</v>
      </c>
      <c r="F22" s="794">
        <f t="shared" si="1"/>
        <v>612.18517395109336</v>
      </c>
      <c r="G22" s="794">
        <f t="shared" si="1"/>
        <v>0</v>
      </c>
      <c r="H22" s="794">
        <f t="shared" si="1"/>
        <v>165761.02637124277</v>
      </c>
      <c r="I22" s="794">
        <f t="shared" si="1"/>
        <v>28533.094580750465</v>
      </c>
      <c r="J22" s="794">
        <f t="shared" si="1"/>
        <v>0</v>
      </c>
      <c r="K22" s="794">
        <f t="shared" si="1"/>
        <v>0</v>
      </c>
      <c r="L22" s="794">
        <f t="shared" si="1"/>
        <v>0</v>
      </c>
      <c r="M22" s="794">
        <f t="shared" si="1"/>
        <v>0</v>
      </c>
      <c r="N22" s="794">
        <f t="shared" si="1"/>
        <v>8784.0427927651854</v>
      </c>
      <c r="O22" s="794">
        <f t="shared" si="1"/>
        <v>0</v>
      </c>
      <c r="P22" s="794">
        <f t="shared" si="1"/>
        <v>0</v>
      </c>
      <c r="Q22" s="794">
        <f t="shared" si="1"/>
        <v>0</v>
      </c>
      <c r="R22" s="794">
        <f t="shared" si="1"/>
        <v>203738.89071532086</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1426.577</v>
      </c>
      <c r="D24" s="676">
        <f>+landbouw!C8</f>
        <v>0</v>
      </c>
      <c r="E24" s="676">
        <f>+landbouw!D8</f>
        <v>1469.9298679999999</v>
      </c>
      <c r="F24" s="676">
        <f>+landbouw!E8</f>
        <v>17.976708004839541</v>
      </c>
      <c r="G24" s="676">
        <f>+landbouw!F8</f>
        <v>4922.0480288927647</v>
      </c>
      <c r="H24" s="676">
        <f>+landbouw!G8</f>
        <v>0</v>
      </c>
      <c r="I24" s="676">
        <f>+landbouw!H8</f>
        <v>0</v>
      </c>
      <c r="J24" s="676">
        <f>+landbouw!I8</f>
        <v>0</v>
      </c>
      <c r="K24" s="676">
        <f>+landbouw!J8</f>
        <v>214.54096404500655</v>
      </c>
      <c r="L24" s="676">
        <f>+landbouw!K8</f>
        <v>0</v>
      </c>
      <c r="M24" s="676">
        <f>+landbouw!L8</f>
        <v>0</v>
      </c>
      <c r="N24" s="676">
        <f>+landbouw!M8</f>
        <v>0</v>
      </c>
      <c r="O24" s="676">
        <f>+landbouw!N8</f>
        <v>0</v>
      </c>
      <c r="P24" s="676">
        <f>+landbouw!O8</f>
        <v>0</v>
      </c>
      <c r="Q24" s="677">
        <f>+landbouw!P8</f>
        <v>0</v>
      </c>
      <c r="R24" s="679">
        <f>SUM(C24:Q24)</f>
        <v>8051.0725689426099</v>
      </c>
      <c r="S24" s="67"/>
    </row>
    <row r="25" spans="1:19" s="444" customFormat="1" ht="15" thickBot="1">
      <c r="A25" s="813" t="s">
        <v>833</v>
      </c>
      <c r="B25" s="977"/>
      <c r="C25" s="978">
        <f>IF(Onbekend_ele_kWh="---",0,Onbekend_ele_kWh)/1000+IF(REST_rest_ele_kWh="---",0,REST_rest_ele_kWh)/1000</f>
        <v>2050.67</v>
      </c>
      <c r="D25" s="978"/>
      <c r="E25" s="978">
        <f>IF(onbekend_gas_kWh="---",0,onbekend_gas_kWh)/1000+IF(REST_rest_gas_kWh="---",0,REST_rest_gas_kWh)/1000</f>
        <v>19618.864000000001</v>
      </c>
      <c r="F25" s="978"/>
      <c r="G25" s="978"/>
      <c r="H25" s="978"/>
      <c r="I25" s="978"/>
      <c r="J25" s="978"/>
      <c r="K25" s="978"/>
      <c r="L25" s="978"/>
      <c r="M25" s="978"/>
      <c r="N25" s="978"/>
      <c r="O25" s="978"/>
      <c r="P25" s="978"/>
      <c r="Q25" s="979"/>
      <c r="R25" s="679">
        <f>SUM(C25:Q25)</f>
        <v>21669.534</v>
      </c>
      <c r="S25" s="67"/>
    </row>
    <row r="26" spans="1:19" s="444" customFormat="1" ht="15.75" thickBot="1">
      <c r="A26" s="684" t="s">
        <v>834</v>
      </c>
      <c r="B26" s="799"/>
      <c r="C26" s="794">
        <f>SUM(C24:C25)</f>
        <v>3477.2470000000003</v>
      </c>
      <c r="D26" s="794">
        <f t="shared" ref="D26:R26" si="2">SUM(D24:D25)</f>
        <v>0</v>
      </c>
      <c r="E26" s="794">
        <f t="shared" si="2"/>
        <v>21088.793868000001</v>
      </c>
      <c r="F26" s="794">
        <f t="shared" si="2"/>
        <v>17.976708004839541</v>
      </c>
      <c r="G26" s="794">
        <f t="shared" si="2"/>
        <v>4922.0480288927647</v>
      </c>
      <c r="H26" s="794">
        <f t="shared" si="2"/>
        <v>0</v>
      </c>
      <c r="I26" s="794">
        <f t="shared" si="2"/>
        <v>0</v>
      </c>
      <c r="J26" s="794">
        <f t="shared" si="2"/>
        <v>0</v>
      </c>
      <c r="K26" s="794">
        <f t="shared" si="2"/>
        <v>214.54096404500655</v>
      </c>
      <c r="L26" s="794">
        <f t="shared" si="2"/>
        <v>0</v>
      </c>
      <c r="M26" s="794">
        <f t="shared" si="2"/>
        <v>0</v>
      </c>
      <c r="N26" s="794">
        <f t="shared" si="2"/>
        <v>0</v>
      </c>
      <c r="O26" s="794">
        <f t="shared" si="2"/>
        <v>0</v>
      </c>
      <c r="P26" s="794">
        <f t="shared" si="2"/>
        <v>0</v>
      </c>
      <c r="Q26" s="794">
        <f t="shared" si="2"/>
        <v>0</v>
      </c>
      <c r="R26" s="794">
        <f t="shared" si="2"/>
        <v>29720.60656894261</v>
      </c>
      <c r="S26" s="67"/>
    </row>
    <row r="27" spans="1:19" s="444" customFormat="1" ht="17.25" thickTop="1" thickBot="1">
      <c r="A27" s="685" t="s">
        <v>109</v>
      </c>
      <c r="B27" s="786"/>
      <c r="C27" s="686">
        <f ca="1">C22+C16+C26</f>
        <v>112473.76063591367</v>
      </c>
      <c r="D27" s="686">
        <f t="shared" ref="D27:R27" ca="1" si="3">D22+D16+D26</f>
        <v>6621.4285714285716</v>
      </c>
      <c r="E27" s="686">
        <f t="shared" ca="1" si="3"/>
        <v>214824.25170068108</v>
      </c>
      <c r="F27" s="686">
        <f t="shared" si="3"/>
        <v>7902.3630167277961</v>
      </c>
      <c r="G27" s="686">
        <f t="shared" ca="1" si="3"/>
        <v>147442.0289585116</v>
      </c>
      <c r="H27" s="686">
        <f t="shared" si="3"/>
        <v>165761.02637124277</v>
      </c>
      <c r="I27" s="686">
        <f t="shared" si="3"/>
        <v>28533.094580750465</v>
      </c>
      <c r="J27" s="686">
        <f t="shared" si="3"/>
        <v>0</v>
      </c>
      <c r="K27" s="686">
        <f t="shared" si="3"/>
        <v>2630.9171879059163</v>
      </c>
      <c r="L27" s="686">
        <f t="shared" si="3"/>
        <v>0</v>
      </c>
      <c r="M27" s="686">
        <f t="shared" ca="1" si="3"/>
        <v>0</v>
      </c>
      <c r="N27" s="686">
        <f t="shared" si="3"/>
        <v>8784.0427927651854</v>
      </c>
      <c r="O27" s="686">
        <f t="shared" ca="1" si="3"/>
        <v>26607.10715675999</v>
      </c>
      <c r="P27" s="686">
        <f t="shared" si="3"/>
        <v>475.25333333333339</v>
      </c>
      <c r="Q27" s="686">
        <f t="shared" si="3"/>
        <v>1029.5999999999999</v>
      </c>
      <c r="R27" s="686">
        <f t="shared" ca="1" si="3"/>
        <v>723084.87430602033</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6274.39501992633</v>
      </c>
      <c r="D40" s="676">
        <f ca="1">tertiair!C20</f>
        <v>0</v>
      </c>
      <c r="E40" s="676">
        <f ca="1">tertiair!D20</f>
        <v>3470.29109174</v>
      </c>
      <c r="F40" s="676">
        <f>tertiair!E20</f>
        <v>90.265237706955048</v>
      </c>
      <c r="G40" s="676">
        <f ca="1">tertiair!F20</f>
        <v>1737.635569154538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11572.586918527822</v>
      </c>
    </row>
    <row r="41" spans="1:18">
      <c r="A41" s="804" t="s">
        <v>214</v>
      </c>
      <c r="B41" s="811"/>
      <c r="C41" s="676">
        <f ca="1">huishoudens!B12</f>
        <v>10858.42285935126</v>
      </c>
      <c r="D41" s="676">
        <f ca="1">huishoudens!C12</f>
        <v>0</v>
      </c>
      <c r="E41" s="676">
        <f>huishoudens!D12</f>
        <v>17247.26756742</v>
      </c>
      <c r="F41" s="676">
        <f>huishoudens!E12</f>
        <v>936.43180824932529</v>
      </c>
      <c r="G41" s="676">
        <f>huishoudens!F12</f>
        <v>33754.205242227843</v>
      </c>
      <c r="H41" s="676">
        <f>huishoudens!G12</f>
        <v>0</v>
      </c>
      <c r="I41" s="676">
        <f>huishoudens!H12</f>
        <v>0</v>
      </c>
      <c r="J41" s="676">
        <f>huishoudens!I12</f>
        <v>0</v>
      </c>
      <c r="K41" s="676">
        <f>huishoudens!J12</f>
        <v>847.52828696523056</v>
      </c>
      <c r="L41" s="676">
        <f>huishoudens!K12</f>
        <v>0</v>
      </c>
      <c r="M41" s="676">
        <f>huishoudens!L12</f>
        <v>0</v>
      </c>
      <c r="N41" s="676">
        <f>huishoudens!M12</f>
        <v>0</v>
      </c>
      <c r="O41" s="676">
        <f>huishoudens!N12</f>
        <v>0</v>
      </c>
      <c r="P41" s="676">
        <f>huishoudens!O12</f>
        <v>0</v>
      </c>
      <c r="Q41" s="753">
        <f>huishoudens!P12</f>
        <v>0</v>
      </c>
      <c r="R41" s="832">
        <f t="shared" ca="1" si="4"/>
        <v>63643.855764213658</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4049.3867018454221</v>
      </c>
      <c r="D43" s="676">
        <f ca="1">industrie!C22</f>
        <v>1573.5630252100839</v>
      </c>
      <c r="E43" s="676">
        <f>industrie!D22</f>
        <v>18413.66144993086</v>
      </c>
      <c r="F43" s="676">
        <f>industrie!E22</f>
        <v>624.0926116369327</v>
      </c>
      <c r="G43" s="676">
        <f>industrie!F22</f>
        <v>2560.9940968258488</v>
      </c>
      <c r="H43" s="676">
        <f>industrie!G22</f>
        <v>0</v>
      </c>
      <c r="I43" s="676">
        <f>industrie!H22</f>
        <v>0</v>
      </c>
      <c r="J43" s="676">
        <f>industrie!I22</f>
        <v>0</v>
      </c>
      <c r="K43" s="676">
        <f>industrie!J22</f>
        <v>7.8688962815314456</v>
      </c>
      <c r="L43" s="676">
        <f>industrie!K22</f>
        <v>0</v>
      </c>
      <c r="M43" s="676">
        <f>industrie!L22</f>
        <v>0</v>
      </c>
      <c r="N43" s="676">
        <f>industrie!M22</f>
        <v>0</v>
      </c>
      <c r="O43" s="676">
        <f>industrie!N22</f>
        <v>0</v>
      </c>
      <c r="P43" s="676">
        <f>industrie!O22</f>
        <v>0</v>
      </c>
      <c r="Q43" s="753">
        <f>industrie!P22</f>
        <v>0</v>
      </c>
      <c r="R43" s="831">
        <f t="shared" ca="1" si="4"/>
        <v>27229.566781730678</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21182.204581123013</v>
      </c>
      <c r="D46" s="711">
        <f t="shared" ref="D46:Q46" ca="1" si="5">SUM(D39:D45)</f>
        <v>1573.5630252100839</v>
      </c>
      <c r="E46" s="711">
        <f t="shared" ca="1" si="5"/>
        <v>39131.220109090864</v>
      </c>
      <c r="F46" s="711">
        <f t="shared" si="5"/>
        <v>1650.7896575932132</v>
      </c>
      <c r="G46" s="711">
        <f t="shared" ca="1" si="5"/>
        <v>38052.834908208228</v>
      </c>
      <c r="H46" s="711">
        <f t="shared" si="5"/>
        <v>0</v>
      </c>
      <c r="I46" s="711">
        <f t="shared" si="5"/>
        <v>0</v>
      </c>
      <c r="J46" s="711">
        <f t="shared" si="5"/>
        <v>0</v>
      </c>
      <c r="K46" s="711">
        <f t="shared" si="5"/>
        <v>855.39718324676198</v>
      </c>
      <c r="L46" s="711">
        <f t="shared" si="5"/>
        <v>0</v>
      </c>
      <c r="M46" s="711">
        <f t="shared" ca="1" si="5"/>
        <v>0</v>
      </c>
      <c r="N46" s="711">
        <f t="shared" si="5"/>
        <v>0</v>
      </c>
      <c r="O46" s="711">
        <f t="shared" ca="1" si="5"/>
        <v>0</v>
      </c>
      <c r="P46" s="711">
        <f t="shared" si="5"/>
        <v>0</v>
      </c>
      <c r="Q46" s="711">
        <f t="shared" si="5"/>
        <v>0</v>
      </c>
      <c r="R46" s="711">
        <f ca="1">SUM(R39:R45)</f>
        <v>102446.00946447217</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2.9239237324710579</v>
      </c>
      <c r="D49" s="676">
        <f ca="1">transport!C58</f>
        <v>0</v>
      </c>
      <c r="E49" s="676">
        <f>transport!D58</f>
        <v>0</v>
      </c>
      <c r="F49" s="676">
        <f>transport!E58</f>
        <v>0</v>
      </c>
      <c r="G49" s="676">
        <f>transport!F58</f>
        <v>0</v>
      </c>
      <c r="H49" s="676">
        <f>transport!G58</f>
        <v>781.68723352033896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784.61115725281002</v>
      </c>
    </row>
    <row r="50" spans="1:18">
      <c r="A50" s="807" t="s">
        <v>296</v>
      </c>
      <c r="B50" s="817"/>
      <c r="C50" s="682">
        <f ca="1">transport!B18</f>
        <v>3.2958349103846576</v>
      </c>
      <c r="D50" s="682">
        <f>transport!C18</f>
        <v>0</v>
      </c>
      <c r="E50" s="682">
        <f>transport!D18</f>
        <v>3.3423731107190844</v>
      </c>
      <c r="F50" s="682">
        <f>transport!E18</f>
        <v>138.9660344868982</v>
      </c>
      <c r="G50" s="682">
        <f>transport!F18</f>
        <v>0</v>
      </c>
      <c r="H50" s="682">
        <f>transport!G18</f>
        <v>43476.50680760148</v>
      </c>
      <c r="I50" s="682">
        <f>transport!H18</f>
        <v>7104.7405506068653</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50726.851600716349</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6.2197586428557159</v>
      </c>
      <c r="D52" s="711">
        <f t="shared" ref="D52:Q52" ca="1" si="6">SUM(D48:D51)</f>
        <v>0</v>
      </c>
      <c r="E52" s="711">
        <f t="shared" si="6"/>
        <v>3.3423731107190844</v>
      </c>
      <c r="F52" s="711">
        <f t="shared" si="6"/>
        <v>138.9660344868982</v>
      </c>
      <c r="G52" s="711">
        <f t="shared" si="6"/>
        <v>0</v>
      </c>
      <c r="H52" s="711">
        <f t="shared" si="6"/>
        <v>44258.194041121817</v>
      </c>
      <c r="I52" s="711">
        <f t="shared" si="6"/>
        <v>7104.7405506068653</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51511.462757969159</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277.3200520001825</v>
      </c>
      <c r="D54" s="682">
        <f ca="1">+landbouw!C12</f>
        <v>0</v>
      </c>
      <c r="E54" s="682">
        <f>+landbouw!D12</f>
        <v>296.92583333599998</v>
      </c>
      <c r="F54" s="682">
        <f>+landbouw!E12</f>
        <v>4.0807127170985762</v>
      </c>
      <c r="G54" s="682">
        <f>+landbouw!F12</f>
        <v>1314.1868237143683</v>
      </c>
      <c r="H54" s="682">
        <f>+landbouw!G12</f>
        <v>0</v>
      </c>
      <c r="I54" s="682">
        <f>+landbouw!H12</f>
        <v>0</v>
      </c>
      <c r="J54" s="682">
        <f>+landbouw!I12</f>
        <v>0</v>
      </c>
      <c r="K54" s="682">
        <f>+landbouw!J12</f>
        <v>75.94750127193231</v>
      </c>
      <c r="L54" s="682">
        <f>+landbouw!K12</f>
        <v>0</v>
      </c>
      <c r="M54" s="682">
        <f>+landbouw!L12</f>
        <v>0</v>
      </c>
      <c r="N54" s="682">
        <f>+landbouw!M12</f>
        <v>0</v>
      </c>
      <c r="O54" s="682">
        <f>+landbouw!N12</f>
        <v>0</v>
      </c>
      <c r="P54" s="682">
        <f>+landbouw!O12</f>
        <v>0</v>
      </c>
      <c r="Q54" s="683">
        <f>+landbouw!P12</f>
        <v>0</v>
      </c>
      <c r="R54" s="710">
        <f ca="1">SUM(C54:Q54)</f>
        <v>1968.4609230395818</v>
      </c>
    </row>
    <row r="55" spans="1:18" ht="15" thickBot="1">
      <c r="A55" s="807" t="s">
        <v>833</v>
      </c>
      <c r="B55" s="817"/>
      <c r="C55" s="682">
        <f ca="1">C25*'EF ele_warmte'!B12</f>
        <v>398.64088025757758</v>
      </c>
      <c r="D55" s="682"/>
      <c r="E55" s="682">
        <f>E25*EF_CO2_aardgas</f>
        <v>3963.0105280000007</v>
      </c>
      <c r="F55" s="682"/>
      <c r="G55" s="682"/>
      <c r="H55" s="682"/>
      <c r="I55" s="682"/>
      <c r="J55" s="682"/>
      <c r="K55" s="682"/>
      <c r="L55" s="682"/>
      <c r="M55" s="682"/>
      <c r="N55" s="682"/>
      <c r="O55" s="682"/>
      <c r="P55" s="682"/>
      <c r="Q55" s="683"/>
      <c r="R55" s="710">
        <f ca="1">SUM(C55:Q55)</f>
        <v>4361.6514082575786</v>
      </c>
    </row>
    <row r="56" spans="1:18" ht="15.75" thickBot="1">
      <c r="A56" s="805" t="s">
        <v>834</v>
      </c>
      <c r="B56" s="818"/>
      <c r="C56" s="711">
        <f ca="1">SUM(C54:C55)</f>
        <v>675.96093225776008</v>
      </c>
      <c r="D56" s="711">
        <f t="shared" ref="D56:Q56" ca="1" si="7">SUM(D54:D55)</f>
        <v>0</v>
      </c>
      <c r="E56" s="711">
        <f t="shared" si="7"/>
        <v>4259.936361336001</v>
      </c>
      <c r="F56" s="711">
        <f t="shared" si="7"/>
        <v>4.0807127170985762</v>
      </c>
      <c r="G56" s="711">
        <f t="shared" si="7"/>
        <v>1314.1868237143683</v>
      </c>
      <c r="H56" s="711">
        <f t="shared" si="7"/>
        <v>0</v>
      </c>
      <c r="I56" s="711">
        <f t="shared" si="7"/>
        <v>0</v>
      </c>
      <c r="J56" s="711">
        <f t="shared" si="7"/>
        <v>0</v>
      </c>
      <c r="K56" s="711">
        <f t="shared" si="7"/>
        <v>75.94750127193231</v>
      </c>
      <c r="L56" s="711">
        <f t="shared" si="7"/>
        <v>0</v>
      </c>
      <c r="M56" s="711">
        <f t="shared" si="7"/>
        <v>0</v>
      </c>
      <c r="N56" s="711">
        <f t="shared" si="7"/>
        <v>0</v>
      </c>
      <c r="O56" s="711">
        <f t="shared" si="7"/>
        <v>0</v>
      </c>
      <c r="P56" s="711">
        <f t="shared" si="7"/>
        <v>0</v>
      </c>
      <c r="Q56" s="712">
        <f t="shared" si="7"/>
        <v>0</v>
      </c>
      <c r="R56" s="713">
        <f ca="1">SUM(R54:R55)</f>
        <v>6330.1123312971604</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21864.385272023628</v>
      </c>
      <c r="D61" s="719">
        <f t="shared" ref="D61:Q61" ca="1" si="8">D46+D52+D56</f>
        <v>1573.5630252100839</v>
      </c>
      <c r="E61" s="719">
        <f t="shared" ca="1" si="8"/>
        <v>43394.498843537585</v>
      </c>
      <c r="F61" s="719">
        <f t="shared" si="8"/>
        <v>1793.83640479721</v>
      </c>
      <c r="G61" s="719">
        <f t="shared" ca="1" si="8"/>
        <v>39367.021731922599</v>
      </c>
      <c r="H61" s="719">
        <f t="shared" si="8"/>
        <v>44258.194041121817</v>
      </c>
      <c r="I61" s="719">
        <f t="shared" si="8"/>
        <v>7104.7405506068653</v>
      </c>
      <c r="J61" s="719">
        <f t="shared" si="8"/>
        <v>0</v>
      </c>
      <c r="K61" s="719">
        <f t="shared" si="8"/>
        <v>931.34468451869429</v>
      </c>
      <c r="L61" s="719">
        <f t="shared" si="8"/>
        <v>0</v>
      </c>
      <c r="M61" s="719">
        <f t="shared" ca="1" si="8"/>
        <v>0</v>
      </c>
      <c r="N61" s="719">
        <f t="shared" si="8"/>
        <v>0</v>
      </c>
      <c r="O61" s="719">
        <f t="shared" ca="1" si="8"/>
        <v>0</v>
      </c>
      <c r="P61" s="719">
        <f t="shared" si="8"/>
        <v>0</v>
      </c>
      <c r="Q61" s="719">
        <f t="shared" si="8"/>
        <v>0</v>
      </c>
      <c r="R61" s="719">
        <f ca="1">R46+R52+R56</f>
        <v>160287.5845537385</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0.19439543186255101</v>
      </c>
      <c r="D63" s="762">
        <f t="shared" ca="1" si="9"/>
        <v>0.23764705882352938</v>
      </c>
      <c r="E63" s="984">
        <f t="shared" ca="1" si="9"/>
        <v>0.20200000000000004</v>
      </c>
      <c r="F63" s="762">
        <f t="shared" si="9"/>
        <v>0.22700000000000004</v>
      </c>
      <c r="G63" s="762">
        <f t="shared" ca="1" si="9"/>
        <v>0.26700000000000002</v>
      </c>
      <c r="H63" s="762">
        <f t="shared" si="9"/>
        <v>0.26699999999999996</v>
      </c>
      <c r="I63" s="762">
        <f t="shared" si="9"/>
        <v>0.24899999999999997</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13889.026905702933</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4635</v>
      </c>
      <c r="D76" s="994">
        <f>'lokale energieproductie'!C8</f>
        <v>5452.9411764705883</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1101.4941176470588</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13889.026905702933</v>
      </c>
      <c r="C78" s="734">
        <f>SUM(C72:C77)</f>
        <v>4635</v>
      </c>
      <c r="D78" s="735">
        <f t="shared" ref="D78:H78" si="10">SUM(D76:D77)</f>
        <v>5452.9411764705883</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1101.4941176470588</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6621.4285714285716</v>
      </c>
      <c r="D87" s="756">
        <f>'lokale energieproductie'!C17</f>
        <v>7789.9159663865539</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1573.5630252100839</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6621.4285714285716</v>
      </c>
      <c r="D90" s="734">
        <f t="shared" ref="D90:H90" si="12">SUM(D87:D89)</f>
        <v>7789.9159663865539</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1573.5630252100839</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55857.397240840517</v>
      </c>
      <c r="C4" s="448">
        <f>huishoudens!C8</f>
        <v>0</v>
      </c>
      <c r="D4" s="448">
        <f>huishoudens!D8</f>
        <v>85382.512709999995</v>
      </c>
      <c r="E4" s="448">
        <f>huishoudens!E8</f>
        <v>4125.250256604957</v>
      </c>
      <c r="F4" s="448">
        <f>huishoudens!F8</f>
        <v>126420.24435291326</v>
      </c>
      <c r="G4" s="448">
        <f>huishoudens!G8</f>
        <v>0</v>
      </c>
      <c r="H4" s="448">
        <f>huishoudens!H8</f>
        <v>0</v>
      </c>
      <c r="I4" s="448">
        <f>huishoudens!I8</f>
        <v>0</v>
      </c>
      <c r="J4" s="448">
        <f>huishoudens!J8</f>
        <v>2394.1477032916118</v>
      </c>
      <c r="K4" s="448">
        <f>huishoudens!K8</f>
        <v>0</v>
      </c>
      <c r="L4" s="448">
        <f>huishoudens!L8</f>
        <v>0</v>
      </c>
      <c r="M4" s="448">
        <f>huishoudens!M8</f>
        <v>0</v>
      </c>
      <c r="N4" s="448">
        <f>huishoudens!N8</f>
        <v>20833.696897795362</v>
      </c>
      <c r="O4" s="448">
        <f>huishoudens!O8</f>
        <v>473.69000000000005</v>
      </c>
      <c r="P4" s="449">
        <f>huishoudens!P8</f>
        <v>1010.5333333333333</v>
      </c>
      <c r="Q4" s="450">
        <f>SUM(B4:P4)</f>
        <v>296497.47249477904</v>
      </c>
    </row>
    <row r="5" spans="1:17">
      <c r="A5" s="447" t="s">
        <v>149</v>
      </c>
      <c r="B5" s="448">
        <f ca="1">tertiair!B16</f>
        <v>30361.649999999998</v>
      </c>
      <c r="C5" s="448">
        <f ca="1">tertiair!C16</f>
        <v>0</v>
      </c>
      <c r="D5" s="448">
        <f ca="1">tertiair!D16</f>
        <v>17179.658869999999</v>
      </c>
      <c r="E5" s="448">
        <f>tertiair!E16</f>
        <v>397.64421897337024</v>
      </c>
      <c r="F5" s="448">
        <f ca="1">tertiair!F16</f>
        <v>6507.9983863465841</v>
      </c>
      <c r="G5" s="448">
        <f>tertiair!G16</f>
        <v>0</v>
      </c>
      <c r="H5" s="448">
        <f>tertiair!H16</f>
        <v>0</v>
      </c>
      <c r="I5" s="448">
        <f>tertiair!I16</f>
        <v>0</v>
      </c>
      <c r="J5" s="448">
        <f>tertiair!J16</f>
        <v>0</v>
      </c>
      <c r="K5" s="448">
        <f>tertiair!K16</f>
        <v>0</v>
      </c>
      <c r="L5" s="448">
        <f ca="1">tertiair!L16</f>
        <v>0</v>
      </c>
      <c r="M5" s="448">
        <f>tertiair!M16</f>
        <v>0</v>
      </c>
      <c r="N5" s="448">
        <f ca="1">tertiair!N16</f>
        <v>4560.8543284553634</v>
      </c>
      <c r="O5" s="448">
        <f>tertiair!O16</f>
        <v>1.5633333333333335</v>
      </c>
      <c r="P5" s="449">
        <f>tertiair!P16</f>
        <v>19.066666666666666</v>
      </c>
      <c r="Q5" s="447">
        <f t="shared" ref="Q5:Q14" ca="1" si="0">SUM(B5:P5)</f>
        <v>59028.435803775305</v>
      </c>
    </row>
    <row r="6" spans="1:17">
      <c r="A6" s="447" t="s">
        <v>187</v>
      </c>
      <c r="B6" s="448">
        <f>'openbare verlichting'!B8</f>
        <v>1914.8030000000001</v>
      </c>
      <c r="C6" s="448"/>
      <c r="D6" s="448"/>
      <c r="E6" s="448"/>
      <c r="F6" s="448"/>
      <c r="G6" s="448"/>
      <c r="H6" s="448"/>
      <c r="I6" s="448"/>
      <c r="J6" s="448"/>
      <c r="K6" s="448"/>
      <c r="L6" s="448"/>
      <c r="M6" s="448"/>
      <c r="N6" s="448"/>
      <c r="O6" s="448"/>
      <c r="P6" s="449"/>
      <c r="Q6" s="447">
        <f t="shared" si="0"/>
        <v>1914.8030000000001</v>
      </c>
    </row>
    <row r="7" spans="1:17">
      <c r="A7" s="447" t="s">
        <v>105</v>
      </c>
      <c r="B7" s="448">
        <f>landbouw!B8</f>
        <v>1426.577</v>
      </c>
      <c r="C7" s="448">
        <f>landbouw!C8</f>
        <v>0</v>
      </c>
      <c r="D7" s="448">
        <f>landbouw!D8</f>
        <v>1469.9298679999999</v>
      </c>
      <c r="E7" s="448">
        <f>landbouw!E8</f>
        <v>17.976708004839541</v>
      </c>
      <c r="F7" s="448">
        <f>landbouw!F8</f>
        <v>4922.0480288927647</v>
      </c>
      <c r="G7" s="448">
        <f>landbouw!G8</f>
        <v>0</v>
      </c>
      <c r="H7" s="448">
        <f>landbouw!H8</f>
        <v>0</v>
      </c>
      <c r="I7" s="448">
        <f>landbouw!I8</f>
        <v>0</v>
      </c>
      <c r="J7" s="448">
        <f>landbouw!J8</f>
        <v>214.54096404500655</v>
      </c>
      <c r="K7" s="448">
        <f>landbouw!K8</f>
        <v>0</v>
      </c>
      <c r="L7" s="448">
        <f>landbouw!L8</f>
        <v>0</v>
      </c>
      <c r="M7" s="448">
        <f>landbouw!M8</f>
        <v>0</v>
      </c>
      <c r="N7" s="448">
        <f>landbouw!N8</f>
        <v>0</v>
      </c>
      <c r="O7" s="448">
        <f>landbouw!O8</f>
        <v>0</v>
      </c>
      <c r="P7" s="449">
        <f>landbouw!P8</f>
        <v>0</v>
      </c>
      <c r="Q7" s="447">
        <f t="shared" si="0"/>
        <v>8051.0725689426099</v>
      </c>
    </row>
    <row r="8" spans="1:17">
      <c r="A8" s="447" t="s">
        <v>639</v>
      </c>
      <c r="B8" s="448">
        <f>industrie!B18</f>
        <v>20830.667999999998</v>
      </c>
      <c r="C8" s="448">
        <f>industrie!C18</f>
        <v>6621.4285714285716</v>
      </c>
      <c r="D8" s="448">
        <f>industrie!D18</f>
        <v>91156.739851142862</v>
      </c>
      <c r="E8" s="448">
        <f>industrie!E18</f>
        <v>2749.3066591935362</v>
      </c>
      <c r="F8" s="448">
        <f>industrie!F18</f>
        <v>9591.738190358983</v>
      </c>
      <c r="G8" s="448">
        <f>industrie!G18</f>
        <v>0</v>
      </c>
      <c r="H8" s="448">
        <f>industrie!H18</f>
        <v>0</v>
      </c>
      <c r="I8" s="448">
        <f>industrie!I18</f>
        <v>0</v>
      </c>
      <c r="J8" s="448">
        <f>industrie!J18</f>
        <v>22.228520569297871</v>
      </c>
      <c r="K8" s="448">
        <f>industrie!K18</f>
        <v>0</v>
      </c>
      <c r="L8" s="448">
        <f>industrie!L18</f>
        <v>0</v>
      </c>
      <c r="M8" s="448">
        <f>industrie!M18</f>
        <v>0</v>
      </c>
      <c r="N8" s="448">
        <f>industrie!N18</f>
        <v>1212.5559305092661</v>
      </c>
      <c r="O8" s="448">
        <f>industrie!O18</f>
        <v>0</v>
      </c>
      <c r="P8" s="449">
        <f>industrie!P18</f>
        <v>0</v>
      </c>
      <c r="Q8" s="447">
        <f t="shared" si="0"/>
        <v>132184.66572320252</v>
      </c>
    </row>
    <row r="9" spans="1:17" s="453" customFormat="1">
      <c r="A9" s="451" t="s">
        <v>557</v>
      </c>
      <c r="B9" s="452">
        <f>transport!B14</f>
        <v>16.954281686593365</v>
      </c>
      <c r="C9" s="452">
        <f>transport!C14</f>
        <v>0</v>
      </c>
      <c r="D9" s="452">
        <f>transport!D14</f>
        <v>16.546401538213289</v>
      </c>
      <c r="E9" s="452">
        <f>transport!E14</f>
        <v>612.18517395109336</v>
      </c>
      <c r="F9" s="452">
        <f>transport!F14</f>
        <v>0</v>
      </c>
      <c r="G9" s="452">
        <f>transport!G14</f>
        <v>162833.35882996809</v>
      </c>
      <c r="H9" s="452">
        <f>transport!H14</f>
        <v>28533.094580750465</v>
      </c>
      <c r="I9" s="452">
        <f>transport!I14</f>
        <v>0</v>
      </c>
      <c r="J9" s="452">
        <f>transport!J14</f>
        <v>0</v>
      </c>
      <c r="K9" s="452">
        <f>transport!K14</f>
        <v>0</v>
      </c>
      <c r="L9" s="452">
        <f>transport!L14</f>
        <v>0</v>
      </c>
      <c r="M9" s="452">
        <f>transport!M14</f>
        <v>8652.7637202418246</v>
      </c>
      <c r="N9" s="452">
        <f>transport!N14</f>
        <v>0</v>
      </c>
      <c r="O9" s="452">
        <f>transport!O14</f>
        <v>0</v>
      </c>
      <c r="P9" s="452">
        <f>transport!P14</f>
        <v>0</v>
      </c>
      <c r="Q9" s="451">
        <f>SUM(B9:P9)</f>
        <v>200664.90298813628</v>
      </c>
    </row>
    <row r="10" spans="1:17">
      <c r="A10" s="447" t="s">
        <v>547</v>
      </c>
      <c r="B10" s="448">
        <f>transport!B54</f>
        <v>15.041113386545231</v>
      </c>
      <c r="C10" s="448">
        <f>transport!C54</f>
        <v>0</v>
      </c>
      <c r="D10" s="448">
        <f>transport!D54</f>
        <v>0</v>
      </c>
      <c r="E10" s="448">
        <f>transport!E54</f>
        <v>0</v>
      </c>
      <c r="F10" s="448">
        <f>transport!F54</f>
        <v>0</v>
      </c>
      <c r="G10" s="448">
        <f>transport!G54</f>
        <v>2927.6675412746777</v>
      </c>
      <c r="H10" s="448">
        <f>transport!H54</f>
        <v>0</v>
      </c>
      <c r="I10" s="448">
        <f>transport!I54</f>
        <v>0</v>
      </c>
      <c r="J10" s="448">
        <f>transport!J54</f>
        <v>0</v>
      </c>
      <c r="K10" s="448">
        <f>transport!K54</f>
        <v>0</v>
      </c>
      <c r="L10" s="448">
        <f>transport!L54</f>
        <v>0</v>
      </c>
      <c r="M10" s="448">
        <f>transport!M54</f>
        <v>131.27907252336129</v>
      </c>
      <c r="N10" s="448">
        <f>transport!N54</f>
        <v>0</v>
      </c>
      <c r="O10" s="448">
        <f>transport!O54</f>
        <v>0</v>
      </c>
      <c r="P10" s="449">
        <f>transport!P54</f>
        <v>0</v>
      </c>
      <c r="Q10" s="447">
        <f t="shared" si="0"/>
        <v>3073.9877271845839</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2050.67</v>
      </c>
      <c r="C14" s="455"/>
      <c r="D14" s="455">
        <f>'SEAP template'!E25</f>
        <v>19618.864000000001</v>
      </c>
      <c r="E14" s="455"/>
      <c r="F14" s="455"/>
      <c r="G14" s="455"/>
      <c r="H14" s="455"/>
      <c r="I14" s="455"/>
      <c r="J14" s="455"/>
      <c r="K14" s="455"/>
      <c r="L14" s="455"/>
      <c r="M14" s="455"/>
      <c r="N14" s="455"/>
      <c r="O14" s="455"/>
      <c r="P14" s="456"/>
      <c r="Q14" s="447">
        <f t="shared" si="0"/>
        <v>21669.534</v>
      </c>
    </row>
    <row r="15" spans="1:17" s="460" customFormat="1">
      <c r="A15" s="457" t="s">
        <v>551</v>
      </c>
      <c r="B15" s="458">
        <f ca="1">SUM(B4:B14)</f>
        <v>112473.76063591364</v>
      </c>
      <c r="C15" s="458">
        <f t="shared" ref="C15:Q15" ca="1" si="1">SUM(C4:C14)</f>
        <v>6621.4285714285716</v>
      </c>
      <c r="D15" s="458">
        <f t="shared" ca="1" si="1"/>
        <v>214824.25170068108</v>
      </c>
      <c r="E15" s="458">
        <f t="shared" si="1"/>
        <v>7902.3630167277952</v>
      </c>
      <c r="F15" s="458">
        <f t="shared" ca="1" si="1"/>
        <v>147442.0289585116</v>
      </c>
      <c r="G15" s="458">
        <f t="shared" si="1"/>
        <v>165761.02637124277</v>
      </c>
      <c r="H15" s="458">
        <f t="shared" si="1"/>
        <v>28533.094580750465</v>
      </c>
      <c r="I15" s="458">
        <f t="shared" si="1"/>
        <v>0</v>
      </c>
      <c r="J15" s="458">
        <f t="shared" si="1"/>
        <v>2630.9171879059163</v>
      </c>
      <c r="K15" s="458">
        <f t="shared" si="1"/>
        <v>0</v>
      </c>
      <c r="L15" s="458">
        <f t="shared" ca="1" si="1"/>
        <v>0</v>
      </c>
      <c r="M15" s="458">
        <f t="shared" si="1"/>
        <v>8784.0427927651854</v>
      </c>
      <c r="N15" s="458">
        <f t="shared" ca="1" si="1"/>
        <v>26607.10715675999</v>
      </c>
      <c r="O15" s="458">
        <f t="shared" si="1"/>
        <v>475.25333333333339</v>
      </c>
      <c r="P15" s="458">
        <f t="shared" si="1"/>
        <v>1029.5999999999999</v>
      </c>
      <c r="Q15" s="458">
        <f t="shared" ca="1" si="1"/>
        <v>723084.87430602033</v>
      </c>
    </row>
    <row r="17" spans="1:17">
      <c r="A17" s="461" t="s">
        <v>552</v>
      </c>
      <c r="B17" s="767">
        <f ca="1">huishoudens!B10</f>
        <v>0.19439543186255104</v>
      </c>
      <c r="C17" s="767">
        <f ca="1">huishoudens!C10</f>
        <v>0.23764705882352938</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10858.42285935126</v>
      </c>
      <c r="C22" s="448">
        <f t="shared" ref="C22:C32" ca="1" si="3">C4*$C$17</f>
        <v>0</v>
      </c>
      <c r="D22" s="448">
        <f t="shared" ref="D22:D32" si="4">D4*$D$17</f>
        <v>17247.26756742</v>
      </c>
      <c r="E22" s="448">
        <f t="shared" ref="E22:E32" si="5">E4*$E$17</f>
        <v>936.43180824932529</v>
      </c>
      <c r="F22" s="448">
        <f t="shared" ref="F22:F32" si="6">F4*$F$17</f>
        <v>33754.205242227843</v>
      </c>
      <c r="G22" s="448">
        <f t="shared" ref="G22:G32" si="7">G4*$G$17</f>
        <v>0</v>
      </c>
      <c r="H22" s="448">
        <f t="shared" ref="H22:H32" si="8">H4*$H$17</f>
        <v>0</v>
      </c>
      <c r="I22" s="448">
        <f t="shared" ref="I22:I32" si="9">I4*$I$17</f>
        <v>0</v>
      </c>
      <c r="J22" s="448">
        <f t="shared" ref="J22:J32" si="10">J4*$J$17</f>
        <v>847.52828696523056</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63643.855764213658</v>
      </c>
    </row>
    <row r="23" spans="1:17">
      <c r="A23" s="447" t="s">
        <v>149</v>
      </c>
      <c r="B23" s="448">
        <f t="shared" ca="1" si="2"/>
        <v>5902.1660638096218</v>
      </c>
      <c r="C23" s="448">
        <f t="shared" ca="1" si="3"/>
        <v>0</v>
      </c>
      <c r="D23" s="448">
        <f t="shared" ca="1" si="4"/>
        <v>3470.29109174</v>
      </c>
      <c r="E23" s="448">
        <f t="shared" si="5"/>
        <v>90.265237706955048</v>
      </c>
      <c r="F23" s="448">
        <f t="shared" ca="1" si="6"/>
        <v>1737.635569154538</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11200.357962411115</v>
      </c>
    </row>
    <row r="24" spans="1:17">
      <c r="A24" s="447" t="s">
        <v>187</v>
      </c>
      <c r="B24" s="448">
        <f t="shared" ca="1" si="2"/>
        <v>372.22895611670833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372.22895611670833</v>
      </c>
    </row>
    <row r="25" spans="1:17">
      <c r="A25" s="447" t="s">
        <v>105</v>
      </c>
      <c r="B25" s="448">
        <f t="shared" ca="1" si="2"/>
        <v>277.3200520001825</v>
      </c>
      <c r="C25" s="448">
        <f t="shared" ca="1" si="3"/>
        <v>0</v>
      </c>
      <c r="D25" s="448">
        <f t="shared" si="4"/>
        <v>296.92583333599998</v>
      </c>
      <c r="E25" s="448">
        <f t="shared" si="5"/>
        <v>4.0807127170985762</v>
      </c>
      <c r="F25" s="448">
        <f t="shared" si="6"/>
        <v>1314.1868237143683</v>
      </c>
      <c r="G25" s="448">
        <f t="shared" si="7"/>
        <v>0</v>
      </c>
      <c r="H25" s="448">
        <f t="shared" si="8"/>
        <v>0</v>
      </c>
      <c r="I25" s="448">
        <f t="shared" si="9"/>
        <v>0</v>
      </c>
      <c r="J25" s="448">
        <f t="shared" si="10"/>
        <v>75.94750127193231</v>
      </c>
      <c r="K25" s="448">
        <f t="shared" si="11"/>
        <v>0</v>
      </c>
      <c r="L25" s="448">
        <f t="shared" si="12"/>
        <v>0</v>
      </c>
      <c r="M25" s="448">
        <f t="shared" si="13"/>
        <v>0</v>
      </c>
      <c r="N25" s="448">
        <f t="shared" si="14"/>
        <v>0</v>
      </c>
      <c r="O25" s="448">
        <f t="shared" si="15"/>
        <v>0</v>
      </c>
      <c r="P25" s="449">
        <f t="shared" si="16"/>
        <v>0</v>
      </c>
      <c r="Q25" s="447">
        <f t="shared" ca="1" si="17"/>
        <v>1968.4609230395818</v>
      </c>
    </row>
    <row r="26" spans="1:17">
      <c r="A26" s="447" t="s">
        <v>639</v>
      </c>
      <c r="B26" s="448">
        <f t="shared" ca="1" si="2"/>
        <v>4049.3867018454221</v>
      </c>
      <c r="C26" s="448">
        <f t="shared" ca="1" si="3"/>
        <v>1573.5630252100839</v>
      </c>
      <c r="D26" s="448">
        <f t="shared" si="4"/>
        <v>18413.66144993086</v>
      </c>
      <c r="E26" s="448">
        <f t="shared" si="5"/>
        <v>624.0926116369327</v>
      </c>
      <c r="F26" s="448">
        <f t="shared" si="6"/>
        <v>2560.9940968258488</v>
      </c>
      <c r="G26" s="448">
        <f t="shared" si="7"/>
        <v>0</v>
      </c>
      <c r="H26" s="448">
        <f t="shared" si="8"/>
        <v>0</v>
      </c>
      <c r="I26" s="448">
        <f t="shared" si="9"/>
        <v>0</v>
      </c>
      <c r="J26" s="448">
        <f t="shared" si="10"/>
        <v>7.8688962815314456</v>
      </c>
      <c r="K26" s="448">
        <f t="shared" si="11"/>
        <v>0</v>
      </c>
      <c r="L26" s="448">
        <f t="shared" si="12"/>
        <v>0</v>
      </c>
      <c r="M26" s="448">
        <f t="shared" si="13"/>
        <v>0</v>
      </c>
      <c r="N26" s="448">
        <f t="shared" si="14"/>
        <v>0</v>
      </c>
      <c r="O26" s="448">
        <f t="shared" si="15"/>
        <v>0</v>
      </c>
      <c r="P26" s="449">
        <f t="shared" si="16"/>
        <v>0</v>
      </c>
      <c r="Q26" s="447">
        <f t="shared" ca="1" si="17"/>
        <v>27229.566781730678</v>
      </c>
    </row>
    <row r="27" spans="1:17" s="453" customFormat="1">
      <c r="A27" s="451" t="s">
        <v>557</v>
      </c>
      <c r="B27" s="761">
        <f t="shared" ca="1" si="2"/>
        <v>3.2958349103846576</v>
      </c>
      <c r="C27" s="452">
        <f t="shared" ca="1" si="3"/>
        <v>0</v>
      </c>
      <c r="D27" s="452">
        <f t="shared" si="4"/>
        <v>3.3423731107190844</v>
      </c>
      <c r="E27" s="452">
        <f t="shared" si="5"/>
        <v>138.9660344868982</v>
      </c>
      <c r="F27" s="452">
        <f t="shared" si="6"/>
        <v>0</v>
      </c>
      <c r="G27" s="452">
        <f t="shared" si="7"/>
        <v>43476.50680760148</v>
      </c>
      <c r="H27" s="452">
        <f t="shared" si="8"/>
        <v>7104.7405506068653</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50726.851600716349</v>
      </c>
    </row>
    <row r="28" spans="1:17">
      <c r="A28" s="447" t="s">
        <v>547</v>
      </c>
      <c r="B28" s="448">
        <f t="shared" ca="1" si="2"/>
        <v>2.9239237324710579</v>
      </c>
      <c r="C28" s="448">
        <f t="shared" ca="1" si="3"/>
        <v>0</v>
      </c>
      <c r="D28" s="448">
        <f t="shared" si="4"/>
        <v>0</v>
      </c>
      <c r="E28" s="448">
        <f t="shared" si="5"/>
        <v>0</v>
      </c>
      <c r="F28" s="448">
        <f t="shared" si="6"/>
        <v>0</v>
      </c>
      <c r="G28" s="448">
        <f t="shared" si="7"/>
        <v>781.68723352033896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784.61115725281002</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398.64088025757758</v>
      </c>
      <c r="C32" s="448">
        <f t="shared" ca="1" si="3"/>
        <v>0</v>
      </c>
      <c r="D32" s="448">
        <f t="shared" si="4"/>
        <v>3963.0105280000007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4361.6514082575786</v>
      </c>
    </row>
    <row r="33" spans="1:17" s="460" customFormat="1">
      <c r="A33" s="457" t="s">
        <v>551</v>
      </c>
      <c r="B33" s="458">
        <f ca="1">SUM(B22:B32)</f>
        <v>21864.385272023632</v>
      </c>
      <c r="C33" s="458">
        <f t="shared" ref="C33:Q33" ca="1" si="18">SUM(C22:C32)</f>
        <v>1573.5630252100839</v>
      </c>
      <c r="D33" s="458">
        <f t="shared" ca="1" si="18"/>
        <v>43394.498843537578</v>
      </c>
      <c r="E33" s="458">
        <f t="shared" si="18"/>
        <v>1793.8364047972098</v>
      </c>
      <c r="F33" s="458">
        <f t="shared" ca="1" si="18"/>
        <v>39367.021731922607</v>
      </c>
      <c r="G33" s="458">
        <f t="shared" si="18"/>
        <v>44258.194041121817</v>
      </c>
      <c r="H33" s="458">
        <f t="shared" si="18"/>
        <v>7104.7405506068653</v>
      </c>
      <c r="I33" s="458">
        <f t="shared" si="18"/>
        <v>0</v>
      </c>
      <c r="J33" s="458">
        <f t="shared" si="18"/>
        <v>931.34468451869429</v>
      </c>
      <c r="K33" s="458">
        <f t="shared" si="18"/>
        <v>0</v>
      </c>
      <c r="L33" s="458">
        <f t="shared" ca="1" si="18"/>
        <v>0</v>
      </c>
      <c r="M33" s="458">
        <f t="shared" si="18"/>
        <v>0</v>
      </c>
      <c r="N33" s="458">
        <f t="shared" ca="1" si="18"/>
        <v>0</v>
      </c>
      <c r="O33" s="458">
        <f t="shared" si="18"/>
        <v>0</v>
      </c>
      <c r="P33" s="458">
        <f t="shared" si="18"/>
        <v>0</v>
      </c>
      <c r="Q33" s="458">
        <f t="shared" ca="1" si="18"/>
        <v>160287.58455373847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13889.026905702933</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4635</v>
      </c>
      <c r="D8" s="1020">
        <f>'SEAP template'!D76</f>
        <v>5452.9411764705883</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1101.4941176470588</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13889.026905702933</v>
      </c>
      <c r="C10" s="1024">
        <f>SUM(C4:C9)</f>
        <v>4635</v>
      </c>
      <c r="D10" s="1024">
        <f t="shared" ref="D10:H10" si="0">SUM(D8:D9)</f>
        <v>5452.9411764705883</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1101.4941176470588</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0.19439543186255104</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6621.4285714285716</v>
      </c>
      <c r="D17" s="1021">
        <f>'SEAP template'!D87</f>
        <v>7789.9159663865539</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1573.5630252100839</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6621.4285714285716</v>
      </c>
      <c r="D20" s="1024">
        <f t="shared" ref="D20:H20" si="2">SUM(D17:D19)</f>
        <v>7789.9159663865539</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1573.5630252100839</v>
      </c>
    </row>
    <row r="22" spans="1:16">
      <c r="A22" s="461" t="s">
        <v>856</v>
      </c>
      <c r="B22" s="767" t="s">
        <v>850</v>
      </c>
      <c r="C22" s="767">
        <f ca="1">'EF ele_warmte'!B22</f>
        <v>0.23764705882352938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0.19439543186255104</v>
      </c>
      <c r="C17" s="498">
        <f ca="1">'EF ele_warmte'!B22</f>
        <v>0.23764705882352938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0.19439543186255104</v>
      </c>
      <c r="C17" s="498">
        <f ca="1">'EF ele_warmte'!B22</f>
        <v>0.23764705882352938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0.19439543186255104</v>
      </c>
      <c r="C29" s="499">
        <f ca="1">'EF ele_warmte'!B22</f>
        <v>0.23764705882352938</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12631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3590</v>
      </c>
      <c r="C14" s="327"/>
      <c r="D14" s="327"/>
      <c r="E14" s="327"/>
      <c r="F14" s="327"/>
    </row>
    <row r="15" spans="1:6">
      <c r="A15" s="1296" t="s">
        <v>177</v>
      </c>
      <c r="B15" s="1297">
        <v>24</v>
      </c>
      <c r="C15" s="327"/>
      <c r="D15" s="327"/>
      <c r="E15" s="327"/>
      <c r="F15" s="327"/>
    </row>
    <row r="16" spans="1:6">
      <c r="A16" s="1296" t="s">
        <v>6</v>
      </c>
      <c r="B16" s="1297">
        <v>1202</v>
      </c>
      <c r="C16" s="327"/>
      <c r="D16" s="327"/>
      <c r="E16" s="327"/>
      <c r="F16" s="327"/>
    </row>
    <row r="17" spans="1:6">
      <c r="A17" s="1296" t="s">
        <v>7</v>
      </c>
      <c r="B17" s="1297">
        <v>806</v>
      </c>
      <c r="C17" s="327"/>
      <c r="D17" s="327"/>
      <c r="E17" s="327"/>
      <c r="F17" s="327"/>
    </row>
    <row r="18" spans="1:6">
      <c r="A18" s="1296" t="s">
        <v>8</v>
      </c>
      <c r="B18" s="1297">
        <v>1196</v>
      </c>
      <c r="C18" s="327"/>
      <c r="D18" s="327"/>
      <c r="E18" s="327"/>
      <c r="F18" s="327"/>
    </row>
    <row r="19" spans="1:6">
      <c r="A19" s="1296" t="s">
        <v>9</v>
      </c>
      <c r="B19" s="1297">
        <v>1154</v>
      </c>
      <c r="C19" s="327"/>
      <c r="D19" s="327"/>
      <c r="E19" s="327"/>
      <c r="F19" s="327"/>
    </row>
    <row r="20" spans="1:6">
      <c r="A20" s="1296" t="s">
        <v>10</v>
      </c>
      <c r="B20" s="1297">
        <v>722</v>
      </c>
      <c r="C20" s="327"/>
      <c r="D20" s="327"/>
      <c r="E20" s="327"/>
      <c r="F20" s="327"/>
    </row>
    <row r="21" spans="1:6">
      <c r="A21" s="1296" t="s">
        <v>11</v>
      </c>
      <c r="B21" s="1297">
        <v>2989</v>
      </c>
      <c r="C21" s="327"/>
      <c r="D21" s="327"/>
      <c r="E21" s="327"/>
      <c r="F21" s="327"/>
    </row>
    <row r="22" spans="1:6">
      <c r="A22" s="1296" t="s">
        <v>12</v>
      </c>
      <c r="B22" s="1297">
        <v>6442</v>
      </c>
      <c r="C22" s="327"/>
      <c r="D22" s="327"/>
      <c r="E22" s="327"/>
      <c r="F22" s="327"/>
    </row>
    <row r="23" spans="1:6">
      <c r="A23" s="1296" t="s">
        <v>13</v>
      </c>
      <c r="B23" s="1297">
        <v>131</v>
      </c>
      <c r="C23" s="327"/>
      <c r="D23" s="327"/>
      <c r="E23" s="327"/>
      <c r="F23" s="327"/>
    </row>
    <row r="24" spans="1:6">
      <c r="A24" s="1296" t="s">
        <v>14</v>
      </c>
      <c r="B24" s="1297">
        <v>6</v>
      </c>
      <c r="C24" s="327"/>
      <c r="D24" s="327"/>
      <c r="E24" s="327"/>
      <c r="F24" s="327"/>
    </row>
    <row r="25" spans="1:6">
      <c r="A25" s="1296" t="s">
        <v>15</v>
      </c>
      <c r="B25" s="1297">
        <v>1055</v>
      </c>
      <c r="C25" s="327"/>
      <c r="D25" s="327"/>
      <c r="E25" s="327"/>
      <c r="F25" s="327"/>
    </row>
    <row r="26" spans="1:6">
      <c r="A26" s="1296" t="s">
        <v>16</v>
      </c>
      <c r="B26" s="1297">
        <v>118</v>
      </c>
      <c r="C26" s="327"/>
      <c r="D26" s="327"/>
      <c r="E26" s="327"/>
      <c r="F26" s="327"/>
    </row>
    <row r="27" spans="1:6">
      <c r="A27" s="1296" t="s">
        <v>17</v>
      </c>
      <c r="B27" s="1297">
        <v>0</v>
      </c>
      <c r="C27" s="327"/>
      <c r="D27" s="327"/>
      <c r="E27" s="327"/>
      <c r="F27" s="327"/>
    </row>
    <row r="28" spans="1:6">
      <c r="A28" s="1296" t="s">
        <v>18</v>
      </c>
      <c r="B28" s="1298">
        <v>25783</v>
      </c>
      <c r="C28" s="327"/>
      <c r="D28" s="327"/>
      <c r="E28" s="327"/>
      <c r="F28" s="327"/>
    </row>
    <row r="29" spans="1:6">
      <c r="A29" s="1296" t="s">
        <v>922</v>
      </c>
      <c r="B29" s="1298">
        <v>162</v>
      </c>
      <c r="C29" s="327"/>
      <c r="D29" s="327"/>
      <c r="E29" s="327"/>
      <c r="F29" s="327"/>
    </row>
    <row r="30" spans="1:6">
      <c r="A30" s="1291" t="s">
        <v>923</v>
      </c>
      <c r="B30" s="1299">
        <v>13</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189845</v>
      </c>
      <c r="E38" s="1297">
        <v>1</v>
      </c>
      <c r="F38" s="1297">
        <v>836</v>
      </c>
    </row>
    <row r="39" spans="1:6">
      <c r="A39" s="1296" t="s">
        <v>29</v>
      </c>
      <c r="B39" s="1296" t="s">
        <v>30</v>
      </c>
      <c r="C39" s="1297">
        <v>5678</v>
      </c>
      <c r="D39" s="1297">
        <v>94659105</v>
      </c>
      <c r="E39" s="1297">
        <v>12852</v>
      </c>
      <c r="F39" s="1297">
        <v>47826709</v>
      </c>
    </row>
    <row r="40" spans="1:6">
      <c r="A40" s="1296" t="s">
        <v>29</v>
      </c>
      <c r="B40" s="1296" t="s">
        <v>28</v>
      </c>
      <c r="C40" s="1297">
        <v>0</v>
      </c>
      <c r="D40" s="1297">
        <v>0</v>
      </c>
      <c r="E40" s="1297">
        <v>0</v>
      </c>
      <c r="F40" s="1297">
        <v>0</v>
      </c>
    </row>
    <row r="41" spans="1:6">
      <c r="A41" s="1296" t="s">
        <v>31</v>
      </c>
      <c r="B41" s="1296" t="s">
        <v>32</v>
      </c>
      <c r="C41" s="1297">
        <v>68</v>
      </c>
      <c r="D41" s="1297">
        <v>4468115</v>
      </c>
      <c r="E41" s="1297">
        <v>203</v>
      </c>
      <c r="F41" s="1297">
        <v>9641829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5</v>
      </c>
      <c r="D44" s="1297">
        <v>143997</v>
      </c>
      <c r="E44" s="1297">
        <v>27</v>
      </c>
      <c r="F44" s="1297">
        <v>985560</v>
      </c>
    </row>
    <row r="45" spans="1:6">
      <c r="A45" s="1296" t="s">
        <v>31</v>
      </c>
      <c r="B45" s="1296" t="s">
        <v>36</v>
      </c>
      <c r="C45" s="1297">
        <v>3</v>
      </c>
      <c r="D45" s="1297">
        <v>110145799</v>
      </c>
      <c r="E45" s="1297">
        <v>13</v>
      </c>
      <c r="F45" s="1297">
        <v>4039438</v>
      </c>
    </row>
    <row r="46" spans="1:6">
      <c r="A46" s="1296" t="s">
        <v>31</v>
      </c>
      <c r="B46" s="1296" t="s">
        <v>37</v>
      </c>
      <c r="C46" s="1297">
        <v>0</v>
      </c>
      <c r="D46" s="1297">
        <v>0</v>
      </c>
      <c r="E46" s="1297">
        <v>0</v>
      </c>
      <c r="F46" s="1297">
        <v>0</v>
      </c>
    </row>
    <row r="47" spans="1:6">
      <c r="A47" s="1296" t="s">
        <v>31</v>
      </c>
      <c r="B47" s="1296" t="s">
        <v>38</v>
      </c>
      <c r="C47" s="1297">
        <v>5</v>
      </c>
      <c r="D47" s="1297">
        <v>259307</v>
      </c>
      <c r="E47" s="1297">
        <v>10</v>
      </c>
      <c r="F47" s="1297">
        <v>567457</v>
      </c>
    </row>
    <row r="48" spans="1:6">
      <c r="A48" s="1296" t="s">
        <v>31</v>
      </c>
      <c r="B48" s="1296" t="s">
        <v>28</v>
      </c>
      <c r="C48" s="1297">
        <v>0</v>
      </c>
      <c r="D48" s="1297">
        <v>0</v>
      </c>
      <c r="E48" s="1297">
        <v>0</v>
      </c>
      <c r="F48" s="1297">
        <v>0</v>
      </c>
    </row>
    <row r="49" spans="1:6">
      <c r="A49" s="1296" t="s">
        <v>31</v>
      </c>
      <c r="B49" s="1296" t="s">
        <v>39</v>
      </c>
      <c r="C49" s="1297">
        <v>0</v>
      </c>
      <c r="D49" s="1297">
        <v>0</v>
      </c>
      <c r="E49" s="1297">
        <v>4</v>
      </c>
      <c r="F49" s="1297">
        <v>56936</v>
      </c>
    </row>
    <row r="50" spans="1:6">
      <c r="A50" s="1296" t="s">
        <v>31</v>
      </c>
      <c r="B50" s="1296" t="s">
        <v>40</v>
      </c>
      <c r="C50" s="1297">
        <v>5</v>
      </c>
      <c r="D50" s="1297">
        <v>725129</v>
      </c>
      <c r="E50" s="1297">
        <v>24</v>
      </c>
      <c r="F50" s="1297">
        <v>904448</v>
      </c>
    </row>
    <row r="51" spans="1:6">
      <c r="A51" s="1296" t="s">
        <v>41</v>
      </c>
      <c r="B51" s="1296" t="s">
        <v>42</v>
      </c>
      <c r="C51" s="1297">
        <v>14</v>
      </c>
      <c r="D51" s="1297">
        <v>1629634</v>
      </c>
      <c r="E51" s="1297">
        <v>103</v>
      </c>
      <c r="F51" s="1297">
        <v>1426577</v>
      </c>
    </row>
    <row r="52" spans="1:6">
      <c r="A52" s="1296" t="s">
        <v>41</v>
      </c>
      <c r="B52" s="1296" t="s">
        <v>28</v>
      </c>
      <c r="C52" s="1297">
        <v>0</v>
      </c>
      <c r="D52" s="1297">
        <v>0</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115</v>
      </c>
      <c r="F54" s="1297">
        <v>1914803</v>
      </c>
    </row>
    <row r="55" spans="1:6">
      <c r="A55" s="1296" t="s">
        <v>45</v>
      </c>
      <c r="B55" s="1296" t="s">
        <v>28</v>
      </c>
      <c r="C55" s="1297">
        <v>0</v>
      </c>
      <c r="D55" s="1297">
        <v>0</v>
      </c>
      <c r="E55" s="1297">
        <v>0</v>
      </c>
      <c r="F55" s="1297">
        <v>0</v>
      </c>
    </row>
    <row r="56" spans="1:6">
      <c r="A56" s="1296" t="s">
        <v>47</v>
      </c>
      <c r="B56" s="1296" t="s">
        <v>28</v>
      </c>
      <c r="C56" s="1297">
        <v>141</v>
      </c>
      <c r="D56" s="1297">
        <v>19618864</v>
      </c>
      <c r="E56" s="1297">
        <v>297</v>
      </c>
      <c r="F56" s="1297">
        <v>2050670</v>
      </c>
    </row>
    <row r="57" spans="1:6">
      <c r="A57" s="1296" t="s">
        <v>48</v>
      </c>
      <c r="B57" s="1296" t="s">
        <v>49</v>
      </c>
      <c r="C57" s="1297">
        <v>45</v>
      </c>
      <c r="D57" s="1297">
        <v>1950006</v>
      </c>
      <c r="E57" s="1297">
        <v>198</v>
      </c>
      <c r="F57" s="1297">
        <v>6446235</v>
      </c>
    </row>
    <row r="58" spans="1:6">
      <c r="A58" s="1296" t="s">
        <v>48</v>
      </c>
      <c r="B58" s="1296" t="s">
        <v>50</v>
      </c>
      <c r="C58" s="1297">
        <v>27</v>
      </c>
      <c r="D58" s="1297">
        <v>2360683</v>
      </c>
      <c r="E58" s="1297">
        <v>64</v>
      </c>
      <c r="F58" s="1297">
        <v>3760568</v>
      </c>
    </row>
    <row r="59" spans="1:6">
      <c r="A59" s="1296" t="s">
        <v>48</v>
      </c>
      <c r="B59" s="1296" t="s">
        <v>51</v>
      </c>
      <c r="C59" s="1297">
        <v>127</v>
      </c>
      <c r="D59" s="1297">
        <v>6262371</v>
      </c>
      <c r="E59" s="1297">
        <v>372</v>
      </c>
      <c r="F59" s="1297">
        <v>10444956</v>
      </c>
    </row>
    <row r="60" spans="1:6">
      <c r="A60" s="1296" t="s">
        <v>48</v>
      </c>
      <c r="B60" s="1296" t="s">
        <v>52</v>
      </c>
      <c r="C60" s="1297">
        <v>60</v>
      </c>
      <c r="D60" s="1297">
        <v>2892547</v>
      </c>
      <c r="E60" s="1297">
        <v>137</v>
      </c>
      <c r="F60" s="1297">
        <v>3408853</v>
      </c>
    </row>
    <row r="61" spans="1:6">
      <c r="A61" s="1296" t="s">
        <v>48</v>
      </c>
      <c r="B61" s="1296" t="s">
        <v>53</v>
      </c>
      <c r="C61" s="1297">
        <v>112</v>
      </c>
      <c r="D61" s="1297">
        <v>3520044</v>
      </c>
      <c r="E61" s="1297">
        <v>434</v>
      </c>
      <c r="F61" s="1297">
        <v>5263698</v>
      </c>
    </row>
    <row r="62" spans="1:6">
      <c r="A62" s="1296" t="s">
        <v>48</v>
      </c>
      <c r="B62" s="1296" t="s">
        <v>54</v>
      </c>
      <c r="C62" s="1297">
        <v>14</v>
      </c>
      <c r="D62" s="1297">
        <v>2060534</v>
      </c>
      <c r="E62" s="1297">
        <v>37</v>
      </c>
      <c r="F62" s="1297">
        <v>1037340</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2</v>
      </c>
      <c r="D65" s="1297">
        <v>55649</v>
      </c>
      <c r="E65" s="1297">
        <v>1</v>
      </c>
      <c r="F65" s="1297">
        <v>15351</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10</v>
      </c>
      <c r="F68" s="1299">
        <v>90254</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125222464</v>
      </c>
      <c r="E73" s="446"/>
      <c r="F73" s="327"/>
    </row>
    <row r="74" spans="1:6">
      <c r="A74" s="1296" t="s">
        <v>63</v>
      </c>
      <c r="B74" s="1296" t="s">
        <v>706</v>
      </c>
      <c r="C74" s="1309" t="s">
        <v>707</v>
      </c>
      <c r="D74" s="1297">
        <v>7697640.1883504344</v>
      </c>
      <c r="E74" s="446"/>
      <c r="F74" s="327"/>
    </row>
    <row r="75" spans="1:6">
      <c r="A75" s="1296" t="s">
        <v>64</v>
      </c>
      <c r="B75" s="1296" t="s">
        <v>704</v>
      </c>
      <c r="C75" s="1309" t="s">
        <v>708</v>
      </c>
      <c r="D75" s="1297">
        <v>48313420</v>
      </c>
      <c r="E75" s="446"/>
      <c r="F75" s="327"/>
    </row>
    <row r="76" spans="1:6">
      <c r="A76" s="1296" t="s">
        <v>64</v>
      </c>
      <c r="B76" s="1296" t="s">
        <v>706</v>
      </c>
      <c r="C76" s="1309" t="s">
        <v>709</v>
      </c>
      <c r="D76" s="1297">
        <v>768638.18835043418</v>
      </c>
      <c r="E76" s="446"/>
      <c r="F76" s="327"/>
    </row>
    <row r="77" spans="1:6">
      <c r="A77" s="1296" t="s">
        <v>65</v>
      </c>
      <c r="B77" s="1296" t="s">
        <v>704</v>
      </c>
      <c r="C77" s="1309" t="s">
        <v>710</v>
      </c>
      <c r="D77" s="1297">
        <v>49225351</v>
      </c>
      <c r="E77" s="446"/>
      <c r="F77" s="327"/>
    </row>
    <row r="78" spans="1:6">
      <c r="A78" s="1291" t="s">
        <v>65</v>
      </c>
      <c r="B78" s="1291" t="s">
        <v>706</v>
      </c>
      <c r="C78" s="1291" t="s">
        <v>711</v>
      </c>
      <c r="D78" s="1299">
        <v>9648897</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813593.62329913164</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8030.6882408405145</v>
      </c>
      <c r="C91" s="327"/>
      <c r="D91" s="327"/>
      <c r="E91" s="327"/>
      <c r="F91" s="327"/>
    </row>
    <row r="92" spans="1:6">
      <c r="A92" s="1291" t="s">
        <v>68</v>
      </c>
      <c r="B92" s="1292">
        <v>5858.3386648624191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1612</v>
      </c>
      <c r="C97" s="327"/>
      <c r="D97" s="327"/>
      <c r="E97" s="327"/>
      <c r="F97" s="327"/>
    </row>
    <row r="98" spans="1:6">
      <c r="A98" s="1296" t="s">
        <v>71</v>
      </c>
      <c r="B98" s="1297">
        <v>4</v>
      </c>
      <c r="C98" s="327"/>
      <c r="D98" s="327"/>
      <c r="E98" s="327"/>
      <c r="F98" s="327"/>
    </row>
    <row r="99" spans="1:6">
      <c r="A99" s="1296" t="s">
        <v>72</v>
      </c>
      <c r="B99" s="1297">
        <v>46</v>
      </c>
      <c r="C99" s="327"/>
      <c r="D99" s="327"/>
      <c r="E99" s="327"/>
      <c r="F99" s="327"/>
    </row>
    <row r="100" spans="1:6">
      <c r="A100" s="1296" t="s">
        <v>73</v>
      </c>
      <c r="B100" s="1297">
        <v>530</v>
      </c>
      <c r="C100" s="327"/>
      <c r="D100" s="327"/>
      <c r="E100" s="327"/>
      <c r="F100" s="327"/>
    </row>
    <row r="101" spans="1:6">
      <c r="A101" s="1296" t="s">
        <v>74</v>
      </c>
      <c r="B101" s="1297">
        <v>102</v>
      </c>
      <c r="C101" s="327"/>
      <c r="D101" s="327"/>
      <c r="E101" s="327"/>
      <c r="F101" s="327"/>
    </row>
    <row r="102" spans="1:6">
      <c r="A102" s="1296" t="s">
        <v>75</v>
      </c>
      <c r="B102" s="1297">
        <v>145</v>
      </c>
      <c r="C102" s="327"/>
      <c r="D102" s="327"/>
      <c r="E102" s="327"/>
      <c r="F102" s="327"/>
    </row>
    <row r="103" spans="1:6">
      <c r="A103" s="1296" t="s">
        <v>76</v>
      </c>
      <c r="B103" s="1297">
        <v>254</v>
      </c>
      <c r="C103" s="327"/>
      <c r="D103" s="327"/>
      <c r="E103" s="327"/>
      <c r="F103" s="327"/>
    </row>
    <row r="104" spans="1:6">
      <c r="A104" s="1296" t="s">
        <v>77</v>
      </c>
      <c r="B104" s="1297">
        <v>8045</v>
      </c>
      <c r="C104" s="327"/>
      <c r="D104" s="327"/>
      <c r="E104" s="327"/>
      <c r="F104" s="327"/>
    </row>
    <row r="105" spans="1:6">
      <c r="A105" s="1291"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1</v>
      </c>
      <c r="C121" s="1297">
        <v>0</v>
      </c>
      <c r="D121" s="327"/>
      <c r="E121" s="327"/>
      <c r="F121" s="327"/>
    </row>
    <row r="122" spans="1:6">
      <c r="A122" s="1296" t="s">
        <v>86</v>
      </c>
      <c r="B122" s="1297">
        <v>0</v>
      </c>
      <c r="C122" s="1297">
        <v>0</v>
      </c>
      <c r="D122" s="327"/>
      <c r="E122" s="327"/>
      <c r="F122" s="327"/>
    </row>
    <row r="123" spans="1:6">
      <c r="A123" s="1296" t="s">
        <v>87</v>
      </c>
      <c r="B123" s="1297">
        <v>23</v>
      </c>
      <c r="C123" s="1297">
        <v>58</v>
      </c>
      <c r="D123" s="327"/>
      <c r="E123" s="327"/>
      <c r="F123" s="327"/>
    </row>
    <row r="124" spans="1:6">
      <c r="A124" s="1296" t="s">
        <v>88</v>
      </c>
      <c r="B124" s="1297">
        <v>3</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245</v>
      </c>
      <c r="C129" s="327"/>
      <c r="D129" s="327"/>
      <c r="E129" s="327"/>
      <c r="F129" s="327"/>
    </row>
    <row r="130" spans="1:6">
      <c r="A130" s="1296" t="s">
        <v>284</v>
      </c>
      <c r="B130" s="1297">
        <v>1</v>
      </c>
      <c r="C130" s="327"/>
      <c r="D130" s="327"/>
      <c r="E130" s="327"/>
      <c r="F130" s="327"/>
    </row>
    <row r="131" spans="1:6">
      <c r="A131" s="1296" t="s">
        <v>285</v>
      </c>
      <c r="B131" s="1297">
        <v>0</v>
      </c>
      <c r="C131" s="327"/>
      <c r="D131" s="327"/>
      <c r="E131" s="327"/>
      <c r="F131" s="327"/>
    </row>
    <row r="132" spans="1:6">
      <c r="A132" s="1291" t="s">
        <v>286</v>
      </c>
      <c r="B132" s="1292">
        <v>27</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112473.76063591367</v>
      </c>
      <c r="C3" s="43" t="s">
        <v>163</v>
      </c>
      <c r="D3" s="43"/>
      <c r="E3" s="156"/>
      <c r="F3" s="43"/>
      <c r="G3" s="43"/>
      <c r="H3" s="43"/>
      <c r="I3" s="43"/>
      <c r="J3" s="43"/>
      <c r="K3" s="96"/>
    </row>
    <row r="4" spans="1:11">
      <c r="A4" s="353" t="s">
        <v>164</v>
      </c>
      <c r="B4" s="49">
        <f>IF(ISERROR('SEAP template'!B78+'SEAP template'!C78),0,'SEAP template'!B78+'SEAP template'!C78)</f>
        <v>18524.026905702933</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1101.4941176470588</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0.19439543186255104</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1573.5630252100839</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6621.4285714285716</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0.23764705882352938</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1914.8030000000001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1914.8030000000001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0.19439543186255104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372.22895611670833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47826.709000000003</v>
      </c>
      <c r="C5" s="17">
        <f>IF(ISERROR('Eigen informatie GS &amp; warmtenet'!B57),0,'Eigen informatie GS &amp; warmtenet'!B57)</f>
        <v>0</v>
      </c>
      <c r="D5" s="30">
        <f>(SUM(HH_hh_gas_kWh,HH_rest_gas_kWh)/1000)*0.902</f>
        <v>85382.512709999995</v>
      </c>
      <c r="E5" s="17">
        <f>B32*B41</f>
        <v>4125.250256604957</v>
      </c>
      <c r="F5" s="17">
        <f>B36*B45</f>
        <v>126420.24435291326</v>
      </c>
      <c r="G5" s="18"/>
      <c r="H5" s="17"/>
      <c r="I5" s="17"/>
      <c r="J5" s="17">
        <f>B35*B44+C35*C44</f>
        <v>2394.1477032916118</v>
      </c>
      <c r="K5" s="17"/>
      <c r="L5" s="17"/>
      <c r="M5" s="17"/>
      <c r="N5" s="17">
        <f>B34*B43+C34*C43</f>
        <v>20833.696897795362</v>
      </c>
      <c r="O5" s="17">
        <f>B52*B53*B54</f>
        <v>473.69000000000005</v>
      </c>
      <c r="P5" s="17">
        <f>B60*B61*B62/1000-B60*B61*B62/1000/B63</f>
        <v>1010.5333333333333</v>
      </c>
    </row>
    <row r="6" spans="1:16">
      <c r="A6" s="16" t="s">
        <v>617</v>
      </c>
      <c r="B6" s="769">
        <f>kWh_PV_kleiner_dan_10kW</f>
        <v>8030.6882408405145</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55857.397240840517</v>
      </c>
      <c r="C8" s="21">
        <f>C5</f>
        <v>0</v>
      </c>
      <c r="D8" s="21">
        <f>D5</f>
        <v>85382.512709999995</v>
      </c>
      <c r="E8" s="21">
        <f>E5</f>
        <v>4125.250256604957</v>
      </c>
      <c r="F8" s="21">
        <f>F5</f>
        <v>126420.24435291326</v>
      </c>
      <c r="G8" s="21"/>
      <c r="H8" s="21"/>
      <c r="I8" s="21"/>
      <c r="J8" s="21">
        <f>J5</f>
        <v>2394.1477032916118</v>
      </c>
      <c r="K8" s="21"/>
      <c r="L8" s="21">
        <f>L5</f>
        <v>0</v>
      </c>
      <c r="M8" s="21">
        <f>M5</f>
        <v>0</v>
      </c>
      <c r="N8" s="21">
        <f>N5</f>
        <v>20833.696897795362</v>
      </c>
      <c r="O8" s="21">
        <f>O5</f>
        <v>473.69000000000005</v>
      </c>
      <c r="P8" s="21">
        <f>P5</f>
        <v>1010.5333333333333</v>
      </c>
    </row>
    <row r="9" spans="1:16">
      <c r="B9" s="19"/>
      <c r="C9" s="19"/>
      <c r="D9" s="257"/>
      <c r="E9" s="19"/>
      <c r="F9" s="19"/>
      <c r="G9" s="19"/>
      <c r="H9" s="19"/>
      <c r="I9" s="19"/>
      <c r="J9" s="19"/>
      <c r="K9" s="19"/>
      <c r="L9" s="19"/>
      <c r="M9" s="19"/>
      <c r="N9" s="19"/>
      <c r="O9" s="19"/>
      <c r="P9" s="19"/>
    </row>
    <row r="10" spans="1:16">
      <c r="A10" s="24" t="s">
        <v>207</v>
      </c>
      <c r="B10" s="25">
        <f ca="1">'EF ele_warmte'!B12</f>
        <v>0.19439543186255104</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10858.42285935126</v>
      </c>
      <c r="C12" s="23">
        <f ca="1">C10*C8</f>
        <v>0</v>
      </c>
      <c r="D12" s="23">
        <f>D8*D10</f>
        <v>17247.26756742</v>
      </c>
      <c r="E12" s="23">
        <f>E10*E8</f>
        <v>936.43180824932529</v>
      </c>
      <c r="F12" s="23">
        <f>F10*F8</f>
        <v>33754.205242227843</v>
      </c>
      <c r="G12" s="23"/>
      <c r="H12" s="23"/>
      <c r="I12" s="23"/>
      <c r="J12" s="23">
        <f>J10*J8</f>
        <v>847.52828696523056</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12631</v>
      </c>
      <c r="C26" s="36"/>
      <c r="D26" s="227"/>
    </row>
    <row r="27" spans="1:5" s="15" customFormat="1">
      <c r="A27" s="229" t="s">
        <v>722</v>
      </c>
      <c r="B27" s="37">
        <f>SUM(HH_hh_gas_aantal,HH_rest_gas_aantal)</f>
        <v>5678</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5394.1</v>
      </c>
      <c r="C31" s="34" t="s">
        <v>104</v>
      </c>
      <c r="D31" s="173"/>
    </row>
    <row r="32" spans="1:5">
      <c r="A32" s="170" t="s">
        <v>72</v>
      </c>
      <c r="B32" s="33">
        <f>IF((B21*($B$26-($B$27-0.05*$B$27)-$B$60))&lt;0,0,B21*($B$26-($B$27-0.05*$B$27)-$B$60))</f>
        <v>179.89607765845906</v>
      </c>
      <c r="C32" s="34" t="s">
        <v>104</v>
      </c>
      <c r="D32" s="173"/>
    </row>
    <row r="33" spans="1:6">
      <c r="A33" s="170" t="s">
        <v>73</v>
      </c>
      <c r="B33" s="33">
        <f>IF((B22*($B$26-($B$27-0.05*$B$27)-$B$60))&lt;0,0,B22*($B$26-($B$27-0.05*$B$27)-$B$60))</f>
        <v>1210.9115918683133</v>
      </c>
      <c r="C33" s="34" t="s">
        <v>104</v>
      </c>
      <c r="D33" s="173"/>
    </row>
    <row r="34" spans="1:6">
      <c r="A34" s="170" t="s">
        <v>74</v>
      </c>
      <c r="B34" s="33">
        <f>IF((B24*($B$26-($B$27-0.05*$B$27)-$B$60))&lt;0,0,B24*($B$26-($B$27-0.05*$B$27)-$B$60))</f>
        <v>307.22468417975568</v>
      </c>
      <c r="C34" s="33">
        <f>B26*C24</f>
        <v>2583.7982142191058</v>
      </c>
      <c r="D34" s="232"/>
    </row>
    <row r="35" spans="1:6">
      <c r="A35" s="170" t="s">
        <v>76</v>
      </c>
      <c r="B35" s="33">
        <f>IF((B19*($B$26-($B$27-0.05*$B$27)-$B$60))&lt;0,0,B19*($B$26-($B$27-0.05*$B$27)-$B$60))</f>
        <v>114.1747842669788</v>
      </c>
      <c r="C35" s="33">
        <f>B35/2</f>
        <v>57.087392133489402</v>
      </c>
      <c r="D35" s="232"/>
    </row>
    <row r="36" spans="1:6">
      <c r="A36" s="170" t="s">
        <v>77</v>
      </c>
      <c r="B36" s="33">
        <f>IF((B18*($B$26-($B$27-0.05*$B$27)-$B$60))&lt;0,0,B18*($B$26-($B$27-0.05*$B$27)-$B$60))</f>
        <v>5371.6928620264935</v>
      </c>
      <c r="C36" s="34" t="s">
        <v>104</v>
      </c>
      <c r="D36" s="173"/>
    </row>
    <row r="37" spans="1:6">
      <c r="A37" s="170" t="s">
        <v>78</v>
      </c>
      <c r="B37" s="33">
        <f>B60</f>
        <v>53</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303</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53</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30361.649999999998</v>
      </c>
      <c r="C5" s="17">
        <f>IF(ISERROR('Eigen informatie GS &amp; warmtenet'!B58),0,'Eigen informatie GS &amp; warmtenet'!B58)</f>
        <v>0</v>
      </c>
      <c r="D5" s="30">
        <f>SUM(D6:D12)</f>
        <v>17179.658869999999</v>
      </c>
      <c r="E5" s="17">
        <f>SUM(E6:E12)</f>
        <v>397.64421897337024</v>
      </c>
      <c r="F5" s="17">
        <f>SUM(F6:F12)</f>
        <v>6507.9983863465841</v>
      </c>
      <c r="G5" s="18"/>
      <c r="H5" s="17"/>
      <c r="I5" s="17"/>
      <c r="J5" s="17">
        <f>SUM(J6:J12)</f>
        <v>0</v>
      </c>
      <c r="K5" s="17"/>
      <c r="L5" s="17"/>
      <c r="M5" s="17"/>
      <c r="N5" s="17">
        <f>SUM(N6:N12)</f>
        <v>4560.8543284553634</v>
      </c>
      <c r="O5" s="17">
        <f>B38*B39*B40</f>
        <v>1.5633333333333335</v>
      </c>
      <c r="P5" s="17">
        <f>B46*B47*B48/1000-B46*B47*B48/1000/B49</f>
        <v>19.066666666666666</v>
      </c>
      <c r="R5" s="32"/>
    </row>
    <row r="6" spans="1:18">
      <c r="A6" s="32" t="s">
        <v>53</v>
      </c>
      <c r="B6" s="37">
        <f>B26</f>
        <v>5263.6980000000003</v>
      </c>
      <c r="C6" s="33"/>
      <c r="D6" s="37">
        <f>IF(ISERROR(TER_kantoor_gas_kWh/1000),0,TER_kantoor_gas_kWh/1000)*0.902</f>
        <v>3175.0796879999998</v>
      </c>
      <c r="E6" s="33">
        <f>$C$26*'E Balans VL '!I12/100/3.6*1000000</f>
        <v>20.450581119796354</v>
      </c>
      <c r="F6" s="33">
        <f>$C$26*('E Balans VL '!L12+'E Balans VL '!N12)/100/3.6*1000000</f>
        <v>800.5605699667874</v>
      </c>
      <c r="G6" s="34"/>
      <c r="H6" s="33"/>
      <c r="I6" s="33"/>
      <c r="J6" s="33">
        <f>$C$26*('E Balans VL '!D12+'E Balans VL '!E12)/100/3.6*1000000</f>
        <v>0</v>
      </c>
      <c r="K6" s="33"/>
      <c r="L6" s="33"/>
      <c r="M6" s="33"/>
      <c r="N6" s="33">
        <f>$C$26*'E Balans VL '!Y12/100/3.6*1000000</f>
        <v>2.9009281734912542</v>
      </c>
      <c r="O6" s="33"/>
      <c r="P6" s="33"/>
      <c r="R6" s="32"/>
    </row>
    <row r="7" spans="1:18">
      <c r="A7" s="32" t="s">
        <v>52</v>
      </c>
      <c r="B7" s="37">
        <f t="shared" ref="B7:B12" si="0">B27</f>
        <v>3408.8530000000001</v>
      </c>
      <c r="C7" s="33"/>
      <c r="D7" s="37">
        <f>IF(ISERROR(TER_horeca_gas_kWh/1000),0,TER_horeca_gas_kWh/1000)*0.902</f>
        <v>2609.0773939999999</v>
      </c>
      <c r="E7" s="33">
        <f>$C$27*'E Balans VL '!I9/100/3.6*1000000</f>
        <v>192.02160086629308</v>
      </c>
      <c r="F7" s="33">
        <f>$C$27*('E Balans VL '!L9+'E Balans VL '!N9)/100/3.6*1000000</f>
        <v>982.90912133705751</v>
      </c>
      <c r="G7" s="34"/>
      <c r="H7" s="33"/>
      <c r="I7" s="33"/>
      <c r="J7" s="33">
        <f>$C$27*('E Balans VL '!D9+'E Balans VL '!E9)/100/3.6*1000000</f>
        <v>0</v>
      </c>
      <c r="K7" s="33"/>
      <c r="L7" s="33"/>
      <c r="M7" s="33"/>
      <c r="N7" s="33">
        <f>$C$27*'E Balans VL '!Y9/100/3.6*1000000</f>
        <v>0.94116659923315005</v>
      </c>
      <c r="O7" s="33"/>
      <c r="P7" s="33"/>
      <c r="R7" s="32"/>
    </row>
    <row r="8" spans="1:18">
      <c r="A8" s="6" t="s">
        <v>51</v>
      </c>
      <c r="B8" s="37">
        <f t="shared" si="0"/>
        <v>10444.956</v>
      </c>
      <c r="C8" s="33"/>
      <c r="D8" s="37">
        <f>IF(ISERROR(TER_handel_gas_kWh/1000),0,TER_handel_gas_kWh/1000)*0.902</f>
        <v>5648.6586420000003</v>
      </c>
      <c r="E8" s="33">
        <f>$C$28*'E Balans VL '!I13/100/3.6*1000000</f>
        <v>150.54725217066701</v>
      </c>
      <c r="F8" s="33">
        <f>$C$28*('E Balans VL '!L13+'E Balans VL '!N13)/100/3.6*1000000</f>
        <v>1814.5321038112379</v>
      </c>
      <c r="G8" s="34"/>
      <c r="H8" s="33"/>
      <c r="I8" s="33"/>
      <c r="J8" s="33">
        <f>$C$28*('E Balans VL '!D13+'E Balans VL '!E13)/100/3.6*1000000</f>
        <v>0</v>
      </c>
      <c r="K8" s="33"/>
      <c r="L8" s="33"/>
      <c r="M8" s="33"/>
      <c r="N8" s="33">
        <f>$C$28*'E Balans VL '!Y13/100/3.6*1000000</f>
        <v>31.294250932454879</v>
      </c>
      <c r="O8" s="33"/>
      <c r="P8" s="33"/>
      <c r="R8" s="32"/>
    </row>
    <row r="9" spans="1:18">
      <c r="A9" s="32" t="s">
        <v>50</v>
      </c>
      <c r="B9" s="37">
        <f t="shared" si="0"/>
        <v>3760.5680000000002</v>
      </c>
      <c r="C9" s="33"/>
      <c r="D9" s="37">
        <f>IF(ISERROR(TER_gezond_gas_kWh/1000),0,TER_gezond_gas_kWh/1000)*0.902</f>
        <v>2129.3360659999998</v>
      </c>
      <c r="E9" s="33">
        <f>$C$29*'E Balans VL '!I10/100/3.6*1000000</f>
        <v>4.0172613274307514</v>
      </c>
      <c r="F9" s="33">
        <f>$C$29*('E Balans VL '!L10+'E Balans VL '!N10)/100/3.6*1000000</f>
        <v>613.46292875020276</v>
      </c>
      <c r="G9" s="34"/>
      <c r="H9" s="33"/>
      <c r="I9" s="33"/>
      <c r="J9" s="33">
        <f>$C$29*('E Balans VL '!D10+'E Balans VL '!E10)/100/3.6*1000000</f>
        <v>0</v>
      </c>
      <c r="K9" s="33"/>
      <c r="L9" s="33"/>
      <c r="M9" s="33"/>
      <c r="N9" s="33">
        <f>$C$29*'E Balans VL '!Y10/100/3.6*1000000</f>
        <v>38.71290182270733</v>
      </c>
      <c r="O9" s="33"/>
      <c r="P9" s="33"/>
      <c r="R9" s="32"/>
    </row>
    <row r="10" spans="1:18">
      <c r="A10" s="32" t="s">
        <v>49</v>
      </c>
      <c r="B10" s="37">
        <f t="shared" si="0"/>
        <v>6446.2349999999997</v>
      </c>
      <c r="C10" s="33"/>
      <c r="D10" s="37">
        <f>IF(ISERROR(TER_ander_gas_kWh/1000),0,TER_ander_gas_kWh/1000)*0.902</f>
        <v>1758.9054120000001</v>
      </c>
      <c r="E10" s="33">
        <f>$C$30*'E Balans VL '!I14/100/3.6*1000000</f>
        <v>29.64525421986707</v>
      </c>
      <c r="F10" s="33">
        <f>$C$30*('E Balans VL '!L14+'E Balans VL '!N14)/100/3.6*1000000</f>
        <v>1932.1399620270811</v>
      </c>
      <c r="G10" s="34"/>
      <c r="H10" s="33"/>
      <c r="I10" s="33"/>
      <c r="J10" s="33">
        <f>$C$30*('E Balans VL '!D14+'E Balans VL '!E14)/100/3.6*1000000</f>
        <v>0</v>
      </c>
      <c r="K10" s="33"/>
      <c r="L10" s="33"/>
      <c r="M10" s="33"/>
      <c r="N10" s="33">
        <f>$C$30*'E Balans VL '!Y14/100/3.6*1000000</f>
        <v>4487.0050809274771</v>
      </c>
      <c r="O10" s="33"/>
      <c r="P10" s="33"/>
      <c r="R10" s="32"/>
    </row>
    <row r="11" spans="1:18">
      <c r="A11" s="32" t="s">
        <v>54</v>
      </c>
      <c r="B11" s="37">
        <f t="shared" si="0"/>
        <v>1037.3399999999999</v>
      </c>
      <c r="C11" s="33"/>
      <c r="D11" s="37">
        <f>IF(ISERROR(TER_onderwijs_gas_kWh/1000),0,TER_onderwijs_gas_kWh/1000)*0.902</f>
        <v>1858.6016680000002</v>
      </c>
      <c r="E11" s="33">
        <f>$C$31*'E Balans VL '!I11/100/3.6*1000000</f>
        <v>0.96226926931600221</v>
      </c>
      <c r="F11" s="33">
        <f>$C$31*('E Balans VL '!L11+'E Balans VL '!N11)/100/3.6*1000000</f>
        <v>364.3937004542168</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30361.649999999998</v>
      </c>
      <c r="C16" s="21">
        <f t="shared" ca="1" si="1"/>
        <v>0</v>
      </c>
      <c r="D16" s="21">
        <f t="shared" ca="1" si="1"/>
        <v>17179.658869999999</v>
      </c>
      <c r="E16" s="21">
        <f t="shared" si="1"/>
        <v>397.64421897337024</v>
      </c>
      <c r="F16" s="21">
        <f t="shared" ca="1" si="1"/>
        <v>6507.9983863465841</v>
      </c>
      <c r="G16" s="21">
        <f t="shared" si="1"/>
        <v>0</v>
      </c>
      <c r="H16" s="21">
        <f t="shared" si="1"/>
        <v>0</v>
      </c>
      <c r="I16" s="21">
        <f t="shared" si="1"/>
        <v>0</v>
      </c>
      <c r="J16" s="21">
        <f t="shared" si="1"/>
        <v>0</v>
      </c>
      <c r="K16" s="21">
        <f t="shared" si="1"/>
        <v>0</v>
      </c>
      <c r="L16" s="21">
        <f t="shared" ca="1" si="1"/>
        <v>0</v>
      </c>
      <c r="M16" s="21">
        <f t="shared" si="1"/>
        <v>0</v>
      </c>
      <c r="N16" s="21">
        <f t="shared" ca="1" si="1"/>
        <v>4560.8543284553634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0.19439543186255104</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5902.1660638096218</v>
      </c>
      <c r="C20" s="23">
        <f t="shared" ref="C20:P20" ca="1" si="2">C16*C18</f>
        <v>0</v>
      </c>
      <c r="D20" s="23">
        <f t="shared" ca="1" si="2"/>
        <v>3470.29109174</v>
      </c>
      <c r="E20" s="23">
        <f t="shared" si="2"/>
        <v>90.265237706955048</v>
      </c>
      <c r="F20" s="23">
        <f t="shared" ca="1" si="2"/>
        <v>1737.635569154538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5263.6980000000003</v>
      </c>
      <c r="C26" s="39">
        <f>IF(ISERROR(B26*3.6/1000000/'E Balans VL '!Z12*100),0,B26*3.6/1000000/'E Balans VL '!Z12*100)</f>
        <v>0.11180355281704524</v>
      </c>
      <c r="D26" s="235" t="s">
        <v>672</v>
      </c>
      <c r="F26" s="6"/>
    </row>
    <row r="27" spans="1:18">
      <c r="A27" s="230" t="s">
        <v>52</v>
      </c>
      <c r="B27" s="33">
        <f>IF(ISERROR(TER_horeca_ele_kWh/1000),0,TER_horeca_ele_kWh/1000)</f>
        <v>3408.8530000000001</v>
      </c>
      <c r="C27" s="39">
        <f>IF(ISERROR(B27*3.6/1000000/'E Balans VL '!Z9*100),0,B27*3.6/1000000/'E Balans VL '!Z9*100)</f>
        <v>0.26505908093166886</v>
      </c>
      <c r="D27" s="235" t="s">
        <v>672</v>
      </c>
      <c r="F27" s="6"/>
    </row>
    <row r="28" spans="1:18">
      <c r="A28" s="170" t="s">
        <v>51</v>
      </c>
      <c r="B28" s="33">
        <f>IF(ISERROR(TER_handel_ele_kWh/1000),0,TER_handel_ele_kWh/1000)</f>
        <v>10444.956</v>
      </c>
      <c r="C28" s="39">
        <f>IF(ISERROR(B28*3.6/1000000/'E Balans VL '!Z13*100),0,B28*3.6/1000000/'E Balans VL '!Z13*100)</f>
        <v>0.29884248364353244</v>
      </c>
      <c r="D28" s="235" t="s">
        <v>672</v>
      </c>
      <c r="F28" s="6"/>
    </row>
    <row r="29" spans="1:18">
      <c r="A29" s="230" t="s">
        <v>50</v>
      </c>
      <c r="B29" s="33">
        <f>IF(ISERROR(TER_gezond_ele_kWh/1000),0,TER_gezond_ele_kWh/1000)</f>
        <v>3760.5680000000002</v>
      </c>
      <c r="C29" s="39">
        <f>IF(ISERROR(B29*3.6/1000000/'E Balans VL '!Z10*100),0,B29*3.6/1000000/'E Balans VL '!Z10*100)</f>
        <v>0.40998929712006305</v>
      </c>
      <c r="D29" s="235" t="s">
        <v>672</v>
      </c>
      <c r="F29" s="6"/>
    </row>
    <row r="30" spans="1:18">
      <c r="A30" s="230" t="s">
        <v>49</v>
      </c>
      <c r="B30" s="33">
        <f>IF(ISERROR(TER_ander_ele_kWh/1000),0,TER_ander_ele_kWh/1000)</f>
        <v>6446.2349999999997</v>
      </c>
      <c r="C30" s="39">
        <f>IF(ISERROR(B30*3.6/1000000/'E Balans VL '!Z14*100),0,B30*3.6/1000000/'E Balans VL '!Z14*100)</f>
        <v>0.47172085436254574</v>
      </c>
      <c r="D30" s="235" t="s">
        <v>672</v>
      </c>
      <c r="F30" s="6"/>
    </row>
    <row r="31" spans="1:18">
      <c r="A31" s="230" t="s">
        <v>54</v>
      </c>
      <c r="B31" s="33">
        <f>IF(ISERROR(TER_onderwijs_ele_kWh/1000),0,TER_onderwijs_ele_kWh/1000)</f>
        <v>1037.3399999999999</v>
      </c>
      <c r="C31" s="39">
        <f>IF(ISERROR(B31*3.6/1000000/'E Balans VL '!Z11*100),0,B31*3.6/1000000/'E Balans VL '!Z11*100)</f>
        <v>0.20835050930744281</v>
      </c>
      <c r="D31" s="235" t="s">
        <v>672</v>
      </c>
    </row>
    <row r="32" spans="1:18">
      <c r="A32" s="230" t="s">
        <v>249</v>
      </c>
      <c r="B32" s="33">
        <f>IF(ISERROR(TER_rest_ele_kWh/1000),0,TER_rest_ele_kWh/1000)</f>
        <v>0</v>
      </c>
      <c r="C32" s="39">
        <f>IF(ISERROR(B32*3.6/1000000/'E Balans VL '!Z8*100),0,B32*3.6/1000000/'E Balans VL '!Z8*100)</f>
        <v>0</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16195.668</v>
      </c>
      <c r="C5" s="17">
        <f>IF(ISERROR('Eigen informatie GS &amp; warmtenet'!B59),0,'Eigen informatie GS &amp; warmtenet'!B59)</f>
        <v>0</v>
      </c>
      <c r="D5" s="30">
        <f>SUM(D6:D15)</f>
        <v>104399.59699400001</v>
      </c>
      <c r="E5" s="17">
        <f>SUM(E6:E15)</f>
        <v>2749.3066591935362</v>
      </c>
      <c r="F5" s="17">
        <f>SUM(F6:F15)</f>
        <v>9591.738190358983</v>
      </c>
      <c r="G5" s="18"/>
      <c r="H5" s="17"/>
      <c r="I5" s="17"/>
      <c r="J5" s="17">
        <f>SUM(J6:J15)</f>
        <v>22.228520569297871</v>
      </c>
      <c r="K5" s="17"/>
      <c r="L5" s="17"/>
      <c r="M5" s="17"/>
      <c r="N5" s="17">
        <f>SUM(N6:N15)</f>
        <v>1212.5559305092661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985.56</v>
      </c>
      <c r="C8" s="33"/>
      <c r="D8" s="37">
        <f>IF( ISERROR(IND_metaal_Gas_kWH/1000),0,IND_metaal_Gas_kWH/1000)*0.902</f>
        <v>129.88529400000002</v>
      </c>
      <c r="E8" s="33">
        <f>C30*'E Balans VL '!I18/100/3.6*1000000</f>
        <v>28.308982538410504</v>
      </c>
      <c r="F8" s="33">
        <f>C30*'E Balans VL '!L18/100/3.6*1000000+C30*'E Balans VL '!N18/100/3.6*1000000</f>
        <v>252.77718495714646</v>
      </c>
      <c r="G8" s="34"/>
      <c r="H8" s="33"/>
      <c r="I8" s="33"/>
      <c r="J8" s="40">
        <f>C30*'E Balans VL '!D18/100/3.6*1000000+C30*'E Balans VL '!E18/100/3.6*1000000</f>
        <v>0</v>
      </c>
      <c r="K8" s="33"/>
      <c r="L8" s="33"/>
      <c r="M8" s="33"/>
      <c r="N8" s="33">
        <f>C30*'E Balans VL '!Y18/100/3.6*1000000</f>
        <v>26.759965812989083</v>
      </c>
      <c r="O8" s="33"/>
      <c r="P8" s="33"/>
      <c r="R8" s="32"/>
    </row>
    <row r="9" spans="1:18">
      <c r="A9" s="6" t="s">
        <v>32</v>
      </c>
      <c r="B9" s="37">
        <f t="shared" si="0"/>
        <v>9641.8289999999997</v>
      </c>
      <c r="C9" s="33"/>
      <c r="D9" s="37">
        <f>IF( ISERROR(IND_andere_gas_kWh/1000),0,IND_andere_gas_kWh/1000)*0.902</f>
        <v>4030.2397299999998</v>
      </c>
      <c r="E9" s="33">
        <f>C31*'E Balans VL '!I19/100/3.6*1000000</f>
        <v>2609.8060462604062</v>
      </c>
      <c r="F9" s="33">
        <f>C31*'E Balans VL '!L19/100/3.6*1000000+C31*'E Balans VL '!N19/100/3.6*1000000</f>
        <v>6422.4784326428162</v>
      </c>
      <c r="G9" s="34"/>
      <c r="H9" s="33"/>
      <c r="I9" s="33"/>
      <c r="J9" s="40">
        <f>C31*'E Balans VL '!D19/100/3.6*1000000+C31*'E Balans VL '!E19/100/3.6*1000000</f>
        <v>0</v>
      </c>
      <c r="K9" s="33"/>
      <c r="L9" s="33"/>
      <c r="M9" s="33"/>
      <c r="N9" s="33">
        <f>C31*'E Balans VL '!Y19/100/3.6*1000000</f>
        <v>815.15277212641115</v>
      </c>
      <c r="O9" s="33"/>
      <c r="P9" s="33"/>
      <c r="R9" s="32"/>
    </row>
    <row r="10" spans="1:18">
      <c r="A10" s="6" t="s">
        <v>40</v>
      </c>
      <c r="B10" s="37">
        <f t="shared" si="0"/>
        <v>904.44799999999998</v>
      </c>
      <c r="C10" s="33"/>
      <c r="D10" s="37">
        <f>IF( ISERROR(IND_voed_gas_kWh/1000),0,IND_voed_gas_kWh/1000)*0.902</f>
        <v>654.06635800000004</v>
      </c>
      <c r="E10" s="33">
        <f>C32*'E Balans VL '!I20/100/3.6*1000000</f>
        <v>73.768856795209828</v>
      </c>
      <c r="F10" s="33">
        <f>C32*'E Balans VL '!L20/100/3.6*1000000+C32*'E Balans VL '!N20/100/3.6*1000000</f>
        <v>1348.61402671265</v>
      </c>
      <c r="G10" s="34"/>
      <c r="H10" s="33"/>
      <c r="I10" s="33"/>
      <c r="J10" s="40">
        <f>C32*'E Balans VL '!D20/100/3.6*1000000+C32*'E Balans VL '!E20/100/3.6*1000000</f>
        <v>1.1964749187405595E-2</v>
      </c>
      <c r="K10" s="33"/>
      <c r="L10" s="33"/>
      <c r="M10" s="33"/>
      <c r="N10" s="33">
        <f>C32*'E Balans VL '!Y20/100/3.6*1000000</f>
        <v>265.69490787135527</v>
      </c>
      <c r="O10" s="33"/>
      <c r="P10" s="33"/>
      <c r="R10" s="32"/>
    </row>
    <row r="11" spans="1:18">
      <c r="A11" s="6" t="s">
        <v>39</v>
      </c>
      <c r="B11" s="37">
        <f t="shared" si="0"/>
        <v>56.936</v>
      </c>
      <c r="C11" s="33"/>
      <c r="D11" s="37">
        <f>IF( ISERROR(IND_textiel_gas_kWh/1000),0,IND_textiel_gas_kWh/1000)*0.902</f>
        <v>0</v>
      </c>
      <c r="E11" s="33">
        <f>C33*'E Balans VL '!I21/100/3.6*1000000</f>
        <v>1.1285880094034147E-2</v>
      </c>
      <c r="F11" s="33">
        <f>C33*'E Balans VL '!L21/100/3.6*1000000+C33*'E Balans VL '!N21/100/3.6*1000000</f>
        <v>2.0970215735032918</v>
      </c>
      <c r="G11" s="34"/>
      <c r="H11" s="33"/>
      <c r="I11" s="33"/>
      <c r="J11" s="40">
        <f>C33*'E Balans VL '!D21/100/3.6*1000000+C33*'E Balans VL '!E21/100/3.6*1000000</f>
        <v>0</v>
      </c>
      <c r="K11" s="33"/>
      <c r="L11" s="33"/>
      <c r="M11" s="33"/>
      <c r="N11" s="33">
        <f>C33*'E Balans VL '!Y21/100/3.6*1000000</f>
        <v>0.26473802697101839</v>
      </c>
      <c r="O11" s="33"/>
      <c r="P11" s="33"/>
      <c r="R11" s="32"/>
    </row>
    <row r="12" spans="1:18">
      <c r="A12" s="6" t="s">
        <v>36</v>
      </c>
      <c r="B12" s="37">
        <f t="shared" si="0"/>
        <v>4039.4380000000001</v>
      </c>
      <c r="C12" s="33"/>
      <c r="D12" s="37">
        <f>IF( ISERROR(IND_min_gas_kWh/1000),0,IND_min_gas_kWh/1000)*0.902</f>
        <v>99351.510697999998</v>
      </c>
      <c r="E12" s="33">
        <f>C34*'E Balans VL '!I22/100/3.6*1000000</f>
        <v>31.466341863924118</v>
      </c>
      <c r="F12" s="33">
        <f>C34*'E Balans VL '!L22/100/3.6*1000000+C34*'E Balans VL '!N22/100/3.6*1000000</f>
        <v>1523.4277825533663</v>
      </c>
      <c r="G12" s="34"/>
      <c r="H12" s="33"/>
      <c r="I12" s="33"/>
      <c r="J12" s="40">
        <f>C34*'E Balans VL '!D22/100/3.6*1000000+C34*'E Balans VL '!E22/100/3.6*1000000</f>
        <v>22.216555820110464</v>
      </c>
      <c r="K12" s="33"/>
      <c r="L12" s="33"/>
      <c r="M12" s="33"/>
      <c r="N12" s="33">
        <f>C34*'E Balans VL '!Y22/100/3.6*1000000</f>
        <v>0</v>
      </c>
      <c r="O12" s="33"/>
      <c r="P12" s="33"/>
      <c r="R12" s="32"/>
    </row>
    <row r="13" spans="1:18">
      <c r="A13" s="6" t="s">
        <v>38</v>
      </c>
      <c r="B13" s="37">
        <f t="shared" si="0"/>
        <v>567.45699999999999</v>
      </c>
      <c r="C13" s="33"/>
      <c r="D13" s="37">
        <f>IF( ISERROR(IND_papier_gas_kWh/1000),0,IND_papier_gas_kWh/1000)*0.902</f>
        <v>233.89491400000003</v>
      </c>
      <c r="E13" s="33">
        <f>C35*'E Balans VL '!I23/100/3.6*1000000</f>
        <v>5.945145855491166</v>
      </c>
      <c r="F13" s="33">
        <f>C35*'E Balans VL '!L23/100/3.6*1000000+C35*'E Balans VL '!N23/100/3.6*1000000</f>
        <v>42.343741919502143</v>
      </c>
      <c r="G13" s="34"/>
      <c r="H13" s="33"/>
      <c r="I13" s="33"/>
      <c r="J13" s="40">
        <f>C35*'E Balans VL '!D23/100/3.6*1000000+C35*'E Balans VL '!E23/100/3.6*1000000</f>
        <v>0</v>
      </c>
      <c r="K13" s="33"/>
      <c r="L13" s="33"/>
      <c r="M13" s="33"/>
      <c r="N13" s="33">
        <f>C35*'E Balans VL '!Y23/100/3.6*1000000</f>
        <v>104.68354667153966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484</v>
      </c>
      <c r="B16" s="245">
        <f>'lokale energieproductie'!N37+'lokale energieproductie'!N30</f>
        <v>4635</v>
      </c>
      <c r="C16" s="245">
        <f>'lokale energieproductie'!O37+'lokale energieproductie'!O30</f>
        <v>6621.4285714285716</v>
      </c>
      <c r="D16" s="305">
        <f>('lokale energieproductie'!P30+'lokale energieproductie'!P37)*(-1)</f>
        <v>-13242.857142857143</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20830.667999999998</v>
      </c>
      <c r="C18" s="21">
        <f>C5+C16</f>
        <v>6621.4285714285716</v>
      </c>
      <c r="D18" s="21">
        <f>MAX((D5+D16),0)</f>
        <v>91156.739851142862</v>
      </c>
      <c r="E18" s="21">
        <f>MAX((E5+E16),0)</f>
        <v>2749.3066591935362</v>
      </c>
      <c r="F18" s="21">
        <f>MAX((F5+F16),0)</f>
        <v>9591.738190358983</v>
      </c>
      <c r="G18" s="21"/>
      <c r="H18" s="21"/>
      <c r="I18" s="21"/>
      <c r="J18" s="21">
        <f>MAX((J5+J16),0)</f>
        <v>22.228520569297871</v>
      </c>
      <c r="K18" s="21"/>
      <c r="L18" s="21">
        <f>MAX((L5+L16),0)</f>
        <v>0</v>
      </c>
      <c r="M18" s="21"/>
      <c r="N18" s="21">
        <f>MAX((N5+N16),0)</f>
        <v>1212.5559305092661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0.19439543186255104</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4049.3867018454221</v>
      </c>
      <c r="C22" s="23">
        <f ca="1">C18*C20</f>
        <v>1573.5630252100839</v>
      </c>
      <c r="D22" s="23">
        <f>D18*D20</f>
        <v>18413.66144993086</v>
      </c>
      <c r="E22" s="23">
        <f>E18*E20</f>
        <v>624.0926116369327</v>
      </c>
      <c r="F22" s="23">
        <f>F18*F20</f>
        <v>2560.9940968258488</v>
      </c>
      <c r="G22" s="23"/>
      <c r="H22" s="23"/>
      <c r="I22" s="23"/>
      <c r="J22" s="23">
        <f>J18*J20</f>
        <v>7.8688962815314456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985.56</v>
      </c>
      <c r="C30" s="39">
        <f>IF(ISERROR(B30*3.6/1000000/'E Balans VL '!Z18*100),0,B30*3.6/1000000/'E Balans VL '!Z18*100)</f>
        <v>9.6976588133322841E-2</v>
      </c>
      <c r="D30" s="235" t="s">
        <v>672</v>
      </c>
    </row>
    <row r="31" spans="1:18">
      <c r="A31" s="6" t="s">
        <v>32</v>
      </c>
      <c r="B31" s="37">
        <f>IF( ISERROR(IND_ander_ele_kWh/1000),0,IND_ander_ele_kWh/1000)</f>
        <v>9641.8289999999997</v>
      </c>
      <c r="C31" s="39">
        <f>IF(ISERROR(B31*3.6/1000000/'E Balans VL '!Z19*100),0,B31*3.6/1000000/'E Balans VL '!Z19*100)</f>
        <v>0.41989396173877014</v>
      </c>
      <c r="D31" s="235" t="s">
        <v>672</v>
      </c>
    </row>
    <row r="32" spans="1:18">
      <c r="A32" s="170" t="s">
        <v>40</v>
      </c>
      <c r="B32" s="37">
        <f>IF( ISERROR(IND_voed_ele_kWh/1000),0,IND_voed_ele_kWh/1000)</f>
        <v>904.44799999999998</v>
      </c>
      <c r="C32" s="39">
        <f>IF(ISERROR(B32*3.6/1000000/'E Balans VL '!Z20*100),0,B32*3.6/1000000/'E Balans VL '!Z20*100)</f>
        <v>0.17160596444087031</v>
      </c>
      <c r="D32" s="235" t="s">
        <v>672</v>
      </c>
    </row>
    <row r="33" spans="1:5">
      <c r="A33" s="170" t="s">
        <v>39</v>
      </c>
      <c r="B33" s="37">
        <f>IF( ISERROR(IND_textiel_ele_kWh/1000),0,IND_textiel_ele_kWh/1000)</f>
        <v>56.936</v>
      </c>
      <c r="C33" s="39">
        <f>IF(ISERROR(B33*3.6/1000000/'E Balans VL '!Z21*100),0,B33*3.6/1000000/'E Balans VL '!Z21*100)</f>
        <v>3.2507568630045242E-3</v>
      </c>
      <c r="D33" s="235" t="s">
        <v>672</v>
      </c>
    </row>
    <row r="34" spans="1:5">
      <c r="A34" s="170" t="s">
        <v>36</v>
      </c>
      <c r="B34" s="37">
        <f>IF( ISERROR(IND_min_ele_kWh/1000),0,IND_min_ele_kWh/1000)</f>
        <v>4039.4380000000001</v>
      </c>
      <c r="C34" s="39">
        <f>IF(ISERROR(B34*3.6/1000000/'E Balans VL '!Z22*100),0,B34*3.6/1000000/'E Balans VL '!Z22*100)</f>
        <v>0.56798554557206926</v>
      </c>
      <c r="D34" s="235" t="s">
        <v>672</v>
      </c>
    </row>
    <row r="35" spans="1:5">
      <c r="A35" s="170" t="s">
        <v>38</v>
      </c>
      <c r="B35" s="37">
        <f>IF( ISERROR(IND_papier_ele_kWh/1000),0,IND_papier_ele_kWh/1000)</f>
        <v>567.45699999999999</v>
      </c>
      <c r="C35" s="39">
        <f>IF(ISERROR(B35*3.6/1000000/'E Balans VL '!Z22*100),0,B35*3.6/1000000/'E Balans VL '!Z22*100)</f>
        <v>7.9790152425582406E-2</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0</v>
      </c>
      <c r="C37" s="39">
        <f>IF(ISERROR(B37*3.6/1000000/'E Balans VL '!Z15*100),0,B37*3.6/1000000/'E Balans VL '!Z15*100)</f>
        <v>0</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1426.577</v>
      </c>
      <c r="C5" s="17">
        <f>'Eigen informatie GS &amp; warmtenet'!B60</f>
        <v>0</v>
      </c>
      <c r="D5" s="30">
        <f>IF(ISERROR(SUM(LB_lb_gas_kWh,LB_rest_gas_kWh)/1000),0,SUM(LB_lb_gas_kWh,LB_rest_gas_kWh)/1000)*0.902</f>
        <v>1469.9298679999999</v>
      </c>
      <c r="E5" s="17">
        <f>B17*'E Balans VL '!I25/3.6*1000000/100</f>
        <v>17.976708004839541</v>
      </c>
      <c r="F5" s="17">
        <f>B17*('E Balans VL '!L25/3.6*1000000+'E Balans VL '!N25/3.6*1000000)/100</f>
        <v>4922.0480288927647</v>
      </c>
      <c r="G5" s="18"/>
      <c r="H5" s="17"/>
      <c r="I5" s="17"/>
      <c r="J5" s="17">
        <f>('E Balans VL '!D25+'E Balans VL '!E25)/3.6*1000000*landbouw!B17/100</f>
        <v>214.54096404500655</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1426.577</v>
      </c>
      <c r="C8" s="21">
        <f>C5+C6</f>
        <v>0</v>
      </c>
      <c r="D8" s="21">
        <f>MAX((D5+D6),0)</f>
        <v>1469.9298679999999</v>
      </c>
      <c r="E8" s="21">
        <f>MAX((E5+E6),0)</f>
        <v>17.976708004839541</v>
      </c>
      <c r="F8" s="21">
        <f>MAX((F5+F6),0)</f>
        <v>4922.0480288927647</v>
      </c>
      <c r="G8" s="21"/>
      <c r="H8" s="21"/>
      <c r="I8" s="21"/>
      <c r="J8" s="21">
        <f>MAX((J5+J6),0)</f>
        <v>214.54096404500655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0.19439543186255104</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277.3200520001825</v>
      </c>
      <c r="C12" s="23">
        <f ca="1">C8*C10</f>
        <v>0</v>
      </c>
      <c r="D12" s="23">
        <f>D8*D10</f>
        <v>296.92583333599998</v>
      </c>
      <c r="E12" s="23">
        <f>E8*E10</f>
        <v>4.0807127170985762</v>
      </c>
      <c r="F12" s="23">
        <f>F8*F10</f>
        <v>1314.1868237143683</v>
      </c>
      <c r="G12" s="23"/>
      <c r="H12" s="23"/>
      <c r="I12" s="23"/>
      <c r="J12" s="23">
        <f>J8*J10</f>
        <v>75.94750127193231</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0.19896252840290143</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346.01721013588144</v>
      </c>
      <c r="C26" s="245">
        <f>B26*'GWP N2O_CH4'!B5</f>
        <v>7266.36141285351</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98.277268486482498</v>
      </c>
      <c r="C27" s="245">
        <f>B27*'GWP N2O_CH4'!B5</f>
        <v>2063.8226382161324</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5.0667119740252486</v>
      </c>
      <c r="C28" s="245">
        <f>B28*'GWP N2O_CH4'!B4</f>
        <v>1570.6807119478271</v>
      </c>
      <c r="D28" s="50"/>
    </row>
    <row r="29" spans="1:4">
      <c r="A29" s="41" t="s">
        <v>266</v>
      </c>
      <c r="B29" s="245">
        <f>B34*'ha_N2O bodem landbouw'!B4</f>
        <v>21.384280718885773</v>
      </c>
      <c r="C29" s="245">
        <f>B29*'GWP N2O_CH4'!B4</f>
        <v>6629.1270228545891</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5.3394412178090446E-3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6.1035414071736115E-5</v>
      </c>
      <c r="C5" s="434" t="s">
        <v>204</v>
      </c>
      <c r="D5" s="419">
        <f>SUM(D6:D11)</f>
        <v>5.9567045537567844E-5</v>
      </c>
      <c r="E5" s="419">
        <f>SUM(E6:E11)</f>
        <v>2.2038666262239361E-3</v>
      </c>
      <c r="F5" s="432" t="s">
        <v>204</v>
      </c>
      <c r="G5" s="419">
        <f>SUM(G6:G11)</f>
        <v>0.58620009178788512</v>
      </c>
      <c r="H5" s="419">
        <f>SUM(H6:H11)</f>
        <v>0.10271914049070167</v>
      </c>
      <c r="I5" s="434" t="s">
        <v>204</v>
      </c>
      <c r="J5" s="434" t="s">
        <v>204</v>
      </c>
      <c r="K5" s="434" t="s">
        <v>204</v>
      </c>
      <c r="L5" s="434" t="s">
        <v>204</v>
      </c>
      <c r="M5" s="419">
        <f>SUM(M6:M11)</f>
        <v>3.1149949392870573E-2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3.2647523494678969E-5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2.9085069191143375E-5</v>
      </c>
      <c r="E6" s="873">
        <f>vkm_GW_PW*SUMIFS(TableVerdeelsleutelVkm[LPG],TableVerdeelsleutelVkm[Voertuigtype],"Lichte voertuigen")*SUMIFS(TableECFTransport[EnergieConsumptieFactor (PJ per km)],TableECFTransport[Index],CONCATENATE($A6,"_LPG_LPG"))</f>
        <v>1.0468395020984235E-3</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0.20518619359805204</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5.0303114558454341E-2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1.1557458860679205E-2</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4.6557459204283444E-7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7.2855899807532598E-2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1.6607306890171872E-6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3.2895561348525847E-3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1.3622318313392625E-5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1.9134829610325068E-5</v>
      </c>
      <c r="E8" s="422">
        <f>vkm_NGW_PW*SUMIFS(TableVerdeelsleutelVkm[LPG],TableVerdeelsleutelVkm[Voertuigtype],"Lichte voertuigen")*SUMIFS(TableECFTransport[EnergieConsumptieFactor (PJ per km)],TableECFTransport[Index],CONCATENATE($A8,"_LPG_LPG"))</f>
        <v>6.5544840603858545E-4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0.12068012857060097</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3.1768890909121585E-2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6.8970364811260241E-3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4.6489365859341885E-8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9.3447809963412409E-3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2.0016125170721144E-7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4.2193067487715941E-4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1.3669916299053989E-5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1.1347146736099403E-5</v>
      </c>
      <c r="E10" s="422">
        <f>vkm_SW_PW*SUMIFS(TableVerdeelsleutelVkm[LPG],TableVerdeelsleutelVkm[Voertuigtype],"Lichte voertuigen")*SUMIFS(TableECFTransport[EnergieConsumptieFactor (PJ per km)],TableECFTransport[Index],CONCATENATE($A10,"_LPG_LPG"))</f>
        <v>5.0157871808692697E-4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9.1120460799015673E-2</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2.0643131488690177E-2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5.0552057566052864E-3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5.8359200670835748E-7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8.701262801634263E-2</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2.1426424948334883E-6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3.9287614847303151E-3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16.954281686593365</v>
      </c>
      <c r="C14" s="21"/>
      <c r="D14" s="21">
        <f t="shared" ref="D14:M14" si="0">((D5)*10^9/3600)+D12</f>
        <v>16.546401538213289</v>
      </c>
      <c r="E14" s="21">
        <f t="shared" si="0"/>
        <v>612.18517395109336</v>
      </c>
      <c r="F14" s="21"/>
      <c r="G14" s="21">
        <f t="shared" si="0"/>
        <v>162833.35882996809</v>
      </c>
      <c r="H14" s="21">
        <f t="shared" si="0"/>
        <v>28533.094580750465</v>
      </c>
      <c r="I14" s="21"/>
      <c r="J14" s="21"/>
      <c r="K14" s="21"/>
      <c r="L14" s="21"/>
      <c r="M14" s="21">
        <f t="shared" si="0"/>
        <v>8652.7637202418246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0.19439543186255104</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3.2958349103846576</v>
      </c>
      <c r="C18" s="23"/>
      <c r="D18" s="23">
        <f t="shared" ref="D18:M18" si="1">D14*D16</f>
        <v>3.3423731107190844</v>
      </c>
      <c r="E18" s="23">
        <f t="shared" si="1"/>
        <v>138.9660344868982</v>
      </c>
      <c r="F18" s="23"/>
      <c r="G18" s="23">
        <f t="shared" si="1"/>
        <v>43476.50680760148</v>
      </c>
      <c r="H18" s="23">
        <f t="shared" si="1"/>
        <v>7104.7405506068653</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5.4148008191562836E-5</v>
      </c>
      <c r="C50" s="316">
        <f t="shared" ref="C50:P50" si="2">SUM(C51:C52)</f>
        <v>0</v>
      </c>
      <c r="D50" s="316">
        <f t="shared" si="2"/>
        <v>0</v>
      </c>
      <c r="E50" s="316">
        <f t="shared" si="2"/>
        <v>0</v>
      </c>
      <c r="F50" s="316">
        <f t="shared" si="2"/>
        <v>0</v>
      </c>
      <c r="G50" s="316">
        <f t="shared" si="2"/>
        <v>1.0539603148588841E-2</v>
      </c>
      <c r="H50" s="316">
        <f t="shared" si="2"/>
        <v>0</v>
      </c>
      <c r="I50" s="316">
        <f t="shared" si="2"/>
        <v>0</v>
      </c>
      <c r="J50" s="316">
        <f t="shared" si="2"/>
        <v>0</v>
      </c>
      <c r="K50" s="316">
        <f t="shared" si="2"/>
        <v>0</v>
      </c>
      <c r="L50" s="316">
        <f t="shared" si="2"/>
        <v>0</v>
      </c>
      <c r="M50" s="316">
        <f t="shared" si="2"/>
        <v>4.7260466108410066E-4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5.4148008191562836E-5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1.0539603148588841E-2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4.7260466108410066E-4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15.041113386545231</v>
      </c>
      <c r="C54" s="21">
        <f t="shared" ref="C54:P54" si="3">(C50)*10^9/3600</f>
        <v>0</v>
      </c>
      <c r="D54" s="21">
        <f t="shared" si="3"/>
        <v>0</v>
      </c>
      <c r="E54" s="21">
        <f t="shared" si="3"/>
        <v>0</v>
      </c>
      <c r="F54" s="21">
        <f t="shared" si="3"/>
        <v>0</v>
      </c>
      <c r="G54" s="21">
        <f t="shared" si="3"/>
        <v>2927.6675412746777</v>
      </c>
      <c r="H54" s="21">
        <f t="shared" si="3"/>
        <v>0</v>
      </c>
      <c r="I54" s="21">
        <f t="shared" si="3"/>
        <v>0</v>
      </c>
      <c r="J54" s="21">
        <f t="shared" si="3"/>
        <v>0</v>
      </c>
      <c r="K54" s="21">
        <f t="shared" si="3"/>
        <v>0</v>
      </c>
      <c r="L54" s="21">
        <f t="shared" si="3"/>
        <v>0</v>
      </c>
      <c r="M54" s="21">
        <f t="shared" si="3"/>
        <v>131.27907252336129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0.19439543186255104</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2.9239237324710579</v>
      </c>
      <c r="C58" s="23">
        <f t="shared" ref="C58:P58" ca="1" si="4">C54*C56</f>
        <v>0</v>
      </c>
      <c r="D58" s="23">
        <f t="shared" si="4"/>
        <v>0</v>
      </c>
      <c r="E58" s="23">
        <f t="shared" si="4"/>
        <v>0</v>
      </c>
      <c r="F58" s="23">
        <f t="shared" si="4"/>
        <v>0</v>
      </c>
      <c r="G58" s="23">
        <f t="shared" si="4"/>
        <v>781.68723352033896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13889.026905702933</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4635</v>
      </c>
      <c r="C8" s="546">
        <f>B48</f>
        <v>5452.9411764705883</v>
      </c>
      <c r="D8" s="1001"/>
      <c r="E8" s="1001">
        <f>E48</f>
        <v>0</v>
      </c>
      <c r="F8" s="1002"/>
      <c r="G8" s="547"/>
      <c r="H8" s="1001">
        <f>I48</f>
        <v>0</v>
      </c>
      <c r="I8" s="1001">
        <f>G48+F48</f>
        <v>0</v>
      </c>
      <c r="J8" s="1001">
        <f>H48+D48+C48</f>
        <v>0</v>
      </c>
      <c r="K8" s="1001"/>
      <c r="L8" s="1001"/>
      <c r="M8" s="1001"/>
      <c r="N8" s="548"/>
      <c r="O8" s="549">
        <f>C8*$C$12+D8*$D$12+E8*$E$12+F8*$F$12+G8*$G$12+H8*$H$12+I8*$I$12+J8*$J$12</f>
        <v>1101.4941176470588</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18524.026905702933</v>
      </c>
      <c r="C10" s="559">
        <f t="shared" ref="C10:L10" si="0">SUM(C8:C9)</f>
        <v>5452.9411764705883</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1101.4941176470588</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6621.4285714285716</v>
      </c>
      <c r="C17" s="571">
        <f>B49</f>
        <v>7789.9159663865539</v>
      </c>
      <c r="D17" s="572"/>
      <c r="E17" s="572">
        <f>E49</f>
        <v>0</v>
      </c>
      <c r="F17" s="1007"/>
      <c r="G17" s="573"/>
      <c r="H17" s="571">
        <f>I49</f>
        <v>0</v>
      </c>
      <c r="I17" s="572">
        <f>G49+F49</f>
        <v>0</v>
      </c>
      <c r="J17" s="572">
        <f>H49+D49+C49</f>
        <v>0</v>
      </c>
      <c r="K17" s="572"/>
      <c r="L17" s="572"/>
      <c r="M17" s="572"/>
      <c r="N17" s="1008"/>
      <c r="O17" s="574">
        <f>C17*$C$22+E17*$E$22+H17*$H$22+I17*$I$22+J17*$J$22+D17*$D$22+F17*$F$22+G17*$G$22+K17*$K$22+L17*$L$22</f>
        <v>1573.5630252100839</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6621.4285714285716</v>
      </c>
      <c r="C20" s="558">
        <f>SUM(C17:C19)</f>
        <v>7789.9159663865539</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1573.5630252100839</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73006</v>
      </c>
      <c r="C28" s="777">
        <v>3740</v>
      </c>
      <c r="D28" s="630"/>
      <c r="E28" s="629"/>
      <c r="F28" s="629"/>
      <c r="G28" s="629" t="s">
        <v>926</v>
      </c>
      <c r="H28" s="629" t="s">
        <v>927</v>
      </c>
      <c r="I28" s="629"/>
      <c r="J28" s="776"/>
      <c r="K28" s="776"/>
      <c r="L28" s="629" t="s">
        <v>928</v>
      </c>
      <c r="M28" s="629">
        <v>1030</v>
      </c>
      <c r="N28" s="629">
        <v>4635</v>
      </c>
      <c r="O28" s="629">
        <v>6621.4285714285716</v>
      </c>
      <c r="P28" s="629">
        <v>13242.857142857143</v>
      </c>
      <c r="Q28" s="629">
        <v>0</v>
      </c>
      <c r="R28" s="629">
        <v>0</v>
      </c>
      <c r="S28" s="629">
        <v>0</v>
      </c>
      <c r="T28" s="629">
        <v>0</v>
      </c>
      <c r="U28" s="629">
        <v>0</v>
      </c>
      <c r="V28" s="629">
        <v>0</v>
      </c>
      <c r="W28" s="629">
        <v>0</v>
      </c>
      <c r="X28" s="629">
        <v>400</v>
      </c>
      <c r="Y28" s="629" t="s">
        <v>36</v>
      </c>
      <c r="Z28" s="631" t="s">
        <v>377</v>
      </c>
    </row>
    <row r="29" spans="1:26" s="566" customFormat="1" hidden="1">
      <c r="A29" s="585" t="s">
        <v>269</v>
      </c>
      <c r="B29" s="586"/>
      <c r="C29" s="586"/>
      <c r="D29" s="586"/>
      <c r="E29" s="586"/>
      <c r="F29" s="586"/>
      <c r="G29" s="586"/>
      <c r="H29" s="586"/>
      <c r="I29" s="586"/>
      <c r="J29" s="586"/>
      <c r="K29" s="586"/>
      <c r="L29" s="587"/>
      <c r="M29" s="587">
        <f>SUM(M28:M28)</f>
        <v>1030</v>
      </c>
      <c r="N29" s="587">
        <f>SUM(N28:N28)</f>
        <v>4635</v>
      </c>
      <c r="O29" s="587">
        <f>SUM(O28:O28)</f>
        <v>6621.4285714285716</v>
      </c>
      <c r="P29" s="587">
        <f>SUM(P28:P28)</f>
        <v>13242.857142857143</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1030</v>
      </c>
      <c r="N30" s="587">
        <f>SUMIF($Z$28:$Z$28,"industrie",N28:N28)</f>
        <v>4635</v>
      </c>
      <c r="O30" s="587">
        <f>SUMIF($Z$28:$Z$28,"industrie",O28:O28)</f>
        <v>6621.4285714285716</v>
      </c>
      <c r="P30" s="587">
        <f>SUMIF($Z$28:$Z$28,"industrie",P28:P28)</f>
        <v>13242.857142857143</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0.58823529411764697</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5452.9411764705883</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7789.9159663865539</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2021-11-11T13:28:19Z</dcterms:modified>
</cp:coreProperties>
</file>