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F907F11-A950-4939-ADA0-282D96BB2CB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17" i="18"/>
  <c r="J20" i="18" s="1"/>
  <c r="L6" i="17"/>
  <c r="F6" i="17"/>
  <c r="D6" i="17"/>
  <c r="C6" i="17"/>
  <c r="N16" i="16"/>
  <c r="L16" i="16"/>
  <c r="F16" i="16"/>
  <c r="D16" i="16"/>
  <c r="C16" i="16"/>
  <c r="B16" i="16"/>
  <c r="B13" i="15"/>
  <c r="J8" i="18" l="1"/>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<sst xmlns="http://schemas.openxmlformats.org/spreadsheetml/2006/main" count="2521" uniqueCount="929">
  <si>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</si>
  <si>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</si>
  <si>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</si>
  <si>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</si>
  <si>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</si>
  <si>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</si>
  <si>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</si>
  <si>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</si>
  <si>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</si>
  <si>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</si>
  <si>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</si>
  <si>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</si>
  <si>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</si>
  <si>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</si>
  <si>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</si>
  <si>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</si>
  <si>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</si>
  <si>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</si>
  <si>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</si>
  <si>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</si>
  <si>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</si>
  <si>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</si>
  <si>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</si>
  <si>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</si>
  <si>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</si>
  <si>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</si>
  <si>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</si>
  <si>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</si>
  <si>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</si>
  <si>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</si>
  <si>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</si>
  <si>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</si>
  <si>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</si>
  <si>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</si>
  <si>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</si>
  <si>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</si>
  <si>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</si>
  <si>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</si>
  <si>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</si>
  <si>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</si>
  <si>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</si>
  <si>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</si>
  <si>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</si>
  <si>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</si>
  <si>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</si>
  <si>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</si>
  <si>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</si>
  <si>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</si>
  <si>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</si>
  <si>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</si>
  <si>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</si>
  <si>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</si>
  <si>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</si>
  <si>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</si>
  <si>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</si>
  <si>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</si>
  <si>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</si>
  <si>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</si>
  <si>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</si>
  <si>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</si>
  <si>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</si>
  <si>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</si>
  <si>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</si>
  <si>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</si>
  <si>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</si>
  <si>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</si>
  <si>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</si>
  <si>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</si>
  <si>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</si>
  <si>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</si>
  <si>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</si>
  <si>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</si>
  <si>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</si>
  <si>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</si>
  <si>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</si>
  <si>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</si>
  <si>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</si>
  <si>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</si>
  <si>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</si>
  <si>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</si>
  <si>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</si>
  <si>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</si>
  <si>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</si>
  <si>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</si>
  <si>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</si>
  <si>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</si>
  <si>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</si>
  <si>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</si>
  <si>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</si>
  <si>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</si>
  <si>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</si>
  <si>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</si>
  <si>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</si>
  <si>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</si>
  <si>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</si>
  <si>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</si>
  <si>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</si>
  <si>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</si>
  <si>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</si>
  <si>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</si>
  <si>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</si>
  <si>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</si>
  <si>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</si>
  <si>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</si>
  <si>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</si>
  <si>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</si>
  <si>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</si>
  <si>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</si>
  <si>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</si>
  <si>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</si>
  <si>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</si>
  <si>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</si>
  <si>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</si>
  <si>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</si>
  <si>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</si>
  <si>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</si>
  <si>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</si>
  <si>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</si>
  <si>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</si>
  <si>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</si>
  <si>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</si>
  <si>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</si>
  <si>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</si>
  <si>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</si>
  <si>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</si>
  <si>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</si>
  <si>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</si>
  <si>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</si>
  <si>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</si>
  <si>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</si>
  <si>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</si>
  <si>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</si>
  <si>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</si>
  <si>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</si>
  <si>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</si>
  <si>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</si>
  <si>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</si>
  <si>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</si>
  <si>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</si>
  <si>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</si>
  <si>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</si>
  <si>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</si>
  <si>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</si>
  <si>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</si>
  <si>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</si>
  <si>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</si>
  <si>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</si>
  <si>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</si>
  <si>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</si>
  <si>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</si>
  <si>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</si>
  <si>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</si>
  <si>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</si>
  <si>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</si>
  <si>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</si>
  <si>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</si>
  <si>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</si>
  <si>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</si>
  <si>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</si>
  <si>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</si>
  <si>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</si>
  <si>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</si>
  <si>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</si>
  <si>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</si>
  <si>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</si>
  <si>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</si>
  <si>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</si>
  <si>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</si>
  <si>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</si>
  <si>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</si>
  <si>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</si>
  <si>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</si>
  <si>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</si>
  <si>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</si>
  <si>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</si>
  <si>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</si>
  <si>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</si>
  <si>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</si>
  <si>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</si>
  <si>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</si>
  <si>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</si>
  <si>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</si>
  <si>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</si>
  <si>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</si>
  <si>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</si>
  <si>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</si>
  <si>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</si>
  <si>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</si>
  <si>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</si>
  <si>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</si>
  <si>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</si>
  <si>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</si>
  <si>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</si>
  <si>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</si>
  <si>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</si>
  <si>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</si>
  <si>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</si>
  <si>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</si>
  <si>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</si>
  <si>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</si>
  <si>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</si>
  <si>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</si>
  <si>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</si>
  <si>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</si>
  <si>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</si>
  <si>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</si>
  <si>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</si>
  <si>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</si>
  <si>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</si>
  <si>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</si>
  <si>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</si>
  <si>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</si>
  <si>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</si>
  <si>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</si>
  <si>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</si>
  <si>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</si>
  <si>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</si>
  <si>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</si>
  <si>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</si>
  <si>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</si>
  <si>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</si>
  <si>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</si>
  <si>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</si>
  <si>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</si>
  <si>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</si>
  <si>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</si>
  <si>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</si>
  <si>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</si>
  <si>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</si>
  <si>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</si>
  <si>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</si>
  <si>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</si>
  <si>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</si>
  <si>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</si>
  <si>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</si>
  <si>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</si>
  <si>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</si>
  <si>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</si>
  <si>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</si>
  <si>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</si>
  <si>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</si>
  <si>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</si>
  <si>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</si>
  <si>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</si>
  <si>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</si>
  <si>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</si>
  <si>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</si>
  <si>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</si>
  <si>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</si>
  <si>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</si>
  <si>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</si>
  <si>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</si>
  <si>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</si>
  <si>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</si>
  <si>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</si>
  <si>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</si>
  <si>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</si>
  <si>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</si>
  <si>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</si>
  <si>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</si>
  <si>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</si>
  <si>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</si>
  <si>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</si>
  <si>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</si>
  <si>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</si>
  <si>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</si>
  <si>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</si>
  <si>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</si>
  <si>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</si>
  <si>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</si>
  <si>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</si>
  <si>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</si>
  <si>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</si>
  <si>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</si>
  <si>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</si>
  <si>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</si>
  <si>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</si>
  <si>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</si>
  <si>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</si>
  <si>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</si>
  <si>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</si>
  <si>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</si>
  <si>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</si>
  <si>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</si>
  <si>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</si>
  <si>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</si>
  <si>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</si>
  <si>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</si>
  <si>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</si>
  <si>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</si>
  <si>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</si>
  <si>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</si>
  <si>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</si>
  <si>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</si>
  <si>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</si>
  <si>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</si>
  <si>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</si>
  <si>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</si>
  <si>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</si>
  <si>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</si>
  <si>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</si>
  <si>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</si>
  <si>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</si>
  <si>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</si>
  <si>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</si>
  <si>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</si>
  <si>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</si>
  <si>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</si>
  <si>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</si>
  <si>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</si>
  <si>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</si>
  <si>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</si>
  <si>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</si>
  <si>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</si>
  <si>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</si>
  <si>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</si>
  <si>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</si>
  <si>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</si>
  <si>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</si>
  <si>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</si>
  <si>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</si>
  <si>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</si>
  <si>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</si>
  <si>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</si>
  <si>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</si>
  <si>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</si>
  <si>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</si>
  <si>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</si>
  <si>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</si>
  <si>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</si>
  <si>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</si>
  <si>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</si>
  <si>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</si>
  <si>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</si>
  <si>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</si>
  <si>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</si>
  <si>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</si>
  <si>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</si>
  <si>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</si>
  <si>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</si>
  <si>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</si>
  <si>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</si>
  <si>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</si>
  <si>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</si>
  <si>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</si>
  <si>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</si>
  <si>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</si>
  <si>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</si>
  <si>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</si>
  <si>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</si>
  <si>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</si>
  <si>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</si>
  <si>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</si>
  <si>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</si>
  <si>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</si>
  <si>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</si>
  <si>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</si>
  <si>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</si>
  <si>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</si>
  <si>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</si>
  <si>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</si>
  <si>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</si>
  <si>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</si>
  <si>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</si>
  <si>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</si>
  <si>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</si>
  <si>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</si>
  <si>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</si>
  <si>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</si>
  <si>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</si>
  <si>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</si>
  <si>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</si>
  <si>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</si>
  <si>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</si>
  <si>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</si>
  <si>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</si>
  <si>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</si>
  <si>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</si>
  <si>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</si>
  <si>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</si>
  <si>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</si>
  <si>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</si>
  <si>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</si>
  <si>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</si>
  <si>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</si>
  <si>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</si>
  <si>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</si>
  <si>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</si>
  <si>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</si>
  <si>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</si>
  <si>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</si>
  <si>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</si>
  <si>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</si>
  <si>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</si>
  <si>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</si>
  <si>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</si>
  <si>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</si>
  <si>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</si>
  <si>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</si>
  <si>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</si>
  <si>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</si>
  <si>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</si>
  <si>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</si>
  <si>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</si>
  <si>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</si>
  <si>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</si>
  <si>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</si>
  <si>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</si>
  <si>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</si>
  <si>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</si>
  <si>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</si>
  <si>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</si>
  <si>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</si>
  <si>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</si>
  <si>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</si>
  <si>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</si>
  <si>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</si>
  <si>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</si>
  <si>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</si>
  <si>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</si>
  <si>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</si>
  <si>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</si>
  <si>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</si>
  <si>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</si>
  <si>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</si>
  <si>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</si>
  <si>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</si>
  <si>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</si>
  <si>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</si>
  <si>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</si>
  <si>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</si>
  <si>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</si>
  <si>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</si>
  <si>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</si>
  <si>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</si>
  <si>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</si>
  <si>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</si>
  <si>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</si>
  <si>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</si>
  <si>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</si>
  <si>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</si>
  <si>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</si>
  <si>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</si>
  <si>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</si>
  <si>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</si>
  <si>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</si>
  <si>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</si>
  <si>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</si>
  <si>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</si>
  <si>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</si>
  <si>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</si>
  <si>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</si>
  <si>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</si>
  <si>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</si>
  <si>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</si>
  <si>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</si>
  <si>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</si>
  <si>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</si>
  <si>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</si>
  <si>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</si>
  <si>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</si>
  <si>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</si>
  <si>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</si>
  <si>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</si>
  <si>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</si>
  <si>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</si>
  <si>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</si>
  <si>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</si>
  <si>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</si>
  <si>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</si>
  <si>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</si>
  <si>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</si>
  <si>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</si>
  <si>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</si>
  <si>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</si>
  <si>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</si>
  <si>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</si>
  <si>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</si>
  <si>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</si>
  <si>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</si>
  <si>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</si>
  <si>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</si>
  <si>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</si>
  <si>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</si>
  <si>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</si>
  <si>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</si>
  <si>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</si>
  <si>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</si>
  <si>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</si>
  <si>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</si>
  <si>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</si>
  <si>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</si>
  <si>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</si>
  <si>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</si>
  <si>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</si>
  <si>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</si>
  <si>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</si>
  <si>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</si>
  <si>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</si>
  <si>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</si>
  <si>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</si>
  <si>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</si>
  <si>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</si>
  <si>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</si>
  <si>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</si>
  <si>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</si>
  <si>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</si>
  <si>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</si>
  <si>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</si>
  <si>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</si>
  <si>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</si>
  <si>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</si>
  <si>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</si>
  <si>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</si>
  <si>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</si>
  <si>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</si>
  <si>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</si>
  <si>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</si>
  <si>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</si>
  <si>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</si>
  <si>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</si>
  <si>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</si>
  <si>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</si>
  <si>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</si>
  <si>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</si>
  <si>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</si>
  <si>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</si>
  <si>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</si>
  <si>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</si>
  <si>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</si>
  <si>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</si>
  <si>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</si>
  <si>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</si>
  <si>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</si>
  <si>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</si>
  <si>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</si>
  <si>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</si>
  <si>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</si>
  <si>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</si>
  <si>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</si>
  <si>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</si>
  <si>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</si>
  <si>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</si>
  <si>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</si>
  <si>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</si>
  <si>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</si>
  <si>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</si>
  <si>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</si>
  <si>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</si>
  <si>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</si>
  <si>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</si>
  <si>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</si>
  <si>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</si>
  <si>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</si>
  <si>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</si>
  <si>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</si>
  <si>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</si>
  <si>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</si>
  <si>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</si>
  <si>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</si>
  <si>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</si>
  <si>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</si>
  <si>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</si>
  <si>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</si>
  <si>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</si>
  <si>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</si>
  <si>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</si>
  <si>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</si>
  <si>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</si>
  <si>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</si>
  <si>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</si>
  <si>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</si>
  <si>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</si>
  <si>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</si>
  <si>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</si>
  <si>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</si>
  <si>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</si>
  <si>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</si>
  <si>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</si>
  <si>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</si>
  <si>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</si>
  <si>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</si>
  <si>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</si>
  <si>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</si>
  <si>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</si>
  <si>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</si>
  <si>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</si>
  <si>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</si>
  <si>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</si>
  <si>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</si>
  <si>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</si>
  <si>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</si>
  <si>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</si>
  <si>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</si>
  <si>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</si>
  <si>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</si>
  <si>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</si>
  <si>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</si>
  <si>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</si>
  <si>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</si>
  <si>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</si>
  <si>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</si>
  <si>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</si>
  <si>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</si>
  <si>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</si>
  <si>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</si>
  <si>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</si>
  <si>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</si>
  <si>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</si>
  <si>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</si>
  <si>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</si>
  <si>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</si>
  <si>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</si>
  <si>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</si>
  <si>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</si>
  <si>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</si>
  <si>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</si>
  <si>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</si>
  <si>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</si>
  <si>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</si>
  <si>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</si>
  <si>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</si>
  <si>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</si>
  <si>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</si>
  <si>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</si>
  <si>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</si>
  <si>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</si>
  <si>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</si>
  <si>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</si>
  <si>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</si>
  <si>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</si>
  <si>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</si>
  <si>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</si>
  <si>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</si>
  <si>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</si>
  <si>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</si>
  <si>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</si>
  <si>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</si>
  <si>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</si>
  <si>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</si>
  <si>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</si>
  <si>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</si>
  <si>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</si>
  <si>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</si>
  <si>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</si>
  <si>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</si>
  <si>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</si>
  <si>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</si>
  <si>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</si>
  <si>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</si>
  <si>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</si>
  <si>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</si>
  <si>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</si>
  <si>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</si>
  <si>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</si>
  <si>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</si>
  <si>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</si>
  <si>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</si>
  <si>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</si>
  <si>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</si>
  <si>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</si>
  <si>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</si>
  <si>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</si>
  <si>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</si>
  <si>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</si>
  <si>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</si>
  <si>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</si>
  <si>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</si>
  <si>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</si>
  <si>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</si>
  <si>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</si>
  <si>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</si>
  <si>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</si>
  <si>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</si>
  <si>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</si>
  <si>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</si>
  <si>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</si>
  <si>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</si>
  <si>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</si>
  <si>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</si>
  <si>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</si>
  <si>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</si>
  <si>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</si>
  <si>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</si>
  <si>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</si>
  <si>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</si>
  <si>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</si>
  <si>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</si>
  <si>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</si>
  <si>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</si>
  <si>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</si>
  <si>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</si>
  <si>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</si>
  <si>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</si>
  <si>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</si>
  <si>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</si>
  <si>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</si>
  <si>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</si>
  <si>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</si>
  <si>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</si>
  <si>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</si>
  <si>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</si>
  <si>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</si>
  <si>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</si>
  <si>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</si>
  <si>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</si>
  <si>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</si>
  <si>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</si>
  <si>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</si>
  <si>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</si>
  <si>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</si>
  <si>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</si>
  <si>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</si>
  <si>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</si>
  <si>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</si>
  <si>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</si>
  <si>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</si>
  <si>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</si>
  <si>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</si>
  <si>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</si>
  <si>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</si>
  <si>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</si>
  <si>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</si>
  <si>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</si>
  <si>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</si>
  <si>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</si>
  <si>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</si>
  <si>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</si>
  <si>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</si>
  <si>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</si>
  <si>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</si>
  <si>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</si>
  <si>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</si>
  <si>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</si>
  <si>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</si>
  <si>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</si>
  <si>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</si>
  <si>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</si>
  <si>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</si>
  <si>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</si>
  <si>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</si>
  <si>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</si>
  <si>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</si>
  <si>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</si>
  <si>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</si>
  <si>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</si>
  <si>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</si>
  <si>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</si>
  <si>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</si>
  <si>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</si>
  <si>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</si>
  <si>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</si>
  <si>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</si>
  <si>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</si>
  <si>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</si>
  <si>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</si>
  <si>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</si>
  <si>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</si>
  <si>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</si>
  <si>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</si>
  <si>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</si>
  <si>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</si>
  <si>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</si>
  <si>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</si>
  <si>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</si>
  <si>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</si>
  <si>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</si>
  <si>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</si>
  <si>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</si>
  <si>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</si>
  <si>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</si>
  <si>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</si>
  <si>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</si>
  <si>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</si>
  <si>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</si>
  <si>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</si>
  <si>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</si>
  <si>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</si>
  <si>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</si>
  <si>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</si>
  <si>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</si>
  <si>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</si>
  <si>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</si>
  <si>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</si>
  <si>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</si>
  <si>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</si>
  <si>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</si>
  <si>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</si>
  <si>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</si>
  <si>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</si>
  <si>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</si>
  <si>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</si>
  <si>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</si>
  <si>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</si>
  <si>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</si>
  <si>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</si>
  <si>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</si>
  <si>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</si>
  <si>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</si>
  <si>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</si>
  <si>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</si>
  <si>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</si>
  <si>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</si>
  <si>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</si>
  <si>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</si>
  <si>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</si>
  <si>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</si>
  <si>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</si>
  <si>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</si>
  <si>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</si>
  <si>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</si>
  <si>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</si>
  <si>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</si>
  <si>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</si>
  <si>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</si>
  <si>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</si>
  <si>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</si>
  <si>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</si>
  <si>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</si>
  <si>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</si>
  <si>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</si>
  <si>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</si>
  <si>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</si>
  <si>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</si>
  <si>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</si>
  <si>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</si>
  <si>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</si>
  <si>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</si>
  <si>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</si>
  <si>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</si>
  <si>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</si>
  <si>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</si>
  <si>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</si>
  <si>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</si>
  <si>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</si>
  <si>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</si>
  <si>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</si>
  <si>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</si>
  <si>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</si>
  <si>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</si>
  <si>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</si>
  <si>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</si>
  <si>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</si>
  <si>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</si>
  <si>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</si>
  <si>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</si>
  <si>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</si>
  <si>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</si>
  <si>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</si>
  <si>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</si>
  <si>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</si>
  <si>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</si>
  <si>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</si>
  <si>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</si>
  <si>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</si>
  <si>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</si>
  <si>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</si>
  <si>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</si>
  <si>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</si>
  <si>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</si>
  <si>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</si>
  <si>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</si>
  <si>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</si>
  <si>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</si>
  <si>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</si>
  <si>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</si>
  <si>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</si>
  <si>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</si>
  <si>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</si>
  <si>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</si>
  <si>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</si>
  <si>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</si>
  <si>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</si>
  <si>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</si>
  <si>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</si>
  <si>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</si>
  <si>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</si>
  <si>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</si>
  <si>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</si>
  <si>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</si>
  <si>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</si>
  <si>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</si>
  <si>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</si>
  <si>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</si>
  <si>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</si>
  <si>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</si>
  <si>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</si>
  <si>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</si>
  <si>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</si>
  <si>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</si>
  <si>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</si>
  <si>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</si>
  <si>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</si>
  <si>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</si>
  <si>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</si>
  <si>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</si>
  <si>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</si>
  <si>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</si>
  <si>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</si>
  <si>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</si>
  <si>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</si>
  <si>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</si>
  <si>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</si>
  <si>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</si>
  <si>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</si>
  <si>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</si>
  <si>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</si>
  <si>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</si>
  <si>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</si>
  <si>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</si>
  <si>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</si>
  <si>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</si>
  <si>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</si>
  <si>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</si>
  <si>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</si>
  <si>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</si>
  <si>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</si>
  <si>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</si>
  <si>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</si>
  <si>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72003</t>
  </si>
  <si>
    <t>BOCHOLT</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</si>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</sst>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CDE09DF-3143-4D3B-B5F0-CF382ED6A59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122345.76297661455</c:v>
                </c:pt>
                <c:pt idx="1">
                  <c:v>77971.605269426742</c:v>
                </c:pt>
                <c:pt idx="2">
                  <c:v>870.13</c:v>
                </c:pt>
                <c:pt idx="3">
                  <c:v>15109.017824863686</c:v>
                </c:pt>
                <c:pt idx="4">
                  <c:v>93454.20382082992</c:v>
                </c:pt>
                <c:pt idx="5">
                  <c:v>58331.960082908416</c:v>
                </c:pt>
                <c:pt idx="6">
                  <c:v>1103.3277803547685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122345.76297661455</c:v>
                </c:pt>
                <c:pt idx="1">
                  <c:v>77971.605269426742</c:v>
                </c:pt>
                <c:pt idx="2">
                  <c:v>870.13</c:v>
                </c:pt>
                <c:pt idx="3">
                  <c:v>15109.017824863686</c:v>
                </c:pt>
                <c:pt idx="4">
                  <c:v>93454.20382082992</c:v>
                </c:pt>
                <c:pt idx="5">
                  <c:v>58331.960082908416</c:v>
                </c:pt>
                <c:pt idx="6">
                  <c:v>1103.3277803547685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26536.676183691256</c:v>
                </c:pt>
                <c:pt idx="2">
                  <c:v>15941.481982703181</c:v>
                </c:pt>
                <c:pt idx="3">
                  <c:v>174.88790501747499</c:v>
                </c:pt>
                <c:pt idx="4">
                  <c:v>3828.0988906822467</c:v>
                </c:pt>
                <c:pt idx="5">
                  <c:v>19577.313702308653</c:v>
                </c:pt>
                <c:pt idx="6">
                  <c:v>14745.113871145932</c:v>
                </c:pt>
                <c:pt idx="7">
                  <c:v>281.65133084115047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26536.676183691256</c:v>
                </c:pt>
                <c:pt idx="2">
                  <c:v>15941.481982703181</c:v>
                </c:pt>
                <c:pt idx="3">
                  <c:v>174.88790501747499</c:v>
                </c:pt>
                <c:pt idx="4">
                  <c:v>3828.0988906822467</c:v>
                </c:pt>
                <c:pt idx="5">
                  <c:v>19577.313702308653</c:v>
                </c:pt>
                <c:pt idx="6">
                  <c:v>14745.113871145932</c:v>
                </c:pt>
                <c:pt idx="7">
                  <c:v>281.65133084115047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72003</v>
      </c>
      <c r="B6" s="385"/>
      <c r="C6" s="386"/>
    </row>
    <row r="7" spans="1:7" s="383" customFormat="1" ht="15.75" customHeight="1">
      <c r="A7" s="387" t="str">
        <f>txtMunicipality</f>
        <v>BOCHOLT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42665.161</v>
      </c>
      <c r="D10" s="676">
        <f ca="1">tertiair!C16</f>
        <v>0</v>
      </c>
      <c r="E10" s="676">
        <f ca="1">tertiair!D16</f>
        <v>27787.373702000001</v>
      </c>
      <c r="F10" s="676">
        <f>tertiair!E16</f>
        <v>297.18923653182861</v>
      </c>
      <c r="G10" s="676">
        <f ca="1">tertiair!F16</f>
        <v>6968.4059120493839</v>
      </c>
      <c r="H10" s="676">
        <f>tertiair!G16</f>
        <v>0</v>
      </c>
      <c r="I10" s="676">
        <f>tertiair!H16</f>
        <v>0</v>
      </c>
      <c r="J10" s="676">
        <f>tertiair!I16</f>
        <v>0</v>
      </c>
      <c r="K10" s="676">
        <f>tertiair!J16</f>
        <v>0</v>
      </c>
      <c r="L10" s="676">
        <f>tertiair!K16</f>
        <v>0</v>
      </c>
      <c r="M10" s="676">
        <f ca="1">tertiair!L16</f>
        <v>0</v>
      </c>
      <c r="N10" s="676">
        <f>tertiair!M16</f>
        <v>0</v>
      </c>
      <c r="O10" s="676">
        <f ca="1">tertiair!N16</f>
        <v>1114.2254188455136</v>
      </c>
      <c r="P10" s="676">
        <f>tertiair!O16</f>
        <v>9.3800000000000008</v>
      </c>
      <c r="Q10" s="677">
        <f>tertiair!P16</f>
        <v>0</v>
      </c>
      <c r="R10" s="679">
        <f ca="1">SUM(C10:Q10)</f>
        <v>78841.735269426747</v>
      </c>
      <c r="S10" s="67"/>
    </row>
    <row r="11" spans="1:19" s="444" customFormat="1">
      <c r="A11" s="791" t="s">
        <v>214</v>
      </c>
      <c r="B11" s="796"/>
      <c r="C11" s="676">
        <f>huishoudens!B8</f>
        <v>24855.38886789338</v>
      </c>
      <c r="D11" s="676">
        <f>huishoudens!C8</f>
        <v>0</v>
      </c>
      <c r="E11" s="676">
        <f>huishoudens!D8</f>
        <v>31764.939338</v>
      </c>
      <c r="F11" s="676">
        <f>huishoudens!E8</f>
        <v>1755.6388413022407</v>
      </c>
      <c r="G11" s="676">
        <f>huishoudens!F8</f>
        <v>53802.38228154336</v>
      </c>
      <c r="H11" s="676">
        <f>huishoudens!G8</f>
        <v>0</v>
      </c>
      <c r="I11" s="676">
        <f>huishoudens!H8</f>
        <v>0</v>
      </c>
      <c r="J11" s="676">
        <f>huishoudens!I8</f>
        <v>0</v>
      </c>
      <c r="K11" s="676">
        <f>huishoudens!J8</f>
        <v>1018.9099904868677</v>
      </c>
      <c r="L11" s="676">
        <f>huishoudens!K8</f>
        <v>0</v>
      </c>
      <c r="M11" s="676">
        <f>huishoudens!L8</f>
        <v>0</v>
      </c>
      <c r="N11" s="676">
        <f>huishoudens!M8</f>
        <v>0</v>
      </c>
      <c r="O11" s="676">
        <f>huishoudens!N8</f>
        <v>8461.7069907220466</v>
      </c>
      <c r="P11" s="676">
        <f>huishoudens!O8</f>
        <v>267.33000000000004</v>
      </c>
      <c r="Q11" s="677">
        <f>huishoudens!P8</f>
        <v>419.4666666666667</v>
      </c>
      <c r="R11" s="679">
        <f>SUM(C11:Q11)</f>
        <v>122345.76297661455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20826.344999999998</v>
      </c>
      <c r="D13" s="676">
        <f>industrie!C18</f>
        <v>0</v>
      </c>
      <c r="E13" s="676">
        <f>industrie!D18</f>
        <v>41292.338692000005</v>
      </c>
      <c r="F13" s="676">
        <f>industrie!E18</f>
        <v>2445.0774208375506</v>
      </c>
      <c r="G13" s="676">
        <f>industrie!F18</f>
        <v>24326.620290878815</v>
      </c>
      <c r="H13" s="676">
        <f>industrie!G18</f>
        <v>0</v>
      </c>
      <c r="I13" s="676">
        <f>industrie!H18</f>
        <v>0</v>
      </c>
      <c r="J13" s="676">
        <f>industrie!I18</f>
        <v>0</v>
      </c>
      <c r="K13" s="676">
        <f>industrie!J18</f>
        <v>0.34636225893678357</v>
      </c>
      <c r="L13" s="676">
        <f>industrie!K18</f>
        <v>0</v>
      </c>
      <c r="M13" s="676">
        <f>industrie!L18</f>
        <v>0</v>
      </c>
      <c r="N13" s="676">
        <f>industrie!M18</f>
        <v>0</v>
      </c>
      <c r="O13" s="676">
        <f>industrie!N18</f>
        <v>4563.4760548546183</v>
      </c>
      <c r="P13" s="676">
        <f>industrie!O18</f>
        <v>0</v>
      </c>
      <c r="Q13" s="677">
        <f>industrie!P18</f>
        <v>0</v>
      </c>
      <c r="R13" s="679">
        <f>SUM(C13:Q13)</f>
        <v>93454.20382082992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88346.894867893381</v>
      </c>
      <c r="D16" s="711">
        <f t="shared" ref="D16:R16" ca="1" si="0">SUM(D9:D15)</f>
        <v>0</v>
      </c>
      <c r="E16" s="711">
        <f t="shared" ca="1" si="0"/>
        <v>100844.651732</v>
      </c>
      <c r="F16" s="711">
        <f t="shared" si="0"/>
        <v>4497.9054986716201</v>
      </c>
      <c r="G16" s="711">
        <f t="shared" ca="1" si="0"/>
        <v>85097.408484471554</v>
      </c>
      <c r="H16" s="711">
        <f t="shared" si="0"/>
        <v>0</v>
      </c>
      <c r="I16" s="711">
        <f t="shared" si="0"/>
        <v>0</v>
      </c>
      <c r="J16" s="711">
        <f t="shared" si="0"/>
        <v>0</v>
      </c>
      <c r="K16" s="711">
        <f t="shared" si="0"/>
        <v>1019.2563527458045</v>
      </c>
      <c r="L16" s="711">
        <f t="shared" si="0"/>
        <v>0</v>
      </c>
      <c r="M16" s="711">
        <f t="shared" ca="1" si="0"/>
        <v>0</v>
      </c>
      <c r="N16" s="711">
        <f t="shared" si="0"/>
        <v>0</v>
      </c>
      <c r="O16" s="711">
        <f t="shared" ca="1" si="0"/>
        <v>14139.408464422178</v>
      </c>
      <c r="P16" s="711">
        <f t="shared" si="0"/>
        <v>276.71000000000004</v>
      </c>
      <c r="Q16" s="711">
        <f t="shared" si="0"/>
        <v>419.4666666666667</v>
      </c>
      <c r="R16" s="711">
        <f t="shared" ca="1" si="0"/>
        <v>294641.70206687122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5.3986156483587173</v>
      </c>
      <c r="D19" s="676">
        <f>transport!C54</f>
        <v>0</v>
      </c>
      <c r="E19" s="676">
        <f>transport!D54</f>
        <v>0</v>
      </c>
      <c r="F19" s="676">
        <f>transport!E54</f>
        <v>0</v>
      </c>
      <c r="G19" s="676">
        <f>transport!F54</f>
        <v>0</v>
      </c>
      <c r="H19" s="676">
        <f>transport!G54</f>
        <v>1050.8099630214722</v>
      </c>
      <c r="I19" s="676">
        <f>transport!H54</f>
        <v>0</v>
      </c>
      <c r="J19" s="676">
        <f>transport!I54</f>
        <v>0</v>
      </c>
      <c r="K19" s="676">
        <f>transport!J54</f>
        <v>0</v>
      </c>
      <c r="L19" s="676">
        <f>transport!K54</f>
        <v>0</v>
      </c>
      <c r="M19" s="676">
        <f>transport!L54</f>
        <v>0</v>
      </c>
      <c r="N19" s="676">
        <f>transport!M54</f>
        <v>47.119201684937444</v>
      </c>
      <c r="O19" s="676">
        <f>transport!N54</f>
        <v>0</v>
      </c>
      <c r="P19" s="676">
        <f>transport!O54</f>
        <v>0</v>
      </c>
      <c r="Q19" s="677">
        <f>transport!P54</f>
        <v>0</v>
      </c>
      <c r="R19" s="679">
        <f>SUM(C19:Q19)</f>
        <v>1103.3277803547685</v>
      </c>
      <c r="S19" s="67"/>
    </row>
    <row r="20" spans="1:19" s="444" customFormat="1">
      <c r="A20" s="791" t="s">
        <v>296</v>
      </c>
      <c r="B20" s="796"/>
      <c r="C20" s="676">
        <f>transport!B14</f>
        <v>4.7141966132937005</v>
      </c>
      <c r="D20" s="676">
        <f>transport!C14</f>
        <v>0</v>
      </c>
      <c r="E20" s="676">
        <f>transport!D14</f>
        <v>4.9153328899902426</v>
      </c>
      <c r="F20" s="676">
        <f>transport!E14</f>
        <v>173.13318165928618</v>
      </c>
      <c r="G20" s="676">
        <f>transport!F14</f>
        <v>0</v>
      </c>
      <c r="H20" s="676">
        <f>transport!G14</f>
        <v>47282.835148525272</v>
      </c>
      <c r="I20" s="676">
        <f>transport!H14</f>
        <v>8350.8242893628394</v>
      </c>
      <c r="J20" s="676">
        <f>transport!I14</f>
        <v>0</v>
      </c>
      <c r="K20" s="676">
        <f>transport!J14</f>
        <v>0</v>
      </c>
      <c r="L20" s="676">
        <f>transport!K14</f>
        <v>0</v>
      </c>
      <c r="M20" s="676">
        <f>transport!L14</f>
        <v>0</v>
      </c>
      <c r="N20" s="676">
        <f>transport!M14</f>
        <v>2515.5379338577318</v>
      </c>
      <c r="O20" s="676">
        <f>transport!N14</f>
        <v>0</v>
      </c>
      <c r="P20" s="676">
        <f>transport!O14</f>
        <v>0</v>
      </c>
      <c r="Q20" s="677">
        <f>transport!P14</f>
        <v>0</v>
      </c>
      <c r="R20" s="679">
        <f>SUM(C20:Q20)</f>
        <v>58331.960082908416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10.112812261652419</v>
      </c>
      <c r="D22" s="794">
        <f t="shared" ref="D22:R22" si="1">SUM(D18:D21)</f>
        <v>0</v>
      </c>
      <c r="E22" s="794">
        <f t="shared" si="1"/>
        <v>4.9153328899902426</v>
      </c>
      <c r="F22" s="794">
        <f t="shared" si="1"/>
        <v>173.13318165928618</v>
      </c>
      <c r="G22" s="794">
        <f t="shared" si="1"/>
        <v>0</v>
      </c>
      <c r="H22" s="794">
        <f t="shared" si="1"/>
        <v>48333.645111546743</v>
      </c>
      <c r="I22" s="794">
        <f t="shared" si="1"/>
        <v>8350.8242893628394</v>
      </c>
      <c r="J22" s="794">
        <f t="shared" si="1"/>
        <v>0</v>
      </c>
      <c r="K22" s="794">
        <f t="shared" si="1"/>
        <v>0</v>
      </c>
      <c r="L22" s="794">
        <f t="shared" si="1"/>
        <v>0</v>
      </c>
      <c r="M22" s="794">
        <f t="shared" si="1"/>
        <v>0</v>
      </c>
      <c r="N22" s="794">
        <f t="shared" si="1"/>
        <v>2562.657135542669</v>
      </c>
      <c r="O22" s="794">
        <f t="shared" si="1"/>
        <v>0</v>
      </c>
      <c r="P22" s="794">
        <f t="shared" si="1"/>
        <v>0</v>
      </c>
      <c r="Q22" s="794">
        <f t="shared" si="1"/>
        <v>0</v>
      </c>
      <c r="R22" s="794">
        <f t="shared" si="1"/>
        <v>59435.287863263184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3247.2379999999998</v>
      </c>
      <c r="D24" s="676">
        <f>+landbouw!C8</f>
        <v>119.51785714285712</v>
      </c>
      <c r="E24" s="676">
        <f>+landbouw!D8</f>
        <v>9.2103219999999997</v>
      </c>
      <c r="F24" s="676">
        <f>+landbouw!E8</f>
        <v>40.91938209309356</v>
      </c>
      <c r="G24" s="676">
        <f>+landbouw!F8</f>
        <v>11203.784581726526</v>
      </c>
      <c r="H24" s="676">
        <f>+landbouw!G8</f>
        <v>0</v>
      </c>
      <c r="I24" s="676">
        <f>+landbouw!H8</f>
        <v>0</v>
      </c>
      <c r="J24" s="676">
        <f>+landbouw!I8</f>
        <v>0</v>
      </c>
      <c r="K24" s="676">
        <f>+landbouw!J8</f>
        <v>488.34768190120764</v>
      </c>
      <c r="L24" s="676">
        <f>+landbouw!K8</f>
        <v>0</v>
      </c>
      <c r="M24" s="676">
        <f>+landbouw!L8</f>
        <v>0</v>
      </c>
      <c r="N24" s="676">
        <f>+landbouw!M8</f>
        <v>0</v>
      </c>
      <c r="O24" s="676">
        <f>+landbouw!N8</f>
        <v>0</v>
      </c>
      <c r="P24" s="676">
        <f>+landbouw!O8</f>
        <v>0</v>
      </c>
      <c r="Q24" s="677">
        <f>+landbouw!P8</f>
        <v>0</v>
      </c>
      <c r="R24" s="679">
        <f>SUM(C24:Q24)</f>
        <v>15109.017824863686</v>
      </c>
      <c r="S24" s="67"/>
    </row>
    <row r="25" spans="1:19" s="444" customFormat="1" ht="15" thickBot="1">
      <c r="A25" s="813" t="s">
        <v>833</v>
      </c>
      <c r="B25" s="977"/>
      <c r="C25" s="978">
        <f>IF(Onbekend_ele_kWh="---",0,Onbekend_ele_kWh)/1000+IF(REST_rest_ele_kWh="---",0,REST_rest_ele_kWh)/1000</f>
        <v>272.15699999999998</v>
      </c>
      <c r="D25" s="978"/>
      <c r="E25" s="978">
        <f>IF(onbekend_gas_kWh="---",0,onbekend_gas_kWh)/1000+IF(REST_rest_gas_kWh="---",0,REST_rest_gas_kWh)/1000</f>
        <v>3102.8679999999999</v>
      </c>
      <c r="F25" s="978"/>
      <c r="G25" s="978"/>
      <c r="H25" s="978"/>
      <c r="I25" s="978"/>
      <c r="J25" s="978"/>
      <c r="K25" s="978"/>
      <c r="L25" s="978"/>
      <c r="M25" s="978"/>
      <c r="N25" s="978"/>
      <c r="O25" s="978"/>
      <c r="P25" s="978"/>
      <c r="Q25" s="979"/>
      <c r="R25" s="679">
        <f>SUM(C25:Q25)</f>
        <v>3375.0250000000001</v>
      </c>
      <c r="S25" s="67"/>
    </row>
    <row r="26" spans="1:19" s="444" customFormat="1" ht="15.75" thickBot="1">
      <c r="A26" s="684" t="s">
        <v>834</v>
      </c>
      <c r="B26" s="799"/>
      <c r="C26" s="794">
        <f>SUM(C24:C25)</f>
        <v>3519.395</v>
      </c>
      <c r="D26" s="794">
        <f t="shared" ref="D26:R26" si="2">SUM(D24:D25)</f>
        <v>119.51785714285712</v>
      </c>
      <c r="E26" s="794">
        <f t="shared" si="2"/>
        <v>3112.0783219999998</v>
      </c>
      <c r="F26" s="794">
        <f t="shared" si="2"/>
        <v>40.91938209309356</v>
      </c>
      <c r="G26" s="794">
        <f t="shared" si="2"/>
        <v>11203.784581726526</v>
      </c>
      <c r="H26" s="794">
        <f t="shared" si="2"/>
        <v>0</v>
      </c>
      <c r="I26" s="794">
        <f t="shared" si="2"/>
        <v>0</v>
      </c>
      <c r="J26" s="794">
        <f t="shared" si="2"/>
        <v>0</v>
      </c>
      <c r="K26" s="794">
        <f t="shared" si="2"/>
        <v>488.34768190120764</v>
      </c>
      <c r="L26" s="794">
        <f t="shared" si="2"/>
        <v>0</v>
      </c>
      <c r="M26" s="794">
        <f t="shared" si="2"/>
        <v>0</v>
      </c>
      <c r="N26" s="794">
        <f t="shared" si="2"/>
        <v>0</v>
      </c>
      <c r="O26" s="794">
        <f t="shared" si="2"/>
        <v>0</v>
      </c>
      <c r="P26" s="794">
        <f t="shared" si="2"/>
        <v>0</v>
      </c>
      <c r="Q26" s="794">
        <f t="shared" si="2"/>
        <v>0</v>
      </c>
      <c r="R26" s="794">
        <f t="shared" si="2"/>
        <v>18484.042824863685</v>
      </c>
      <c r="S26" s="67"/>
    </row>
    <row r="27" spans="1:19" s="444" customFormat="1" ht="17.25" thickTop="1" thickBot="1">
      <c r="A27" s="685" t="s">
        <v>109</v>
      </c>
      <c r="B27" s="786"/>
      <c r="C27" s="686">
        <f ca="1">C22+C16+C26</f>
        <v>91876.402680155035</v>
      </c>
      <c r="D27" s="686">
        <f t="shared" ref="D27:R27" ca="1" si="3">D22+D16+D26</f>
        <v>119.51785714285712</v>
      </c>
      <c r="E27" s="686">
        <f t="shared" ca="1" si="3"/>
        <v>103961.64538688998</v>
      </c>
      <c r="F27" s="686">
        <f t="shared" si="3"/>
        <v>4711.9580624239998</v>
      </c>
      <c r="G27" s="686">
        <f t="shared" ca="1" si="3"/>
        <v>96301.193066198088</v>
      </c>
      <c r="H27" s="686">
        <f t="shared" si="3"/>
        <v>48333.645111546743</v>
      </c>
      <c r="I27" s="686">
        <f t="shared" si="3"/>
        <v>8350.8242893628394</v>
      </c>
      <c r="J27" s="686">
        <f t="shared" si="3"/>
        <v>0</v>
      </c>
      <c r="K27" s="686">
        <f t="shared" si="3"/>
        <v>1507.6040346470122</v>
      </c>
      <c r="L27" s="686">
        <f t="shared" si="3"/>
        <v>0</v>
      </c>
      <c r="M27" s="686">
        <f t="shared" ca="1" si="3"/>
        <v>0</v>
      </c>
      <c r="N27" s="686">
        <f t="shared" si="3"/>
        <v>2562.657135542669</v>
      </c>
      <c r="O27" s="686">
        <f t="shared" ca="1" si="3"/>
        <v>14139.408464422178</v>
      </c>
      <c r="P27" s="686">
        <f t="shared" si="3"/>
        <v>276.71000000000004</v>
      </c>
      <c r="Q27" s="686">
        <f t="shared" si="3"/>
        <v>419.4666666666667</v>
      </c>
      <c r="R27" s="686">
        <f t="shared" ca="1" si="3"/>
        <v>372561.03275499807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8575.2940647067444</v>
      </c>
      <c r="D40" s="676">
        <f ca="1">tertiair!C20</f>
        <v>0</v>
      </c>
      <c r="E40" s="676">
        <f ca="1">tertiair!D20</f>
        <v>5613.0494878040008</v>
      </c>
      <c r="F40" s="676">
        <f>tertiair!E20</f>
        <v>67.461956692725096</v>
      </c>
      <c r="G40" s="676">
        <f ca="1">tertiair!F20</f>
        <v>1860.5643785171856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16116.369887720655</v>
      </c>
    </row>
    <row r="41" spans="1:18">
      <c r="A41" s="804" t="s">
        <v>214</v>
      </c>
      <c r="B41" s="811"/>
      <c r="C41" s="676">
        <f ca="1">huishoudens!B12</f>
        <v>4995.6982146352184</v>
      </c>
      <c r="D41" s="676">
        <f ca="1">huishoudens!C12</f>
        <v>0</v>
      </c>
      <c r="E41" s="676">
        <f>huishoudens!D12</f>
        <v>6416.5177462760003</v>
      </c>
      <c r="F41" s="676">
        <f>huishoudens!E12</f>
        <v>398.53001697560865</v>
      </c>
      <c r="G41" s="676">
        <f>huishoudens!F12</f>
        <v>14365.236069172079</v>
      </c>
      <c r="H41" s="676">
        <f>huishoudens!G12</f>
        <v>0</v>
      </c>
      <c r="I41" s="676">
        <f>huishoudens!H12</f>
        <v>0</v>
      </c>
      <c r="J41" s="676">
        <f>huishoudens!I12</f>
        <v>0</v>
      </c>
      <c r="K41" s="676">
        <f>huishoudens!J12</f>
        <v>360.69413663235116</v>
      </c>
      <c r="L41" s="676">
        <f>huishoudens!K12</f>
        <v>0</v>
      </c>
      <c r="M41" s="676">
        <f>huishoudens!L12</f>
        <v>0</v>
      </c>
      <c r="N41" s="676">
        <f>huishoudens!M12</f>
        <v>0</v>
      </c>
      <c r="O41" s="676">
        <f>huishoudens!N12</f>
        <v>0</v>
      </c>
      <c r="P41" s="676">
        <f>huishoudens!O12</f>
        <v>0</v>
      </c>
      <c r="Q41" s="753">
        <f>huishoudens!P12</f>
        <v>0</v>
      </c>
      <c r="R41" s="832">
        <f t="shared" ca="1" si="4"/>
        <v>26536.676183691256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4185.8984820902224</v>
      </c>
      <c r="D43" s="676">
        <f ca="1">industrie!C22</f>
        <v>0</v>
      </c>
      <c r="E43" s="676">
        <f>industrie!D22</f>
        <v>8341.0524157840009</v>
      </c>
      <c r="F43" s="676">
        <f>industrie!E22</f>
        <v>555.03257453012395</v>
      </c>
      <c r="G43" s="676">
        <f>industrie!F22</f>
        <v>6495.2076176646442</v>
      </c>
      <c r="H43" s="676">
        <f>industrie!G22</f>
        <v>0</v>
      </c>
      <c r="I43" s="676">
        <f>industrie!H22</f>
        <v>0</v>
      </c>
      <c r="J43" s="676">
        <f>industrie!I22</f>
        <v>0</v>
      </c>
      <c r="K43" s="676">
        <f>industrie!J22</f>
        <v>0.12261223966362138</v>
      </c>
      <c r="L43" s="676">
        <f>industrie!K22</f>
        <v>0</v>
      </c>
      <c r="M43" s="676">
        <f>industrie!L22</f>
        <v>0</v>
      </c>
      <c r="N43" s="676">
        <f>industrie!M22</f>
        <v>0</v>
      </c>
      <c r="O43" s="676">
        <f>industrie!N22</f>
        <v>0</v>
      </c>
      <c r="P43" s="676">
        <f>industrie!O22</f>
        <v>0</v>
      </c>
      <c r="Q43" s="753">
        <f>industrie!P22</f>
        <v>0</v>
      </c>
      <c r="R43" s="831">
        <f t="shared" ca="1" si="4"/>
        <v>19577.313702308653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17756.890761432187</v>
      </c>
      <c r="D46" s="711">
        <f t="shared" ref="D46:Q46" ca="1" si="5">SUM(D39:D45)</f>
        <v>0</v>
      </c>
      <c r="E46" s="711">
        <f t="shared" ca="1" si="5"/>
        <v>20370.619649864002</v>
      </c>
      <c r="F46" s="711">
        <f t="shared" si="5"/>
        <v>1021.0245481984578</v>
      </c>
      <c r="G46" s="711">
        <f t="shared" ca="1" si="5"/>
        <v>22721.008065353908</v>
      </c>
      <c r="H46" s="711">
        <f t="shared" si="5"/>
        <v>0</v>
      </c>
      <c r="I46" s="711">
        <f t="shared" si="5"/>
        <v>0</v>
      </c>
      <c r="J46" s="711">
        <f t="shared" si="5"/>
        <v>0</v>
      </c>
      <c r="K46" s="711">
        <f t="shared" si="5"/>
        <v>360.81674887201478</v>
      </c>
      <c r="L46" s="711">
        <f t="shared" si="5"/>
        <v>0</v>
      </c>
      <c r="M46" s="711">
        <f t="shared" ca="1" si="5"/>
        <v>0</v>
      </c>
      <c r="N46" s="711">
        <f t="shared" si="5"/>
        <v>0</v>
      </c>
      <c r="O46" s="711">
        <f t="shared" ca="1" si="5"/>
        <v>0</v>
      </c>
      <c r="P46" s="711">
        <f t="shared" si="5"/>
        <v>0</v>
      </c>
      <c r="Q46" s="711">
        <f t="shared" si="5"/>
        <v>0</v>
      </c>
      <c r="R46" s="711">
        <f ca="1">SUM(R39:R45)</f>
        <v>62230.359773720564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1.0850707144174014</v>
      </c>
      <c r="D49" s="676">
        <f ca="1">transport!C58</f>
        <v>0</v>
      </c>
      <c r="E49" s="676">
        <f>transport!D58</f>
        <v>0</v>
      </c>
      <c r="F49" s="676">
        <f>transport!E58</f>
        <v>0</v>
      </c>
      <c r="G49" s="676">
        <f>transport!F58</f>
        <v>0</v>
      </c>
      <c r="H49" s="676">
        <f>transport!G58</f>
        <v>280.56626012673308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281.65133084115047</v>
      </c>
    </row>
    <row r="50" spans="1:18">
      <c r="A50" s="807" t="s">
        <v>296</v>
      </c>
      <c r="B50" s="817"/>
      <c r="C50" s="682">
        <f ca="1">transport!B18</f>
        <v>0.94750895790216516</v>
      </c>
      <c r="D50" s="682">
        <f>transport!C18</f>
        <v>0</v>
      </c>
      <c r="E50" s="682">
        <f>transport!D18</f>
        <v>0.99289724377802913</v>
      </c>
      <c r="F50" s="682">
        <f>transport!E18</f>
        <v>39.301232236657967</v>
      </c>
      <c r="G50" s="682">
        <f>transport!F18</f>
        <v>0</v>
      </c>
      <c r="H50" s="682">
        <f>transport!G18</f>
        <v>12624.516984656248</v>
      </c>
      <c r="I50" s="682">
        <f>transport!H18</f>
        <v>2079.3552480513472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14745.113871145932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2.0325796723195664</v>
      </c>
      <c r="D52" s="711">
        <f t="shared" ref="D52:Q52" ca="1" si="6">SUM(D48:D51)</f>
        <v>0</v>
      </c>
      <c r="E52" s="711">
        <f t="shared" si="6"/>
        <v>0.99289724377802913</v>
      </c>
      <c r="F52" s="711">
        <f t="shared" si="6"/>
        <v>39.301232236657967</v>
      </c>
      <c r="G52" s="711">
        <f t="shared" si="6"/>
        <v>0</v>
      </c>
      <c r="H52" s="711">
        <f t="shared" si="6"/>
        <v>12905.08324478298</v>
      </c>
      <c r="I52" s="711">
        <f t="shared" si="6"/>
        <v>2079.3552480513472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15026.765201987082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652.66414318910449</v>
      </c>
      <c r="D54" s="682">
        <f ca="1">+landbouw!C12</f>
        <v>0</v>
      </c>
      <c r="E54" s="682">
        <f>+landbouw!D12</f>
        <v>1.860485044</v>
      </c>
      <c r="F54" s="682">
        <f>+landbouw!E12</f>
        <v>9.2886997351322389</v>
      </c>
      <c r="G54" s="682">
        <f>+landbouw!F12</f>
        <v>2991.4104833209826</v>
      </c>
      <c r="H54" s="682">
        <f>+landbouw!G12</f>
        <v>0</v>
      </c>
      <c r="I54" s="682">
        <f>+landbouw!H12</f>
        <v>0</v>
      </c>
      <c r="J54" s="682">
        <f>+landbouw!I12</f>
        <v>0</v>
      </c>
      <c r="K54" s="682">
        <f>+landbouw!J12</f>
        <v>172.87507939302751</v>
      </c>
      <c r="L54" s="682">
        <f>+landbouw!K12</f>
        <v>0</v>
      </c>
      <c r="M54" s="682">
        <f>+landbouw!L12</f>
        <v>0</v>
      </c>
      <c r="N54" s="682">
        <f>+landbouw!M12</f>
        <v>0</v>
      </c>
      <c r="O54" s="682">
        <f>+landbouw!N12</f>
        <v>0</v>
      </c>
      <c r="P54" s="682">
        <f>+landbouw!O12</f>
        <v>0</v>
      </c>
      <c r="Q54" s="683">
        <f>+landbouw!P12</f>
        <v>0</v>
      </c>
      <c r="R54" s="710">
        <f ca="1">SUM(C54:Q54)</f>
        <v>3828.0988906822467</v>
      </c>
    </row>
    <row r="55" spans="1:18" ht="15" thickBot="1">
      <c r="A55" s="807" t="s">
        <v>833</v>
      </c>
      <c r="B55" s="817"/>
      <c r="C55" s="682">
        <f ca="1">C25*'EF ele_warmte'!B12</f>
        <v>54.700984411341913</v>
      </c>
      <c r="D55" s="682"/>
      <c r="E55" s="682">
        <f>E25*EF_CO2_aardgas</f>
        <v>626.77933600000006</v>
      </c>
      <c r="F55" s="682"/>
      <c r="G55" s="682"/>
      <c r="H55" s="682"/>
      <c r="I55" s="682"/>
      <c r="J55" s="682"/>
      <c r="K55" s="682"/>
      <c r="L55" s="682"/>
      <c r="M55" s="682"/>
      <c r="N55" s="682"/>
      <c r="O55" s="682"/>
      <c r="P55" s="682"/>
      <c r="Q55" s="683"/>
      <c r="R55" s="710">
        <f ca="1">SUM(C55:Q55)</f>
        <v>681.48032041134195</v>
      </c>
    </row>
    <row r="56" spans="1:18" ht="15.75" thickBot="1">
      <c r="A56" s="805" t="s">
        <v>834</v>
      </c>
      <c r="B56" s="818"/>
      <c r="C56" s="711">
        <f ca="1">SUM(C54:C55)</f>
        <v>707.36512760044639</v>
      </c>
      <c r="D56" s="711">
        <f t="shared" ref="D56:Q56" ca="1" si="7">SUM(D54:D55)</f>
        <v>0</v>
      </c>
      <c r="E56" s="711">
        <f t="shared" si="7"/>
        <v>628.63982104400009</v>
      </c>
      <c r="F56" s="711">
        <f t="shared" si="7"/>
        <v>9.2886997351322389</v>
      </c>
      <c r="G56" s="711">
        <f t="shared" si="7"/>
        <v>2991.4104833209826</v>
      </c>
      <c r="H56" s="711">
        <f t="shared" si="7"/>
        <v>0</v>
      </c>
      <c r="I56" s="711">
        <f t="shared" si="7"/>
        <v>0</v>
      </c>
      <c r="J56" s="711">
        <f t="shared" si="7"/>
        <v>0</v>
      </c>
      <c r="K56" s="711">
        <f t="shared" si="7"/>
        <v>172.87507939302751</v>
      </c>
      <c r="L56" s="711">
        <f t="shared" si="7"/>
        <v>0</v>
      </c>
      <c r="M56" s="711">
        <f t="shared" si="7"/>
        <v>0</v>
      </c>
      <c r="N56" s="711">
        <f t="shared" si="7"/>
        <v>0</v>
      </c>
      <c r="O56" s="711">
        <f t="shared" si="7"/>
        <v>0</v>
      </c>
      <c r="P56" s="711">
        <f t="shared" si="7"/>
        <v>0</v>
      </c>
      <c r="Q56" s="712">
        <f t="shared" si="7"/>
        <v>0</v>
      </c>
      <c r="R56" s="713">
        <f ca="1">SUM(R54:R55)</f>
        <v>4509.579211093589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18466.288468704952</v>
      </c>
      <c r="D61" s="719">
        <f t="shared" ref="D61:Q61" ca="1" si="8">D46+D52+D56</f>
        <v>0</v>
      </c>
      <c r="E61" s="719">
        <f t="shared" ca="1" si="8"/>
        <v>21000.252368151778</v>
      </c>
      <c r="F61" s="719">
        <f t="shared" si="8"/>
        <v>1069.614480170248</v>
      </c>
      <c r="G61" s="719">
        <f t="shared" ca="1" si="8"/>
        <v>25712.41854867489</v>
      </c>
      <c r="H61" s="719">
        <f t="shared" si="8"/>
        <v>12905.08324478298</v>
      </c>
      <c r="I61" s="719">
        <f t="shared" si="8"/>
        <v>2079.3552480513472</v>
      </c>
      <c r="J61" s="719">
        <f t="shared" si="8"/>
        <v>0</v>
      </c>
      <c r="K61" s="719">
        <f t="shared" si="8"/>
        <v>533.69182826504232</v>
      </c>
      <c r="L61" s="719">
        <f t="shared" si="8"/>
        <v>0</v>
      </c>
      <c r="M61" s="719">
        <f t="shared" ca="1" si="8"/>
        <v>0</v>
      </c>
      <c r="N61" s="719">
        <f t="shared" si="8"/>
        <v>0</v>
      </c>
      <c r="O61" s="719">
        <f t="shared" ca="1" si="8"/>
        <v>0</v>
      </c>
      <c r="P61" s="719">
        <f t="shared" si="8"/>
        <v>0</v>
      </c>
      <c r="Q61" s="719">
        <f t="shared" si="8"/>
        <v>0</v>
      </c>
      <c r="R61" s="719">
        <f ca="1">R46+R52+R56</f>
        <v>81766.704186801231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0.20099054740955374</v>
      </c>
      <c r="D63" s="762">
        <f t="shared" ca="1" si="9"/>
        <v>0</v>
      </c>
      <c r="E63" s="984">
        <f t="shared" ca="1" si="9"/>
        <v>0.20200000000000001</v>
      </c>
      <c r="F63" s="762">
        <f t="shared" si="9"/>
        <v>0.22700000000000001</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309.81165919282512</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7925.0621467316614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83.662499999999994</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98.42647058823529</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8318.5363059244864</v>
      </c>
      <c r="C78" s="734">
        <f>SUM(C72:C77)</f>
        <v>0</v>
      </c>
      <c r="D78" s="735">
        <f t="shared" ref="D78:H78" si="10">SUM(D76:D77)</f>
        <v>0</v>
      </c>
      <c r="E78" s="735">
        <f t="shared" si="10"/>
        <v>0</v>
      </c>
      <c r="F78" s="735">
        <f t="shared" si="10"/>
        <v>0</v>
      </c>
      <c r="G78" s="735">
        <f t="shared" si="10"/>
        <v>0</v>
      </c>
      <c r="H78" s="735">
        <f t="shared" si="10"/>
        <v>0</v>
      </c>
      <c r="I78" s="735">
        <f>SUM(I76:I77)</f>
        <v>0</v>
      </c>
      <c r="J78" s="735">
        <f>SUM(J76:J77)</f>
        <v>98.42647058823529</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119.51785714285712</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140.60924369747897</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119.51785714285712</v>
      </c>
      <c r="C90" s="734">
        <f>SUM(C87:C89)</f>
        <v>0</v>
      </c>
      <c r="D90" s="734">
        <f t="shared" ref="D90:H90" si="12">SUM(D87:D89)</f>
        <v>0</v>
      </c>
      <c r="E90" s="734">
        <f t="shared" si="12"/>
        <v>0</v>
      </c>
      <c r="F90" s="734">
        <f t="shared" si="12"/>
        <v>0</v>
      </c>
      <c r="G90" s="734">
        <f t="shared" si="12"/>
        <v>0</v>
      </c>
      <c r="H90" s="734">
        <f t="shared" si="12"/>
        <v>0</v>
      </c>
      <c r="I90" s="734">
        <f>SUM(I87:I89)</f>
        <v>0</v>
      </c>
      <c r="J90" s="734">
        <f>SUM(J87:J89)</f>
        <v>140.60924369747897</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24855.38886789338</v>
      </c>
      <c r="C4" s="448">
        <f>huishoudens!C8</f>
        <v>0</v>
      </c>
      <c r="D4" s="448">
        <f>huishoudens!D8</f>
        <v>31764.939338</v>
      </c>
      <c r="E4" s="448">
        <f>huishoudens!E8</f>
        <v>1755.6388413022407</v>
      </c>
      <c r="F4" s="448">
        <f>huishoudens!F8</f>
        <v>53802.38228154336</v>
      </c>
      <c r="G4" s="448">
        <f>huishoudens!G8</f>
        <v>0</v>
      </c>
      <c r="H4" s="448">
        <f>huishoudens!H8</f>
        <v>0</v>
      </c>
      <c r="I4" s="448">
        <f>huishoudens!I8</f>
        <v>0</v>
      </c>
      <c r="J4" s="448">
        <f>huishoudens!J8</f>
        <v>1018.9099904868677</v>
      </c>
      <c r="K4" s="448">
        <f>huishoudens!K8</f>
        <v>0</v>
      </c>
      <c r="L4" s="448">
        <f>huishoudens!L8</f>
        <v>0</v>
      </c>
      <c r="M4" s="448">
        <f>huishoudens!M8</f>
        <v>0</v>
      </c>
      <c r="N4" s="448">
        <f>huishoudens!N8</f>
        <v>8461.7069907220466</v>
      </c>
      <c r="O4" s="448">
        <f>huishoudens!O8</f>
        <v>267.33000000000004</v>
      </c>
      <c r="P4" s="449">
        <f>huishoudens!P8</f>
        <v>419.4666666666667</v>
      </c>
      <c r="Q4" s="450">
        <f>SUM(B4:P4)</f>
        <v>122345.76297661455</v>
      </c>
    </row>
    <row r="5" spans="1:17">
      <c r="A5" s="447" t="s">
        <v>149</v>
      </c>
      <c r="B5" s="448">
        <f ca="1">tertiair!B16</f>
        <v>41795.031000000003</v>
      </c>
      <c r="C5" s="448">
        <f ca="1">tertiair!C16</f>
        <v>0</v>
      </c>
      <c r="D5" s="448">
        <f ca="1">tertiair!D16</f>
        <v>27787.373702000001</v>
      </c>
      <c r="E5" s="448">
        <f>tertiair!E16</f>
        <v>297.18923653182861</v>
      </c>
      <c r="F5" s="448">
        <f ca="1">tertiair!F16</f>
        <v>6968.4059120493839</v>
      </c>
      <c r="G5" s="448">
        <f>tertiair!G16</f>
        <v>0</v>
      </c>
      <c r="H5" s="448">
        <f>tertiair!H16</f>
        <v>0</v>
      </c>
      <c r="I5" s="448">
        <f>tertiair!I16</f>
        <v>0</v>
      </c>
      <c r="J5" s="448">
        <f>tertiair!J16</f>
        <v>0</v>
      </c>
      <c r="K5" s="448">
        <f>tertiair!K16</f>
        <v>0</v>
      </c>
      <c r="L5" s="448">
        <f ca="1">tertiair!L16</f>
        <v>0</v>
      </c>
      <c r="M5" s="448">
        <f>tertiair!M16</f>
        <v>0</v>
      </c>
      <c r="N5" s="448">
        <f ca="1">tertiair!N16</f>
        <v>1114.2254188455136</v>
      </c>
      <c r="O5" s="448">
        <f>tertiair!O16</f>
        <v>9.3800000000000008</v>
      </c>
      <c r="P5" s="449">
        <f>tertiair!P16</f>
        <v>0</v>
      </c>
      <c r="Q5" s="447">
        <f t="shared" ref="Q5:Q14" ca="1" si="0">SUM(B5:P5)</f>
        <v>77971.605269426742</v>
      </c>
    </row>
    <row r="6" spans="1:17">
      <c r="A6" s="447" t="s">
        <v>187</v>
      </c>
      <c r="B6" s="448">
        <f>'openbare verlichting'!B8</f>
        <v>870.13</v>
      </c>
      <c r="C6" s="448"/>
      <c r="D6" s="448"/>
      <c r="E6" s="448"/>
      <c r="F6" s="448"/>
      <c r="G6" s="448"/>
      <c r="H6" s="448"/>
      <c r="I6" s="448"/>
      <c r="J6" s="448"/>
      <c r="K6" s="448"/>
      <c r="L6" s="448"/>
      <c r="M6" s="448"/>
      <c r="N6" s="448"/>
      <c r="O6" s="448"/>
      <c r="P6" s="449"/>
      <c r="Q6" s="447">
        <f t="shared" si="0"/>
        <v>870.13</v>
      </c>
    </row>
    <row r="7" spans="1:17">
      <c r="A7" s="447" t="s">
        <v>105</v>
      </c>
      <c r="B7" s="448">
        <f>landbouw!B8</f>
        <v>3247.2379999999998</v>
      </c>
      <c r="C7" s="448">
        <f>landbouw!C8</f>
        <v>119.51785714285712</v>
      </c>
      <c r="D7" s="448">
        <f>landbouw!D8</f>
        <v>9.2103219999999997</v>
      </c>
      <c r="E7" s="448">
        <f>landbouw!E8</f>
        <v>40.91938209309356</v>
      </c>
      <c r="F7" s="448">
        <f>landbouw!F8</f>
        <v>11203.784581726526</v>
      </c>
      <c r="G7" s="448">
        <f>landbouw!G8</f>
        <v>0</v>
      </c>
      <c r="H7" s="448">
        <f>landbouw!H8</f>
        <v>0</v>
      </c>
      <c r="I7" s="448">
        <f>landbouw!I8</f>
        <v>0</v>
      </c>
      <c r="J7" s="448">
        <f>landbouw!J8</f>
        <v>488.34768190120764</v>
      </c>
      <c r="K7" s="448">
        <f>landbouw!K8</f>
        <v>0</v>
      </c>
      <c r="L7" s="448">
        <f>landbouw!L8</f>
        <v>0</v>
      </c>
      <c r="M7" s="448">
        <f>landbouw!M8</f>
        <v>0</v>
      </c>
      <c r="N7" s="448">
        <f>landbouw!N8</f>
        <v>0</v>
      </c>
      <c r="O7" s="448">
        <f>landbouw!O8</f>
        <v>0</v>
      </c>
      <c r="P7" s="449">
        <f>landbouw!P8</f>
        <v>0</v>
      </c>
      <c r="Q7" s="447">
        <f t="shared" si="0"/>
        <v>15109.017824863686</v>
      </c>
    </row>
    <row r="8" spans="1:17">
      <c r="A8" s="447" t="s">
        <v>639</v>
      </c>
      <c r="B8" s="448">
        <f>industrie!B18</f>
        <v>20826.344999999998</v>
      </c>
      <c r="C8" s="448">
        <f>industrie!C18</f>
        <v>0</v>
      </c>
      <c r="D8" s="448">
        <f>industrie!D18</f>
        <v>41292.338692000005</v>
      </c>
      <c r="E8" s="448">
        <f>industrie!E18</f>
        <v>2445.0774208375506</v>
      </c>
      <c r="F8" s="448">
        <f>industrie!F18</f>
        <v>24326.620290878815</v>
      </c>
      <c r="G8" s="448">
        <f>industrie!G18</f>
        <v>0</v>
      </c>
      <c r="H8" s="448">
        <f>industrie!H18</f>
        <v>0</v>
      </c>
      <c r="I8" s="448">
        <f>industrie!I18</f>
        <v>0</v>
      </c>
      <c r="J8" s="448">
        <f>industrie!J18</f>
        <v>0.34636225893678357</v>
      </c>
      <c r="K8" s="448">
        <f>industrie!K18</f>
        <v>0</v>
      </c>
      <c r="L8" s="448">
        <f>industrie!L18</f>
        <v>0</v>
      </c>
      <c r="M8" s="448">
        <f>industrie!M18</f>
        <v>0</v>
      </c>
      <c r="N8" s="448">
        <f>industrie!N18</f>
        <v>4563.4760548546183</v>
      </c>
      <c r="O8" s="448">
        <f>industrie!O18</f>
        <v>0</v>
      </c>
      <c r="P8" s="449">
        <f>industrie!P18</f>
        <v>0</v>
      </c>
      <c r="Q8" s="447">
        <f t="shared" si="0"/>
        <v>93454.20382082992</v>
      </c>
    </row>
    <row r="9" spans="1:17" s="453" customFormat="1">
      <c r="A9" s="451" t="s">
        <v>557</v>
      </c>
      <c r="B9" s="452">
        <f>transport!B14</f>
        <v>4.7141966132937005</v>
      </c>
      <c r="C9" s="452">
        <f>transport!C14</f>
        <v>0</v>
      </c>
      <c r="D9" s="452">
        <f>transport!D14</f>
        <v>4.9153328899902426</v>
      </c>
      <c r="E9" s="452">
        <f>transport!E14</f>
        <v>173.13318165928618</v>
      </c>
      <c r="F9" s="452">
        <f>transport!F14</f>
        <v>0</v>
      </c>
      <c r="G9" s="452">
        <f>transport!G14</f>
        <v>47282.835148525272</v>
      </c>
      <c r="H9" s="452">
        <f>transport!H14</f>
        <v>8350.8242893628394</v>
      </c>
      <c r="I9" s="452">
        <f>transport!I14</f>
        <v>0</v>
      </c>
      <c r="J9" s="452">
        <f>transport!J14</f>
        <v>0</v>
      </c>
      <c r="K9" s="452">
        <f>transport!K14</f>
        <v>0</v>
      </c>
      <c r="L9" s="452">
        <f>transport!L14</f>
        <v>0</v>
      </c>
      <c r="M9" s="452">
        <f>transport!M14</f>
        <v>2515.5379338577318</v>
      </c>
      <c r="N9" s="452">
        <f>transport!N14</f>
        <v>0</v>
      </c>
      <c r="O9" s="452">
        <f>transport!O14</f>
        <v>0</v>
      </c>
      <c r="P9" s="452">
        <f>transport!P14</f>
        <v>0</v>
      </c>
      <c r="Q9" s="451">
        <f>SUM(B9:P9)</f>
        <v>58331.960082908416</v>
      </c>
    </row>
    <row r="10" spans="1:17">
      <c r="A10" s="447" t="s">
        <v>547</v>
      </c>
      <c r="B10" s="448">
        <f>transport!B54</f>
        <v>5.3986156483587173</v>
      </c>
      <c r="C10" s="448">
        <f>transport!C54</f>
        <v>0</v>
      </c>
      <c r="D10" s="448">
        <f>transport!D54</f>
        <v>0</v>
      </c>
      <c r="E10" s="448">
        <f>transport!E54</f>
        <v>0</v>
      </c>
      <c r="F10" s="448">
        <f>transport!F54</f>
        <v>0</v>
      </c>
      <c r="G10" s="448">
        <f>transport!G54</f>
        <v>1050.8099630214722</v>
      </c>
      <c r="H10" s="448">
        <f>transport!H54</f>
        <v>0</v>
      </c>
      <c r="I10" s="448">
        <f>transport!I54</f>
        <v>0</v>
      </c>
      <c r="J10" s="448">
        <f>transport!J54</f>
        <v>0</v>
      </c>
      <c r="K10" s="448">
        <f>transport!K54</f>
        <v>0</v>
      </c>
      <c r="L10" s="448">
        <f>transport!L54</f>
        <v>0</v>
      </c>
      <c r="M10" s="448">
        <f>transport!M54</f>
        <v>47.119201684937444</v>
      </c>
      <c r="N10" s="448">
        <f>transport!N54</f>
        <v>0</v>
      </c>
      <c r="O10" s="448">
        <f>transport!O54</f>
        <v>0</v>
      </c>
      <c r="P10" s="449">
        <f>transport!P54</f>
        <v>0</v>
      </c>
      <c r="Q10" s="447">
        <f t="shared" si="0"/>
        <v>1103.3277803547685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272.15699999999998</v>
      </c>
      <c r="C14" s="455"/>
      <c r="D14" s="455">
        <f>'SEAP template'!E25</f>
        <v>3102.8679999999999</v>
      </c>
      <c r="E14" s="455"/>
      <c r="F14" s="455"/>
      <c r="G14" s="455"/>
      <c r="H14" s="455"/>
      <c r="I14" s="455"/>
      <c r="J14" s="455"/>
      <c r="K14" s="455"/>
      <c r="L14" s="455"/>
      <c r="M14" s="455"/>
      <c r="N14" s="455"/>
      <c r="O14" s="455"/>
      <c r="P14" s="456"/>
      <c r="Q14" s="447">
        <f t="shared" si="0"/>
        <v>3375.0250000000001</v>
      </c>
    </row>
    <row r="15" spans="1:17" s="460" customFormat="1">
      <c r="A15" s="457" t="s">
        <v>551</v>
      </c>
      <c r="B15" s="458">
        <f ca="1">SUM(B4:B14)</f>
        <v>91876.40268015505</v>
      </c>
      <c r="C15" s="458">
        <f t="shared" ref="C15:Q15" ca="1" si="1">SUM(C4:C14)</f>
        <v>119.51785714285712</v>
      </c>
      <c r="D15" s="458">
        <f t="shared" ca="1" si="1"/>
        <v>103961.64538688998</v>
      </c>
      <c r="E15" s="458">
        <f t="shared" si="1"/>
        <v>4711.9580624240007</v>
      </c>
      <c r="F15" s="458">
        <f t="shared" ca="1" si="1"/>
        <v>96301.193066198088</v>
      </c>
      <c r="G15" s="458">
        <f t="shared" si="1"/>
        <v>48333.645111546743</v>
      </c>
      <c r="H15" s="458">
        <f t="shared" si="1"/>
        <v>8350.8242893628394</v>
      </c>
      <c r="I15" s="458">
        <f t="shared" si="1"/>
        <v>0</v>
      </c>
      <c r="J15" s="458">
        <f t="shared" si="1"/>
        <v>1507.6040346470122</v>
      </c>
      <c r="K15" s="458">
        <f t="shared" si="1"/>
        <v>0</v>
      </c>
      <c r="L15" s="458">
        <f t="shared" ca="1" si="1"/>
        <v>0</v>
      </c>
      <c r="M15" s="458">
        <f t="shared" si="1"/>
        <v>2562.657135542669</v>
      </c>
      <c r="N15" s="458">
        <f t="shared" ca="1" si="1"/>
        <v>14139.408464422178</v>
      </c>
      <c r="O15" s="458">
        <f t="shared" si="1"/>
        <v>276.71000000000004</v>
      </c>
      <c r="P15" s="458">
        <f t="shared" si="1"/>
        <v>419.4666666666667</v>
      </c>
      <c r="Q15" s="458">
        <f t="shared" ca="1" si="1"/>
        <v>372561.03275499807</v>
      </c>
    </row>
    <row r="17" spans="1:17">
      <c r="A17" s="461" t="s">
        <v>552</v>
      </c>
      <c r="B17" s="767">
        <f ca="1">huishoudens!B10</f>
        <v>0.20099054740955374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4995.6982146352184</v>
      </c>
      <c r="C22" s="448">
        <f t="shared" ref="C22:C32" ca="1" si="3">C4*$C$17</f>
        <v>0</v>
      </c>
      <c r="D22" s="448">
        <f t="shared" ref="D22:D32" si="4">D4*$D$17</f>
        <v>6416.5177462760003</v>
      </c>
      <c r="E22" s="448">
        <f t="shared" ref="E22:E32" si="5">E4*$E$17</f>
        <v>398.53001697560865</v>
      </c>
      <c r="F22" s="448">
        <f t="shared" ref="F22:F32" si="6">F4*$F$17</f>
        <v>14365.236069172079</v>
      </c>
      <c r="G22" s="448">
        <f t="shared" ref="G22:G32" si="7">G4*$G$17</f>
        <v>0</v>
      </c>
      <c r="H22" s="448">
        <f t="shared" ref="H22:H32" si="8">H4*$H$17</f>
        <v>0</v>
      </c>
      <c r="I22" s="448">
        <f t="shared" ref="I22:I32" si="9">I4*$I$17</f>
        <v>0</v>
      </c>
      <c r="J22" s="448">
        <f t="shared" ref="J22:J32" si="10">J4*$J$17</f>
        <v>360.69413663235116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26536.676183691256</v>
      </c>
    </row>
    <row r="23" spans="1:17">
      <c r="A23" s="447" t="s">
        <v>149</v>
      </c>
      <c r="B23" s="448">
        <f t="shared" ca="1" si="2"/>
        <v>8400.4061596892698</v>
      </c>
      <c r="C23" s="448">
        <f t="shared" ca="1" si="3"/>
        <v>0</v>
      </c>
      <c r="D23" s="448">
        <f t="shared" ca="1" si="4"/>
        <v>5613.0494878040008</v>
      </c>
      <c r="E23" s="448">
        <f t="shared" si="5"/>
        <v>67.461956692725096</v>
      </c>
      <c r="F23" s="448">
        <f t="shared" ca="1" si="6"/>
        <v>1860.5643785171856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15941.481982703181</v>
      </c>
    </row>
    <row r="24" spans="1:17">
      <c r="A24" s="447" t="s">
        <v>187</v>
      </c>
      <c r="B24" s="448">
        <f t="shared" ca="1" si="2"/>
        <v>174.88790501747499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174.88790501747499</v>
      </c>
    </row>
    <row r="25" spans="1:17">
      <c r="A25" s="447" t="s">
        <v>105</v>
      </c>
      <c r="B25" s="448">
        <f t="shared" ca="1" si="2"/>
        <v>652.66414318910449</v>
      </c>
      <c r="C25" s="448">
        <f t="shared" ca="1" si="3"/>
        <v>0</v>
      </c>
      <c r="D25" s="448">
        <f t="shared" si="4"/>
        <v>1.860485044</v>
      </c>
      <c r="E25" s="448">
        <f t="shared" si="5"/>
        <v>9.2886997351322389</v>
      </c>
      <c r="F25" s="448">
        <f t="shared" si="6"/>
        <v>2991.4104833209826</v>
      </c>
      <c r="G25" s="448">
        <f t="shared" si="7"/>
        <v>0</v>
      </c>
      <c r="H25" s="448">
        <f t="shared" si="8"/>
        <v>0</v>
      </c>
      <c r="I25" s="448">
        <f t="shared" si="9"/>
        <v>0</v>
      </c>
      <c r="J25" s="448">
        <f t="shared" si="10"/>
        <v>172.87507939302751</v>
      </c>
      <c r="K25" s="448">
        <f t="shared" si="11"/>
        <v>0</v>
      </c>
      <c r="L25" s="448">
        <f t="shared" si="12"/>
        <v>0</v>
      </c>
      <c r="M25" s="448">
        <f t="shared" si="13"/>
        <v>0</v>
      </c>
      <c r="N25" s="448">
        <f t="shared" si="14"/>
        <v>0</v>
      </c>
      <c r="O25" s="448">
        <f t="shared" si="15"/>
        <v>0</v>
      </c>
      <c r="P25" s="449">
        <f t="shared" si="16"/>
        <v>0</v>
      </c>
      <c r="Q25" s="447">
        <f t="shared" ca="1" si="17"/>
        <v>3828.0988906822467</v>
      </c>
    </row>
    <row r="26" spans="1:17">
      <c r="A26" s="447" t="s">
        <v>639</v>
      </c>
      <c r="B26" s="448">
        <f t="shared" ca="1" si="2"/>
        <v>4185.8984820902224</v>
      </c>
      <c r="C26" s="448">
        <f t="shared" ca="1" si="3"/>
        <v>0</v>
      </c>
      <c r="D26" s="448">
        <f t="shared" si="4"/>
        <v>8341.0524157840009</v>
      </c>
      <c r="E26" s="448">
        <f t="shared" si="5"/>
        <v>555.03257453012395</v>
      </c>
      <c r="F26" s="448">
        <f t="shared" si="6"/>
        <v>6495.2076176646442</v>
      </c>
      <c r="G26" s="448">
        <f t="shared" si="7"/>
        <v>0</v>
      </c>
      <c r="H26" s="448">
        <f t="shared" si="8"/>
        <v>0</v>
      </c>
      <c r="I26" s="448">
        <f t="shared" si="9"/>
        <v>0</v>
      </c>
      <c r="J26" s="448">
        <f t="shared" si="10"/>
        <v>0.12261223966362138</v>
      </c>
      <c r="K26" s="448">
        <f t="shared" si="11"/>
        <v>0</v>
      </c>
      <c r="L26" s="448">
        <f t="shared" si="12"/>
        <v>0</v>
      </c>
      <c r="M26" s="448">
        <f t="shared" si="13"/>
        <v>0</v>
      </c>
      <c r="N26" s="448">
        <f t="shared" si="14"/>
        <v>0</v>
      </c>
      <c r="O26" s="448">
        <f t="shared" si="15"/>
        <v>0</v>
      </c>
      <c r="P26" s="449">
        <f t="shared" si="16"/>
        <v>0</v>
      </c>
      <c r="Q26" s="447">
        <f t="shared" ca="1" si="17"/>
        <v>19577.313702308653</v>
      </c>
    </row>
    <row r="27" spans="1:17" s="453" customFormat="1">
      <c r="A27" s="451" t="s">
        <v>557</v>
      </c>
      <c r="B27" s="761">
        <f t="shared" ca="1" si="2"/>
        <v>0.94750895790216516</v>
      </c>
      <c r="C27" s="452">
        <f t="shared" ca="1" si="3"/>
        <v>0</v>
      </c>
      <c r="D27" s="452">
        <f t="shared" si="4"/>
        <v>0.99289724377802913</v>
      </c>
      <c r="E27" s="452">
        <f t="shared" si="5"/>
        <v>39.301232236657967</v>
      </c>
      <c r="F27" s="452">
        <f t="shared" si="6"/>
        <v>0</v>
      </c>
      <c r="G27" s="452">
        <f t="shared" si="7"/>
        <v>12624.516984656248</v>
      </c>
      <c r="H27" s="452">
        <f t="shared" si="8"/>
        <v>2079.3552480513472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14745.113871145932</v>
      </c>
    </row>
    <row r="28" spans="1:17">
      <c r="A28" s="447" t="s">
        <v>547</v>
      </c>
      <c r="B28" s="448">
        <f t="shared" ca="1" si="2"/>
        <v>1.0850707144174014</v>
      </c>
      <c r="C28" s="448">
        <f t="shared" ca="1" si="3"/>
        <v>0</v>
      </c>
      <c r="D28" s="448">
        <f t="shared" si="4"/>
        <v>0</v>
      </c>
      <c r="E28" s="448">
        <f t="shared" si="5"/>
        <v>0</v>
      </c>
      <c r="F28" s="448">
        <f t="shared" si="6"/>
        <v>0</v>
      </c>
      <c r="G28" s="448">
        <f t="shared" si="7"/>
        <v>280.56626012673308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281.65133084115047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54.700984411341913</v>
      </c>
      <c r="C32" s="448">
        <f t="shared" ca="1" si="3"/>
        <v>0</v>
      </c>
      <c r="D32" s="448">
        <f t="shared" si="4"/>
        <v>626.77933600000006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681.48032041134195</v>
      </c>
    </row>
    <row r="33" spans="1:17" s="460" customFormat="1">
      <c r="A33" s="457" t="s">
        <v>551</v>
      </c>
      <c r="B33" s="458">
        <f ca="1">SUM(B22:B32)</f>
        <v>18466.288468704952</v>
      </c>
      <c r="C33" s="458">
        <f t="shared" ref="C33:Q33" ca="1" si="18">SUM(C22:C32)</f>
        <v>0</v>
      </c>
      <c r="D33" s="458">
        <f t="shared" ca="1" si="18"/>
        <v>21000.252368151778</v>
      </c>
      <c r="E33" s="458">
        <f t="shared" si="18"/>
        <v>1069.614480170248</v>
      </c>
      <c r="F33" s="458">
        <f t="shared" ca="1" si="18"/>
        <v>25712.41854867489</v>
      </c>
      <c r="G33" s="458">
        <f t="shared" si="18"/>
        <v>12905.08324478298</v>
      </c>
      <c r="H33" s="458">
        <f t="shared" si="18"/>
        <v>2079.3552480513472</v>
      </c>
      <c r="I33" s="458">
        <f t="shared" si="18"/>
        <v>0</v>
      </c>
      <c r="J33" s="458">
        <f t="shared" si="18"/>
        <v>533.6918282650422</v>
      </c>
      <c r="K33" s="458">
        <f t="shared" si="18"/>
        <v>0</v>
      </c>
      <c r="L33" s="458">
        <f t="shared" ca="1" si="18"/>
        <v>0</v>
      </c>
      <c r="M33" s="458">
        <f t="shared" si="18"/>
        <v>0</v>
      </c>
      <c r="N33" s="458">
        <f t="shared" ca="1" si="18"/>
        <v>0</v>
      </c>
      <c r="O33" s="458">
        <f t="shared" si="18"/>
        <v>0</v>
      </c>
      <c r="P33" s="458">
        <f t="shared" si="18"/>
        <v>0</v>
      </c>
      <c r="Q33" s="458">
        <f t="shared" ca="1" si="18"/>
        <v>81766.704186801231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309.81165919282512</v>
      </c>
      <c r="C5" s="1020"/>
      <c r="D5" s="1020"/>
      <c r="E5" s="1020"/>
      <c r="F5" s="1020"/>
      <c r="G5" s="1020"/>
      <c r="H5" s="1020"/>
      <c r="I5" s="1020"/>
      <c r="J5" s="1020"/>
      <c r="K5" s="1020"/>
      <c r="L5" s="1020"/>
      <c r="M5" s="1020"/>
      <c r="N5" s="1020"/>
      <c r="O5" s="1020"/>
      <c r="P5" s="1021">
        <f>'SEAP template'!Q73</f>
        <v>0</v>
      </c>
    </row>
    <row r="6" spans="1:16">
      <c r="A6" s="1022" t="s">
        <v>240</v>
      </c>
      <c r="B6" s="1020">
        <f>'SEAP template'!B74</f>
        <v>7925.0621467316614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83.662499999999994</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98.42647058823529</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8318.5363059244864</v>
      </c>
      <c r="C10" s="1024">
        <f>SUM(C4:C9)</f>
        <v>0</v>
      </c>
      <c r="D10" s="1024">
        <f t="shared" ref="D10:H10" si="0">SUM(D8:D9)</f>
        <v>0</v>
      </c>
      <c r="E10" s="1024">
        <f t="shared" si="0"/>
        <v>0</v>
      </c>
      <c r="F10" s="1024">
        <f t="shared" si="0"/>
        <v>0</v>
      </c>
      <c r="G10" s="1024">
        <f t="shared" si="0"/>
        <v>0</v>
      </c>
      <c r="H10" s="1024">
        <f t="shared" si="0"/>
        <v>0</v>
      </c>
      <c r="I10" s="1024">
        <f>SUM(I8:I9)</f>
        <v>0</v>
      </c>
      <c r="J10" s="1024">
        <f>SUM(J8:J9)</f>
        <v>98.42647058823529</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0.20099054740955374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119.51785714285712</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140.60924369747897</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119.51785714285712</v>
      </c>
      <c r="C20" s="1024">
        <f>SUM(C17:C19)</f>
        <v>0</v>
      </c>
      <c r="D20" s="1024">
        <f t="shared" ref="D20:H20" si="2">SUM(D17:D19)</f>
        <v>0</v>
      </c>
      <c r="E20" s="1024">
        <f t="shared" si="2"/>
        <v>0</v>
      </c>
      <c r="F20" s="1024">
        <f t="shared" si="2"/>
        <v>0</v>
      </c>
      <c r="G20" s="1024">
        <f t="shared" si="2"/>
        <v>0</v>
      </c>
      <c r="H20" s="1024">
        <f t="shared" si="2"/>
        <v>0</v>
      </c>
      <c r="I20" s="1024">
        <f>SUM(I17:I19)</f>
        <v>0</v>
      </c>
      <c r="J20" s="1024">
        <f>SUM(J17:J19)</f>
        <v>140.60924369747897</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0.20099054740955374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0.20099054740955374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0.20099054740955374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5081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3196</v>
      </c>
      <c r="C14" s="327"/>
      <c r="D14" s="327"/>
      <c r="E14" s="327"/>
      <c r="F14" s="327"/>
    </row>
    <row r="15" spans="1:6">
      <c r="A15" s="1296" t="s">
        <v>177</v>
      </c>
      <c r="B15" s="1297">
        <v>74</v>
      </c>
      <c r="C15" s="327"/>
      <c r="D15" s="327"/>
      <c r="E15" s="327"/>
      <c r="F15" s="327"/>
    </row>
    <row r="16" spans="1:6">
      <c r="A16" s="1296" t="s">
        <v>6</v>
      </c>
      <c r="B16" s="1297">
        <v>3373</v>
      </c>
      <c r="C16" s="327"/>
      <c r="D16" s="327"/>
      <c r="E16" s="327"/>
      <c r="F16" s="327"/>
    </row>
    <row r="17" spans="1:6">
      <c r="A17" s="1296" t="s">
        <v>7</v>
      </c>
      <c r="B17" s="1297">
        <v>433</v>
      </c>
      <c r="C17" s="327"/>
      <c r="D17" s="327"/>
      <c r="E17" s="327"/>
      <c r="F17" s="327"/>
    </row>
    <row r="18" spans="1:6">
      <c r="A18" s="1296" t="s">
        <v>8</v>
      </c>
      <c r="B18" s="1297">
        <v>1752</v>
      </c>
      <c r="C18" s="327"/>
      <c r="D18" s="327"/>
      <c r="E18" s="327"/>
      <c r="F18" s="327"/>
    </row>
    <row r="19" spans="1:6">
      <c r="A19" s="1296" t="s">
        <v>9</v>
      </c>
      <c r="B19" s="1297">
        <v>1840</v>
      </c>
      <c r="C19" s="327"/>
      <c r="D19" s="327"/>
      <c r="E19" s="327"/>
      <c r="F19" s="327"/>
    </row>
    <row r="20" spans="1:6">
      <c r="A20" s="1296" t="s">
        <v>10</v>
      </c>
      <c r="B20" s="1297">
        <v>1115</v>
      </c>
      <c r="C20" s="327"/>
      <c r="D20" s="327"/>
      <c r="E20" s="327"/>
      <c r="F20" s="327"/>
    </row>
    <row r="21" spans="1:6">
      <c r="A21" s="1296" t="s">
        <v>11</v>
      </c>
      <c r="B21" s="1297">
        <v>13272</v>
      </c>
      <c r="C21" s="327"/>
      <c r="D21" s="327"/>
      <c r="E21" s="327"/>
      <c r="F21" s="327"/>
    </row>
    <row r="22" spans="1:6">
      <c r="A22" s="1296" t="s">
        <v>12</v>
      </c>
      <c r="B22" s="1297">
        <v>25611</v>
      </c>
      <c r="C22" s="327"/>
      <c r="D22" s="327"/>
      <c r="E22" s="327"/>
      <c r="F22" s="327"/>
    </row>
    <row r="23" spans="1:6">
      <c r="A23" s="1296" t="s">
        <v>13</v>
      </c>
      <c r="B23" s="1297">
        <v>589</v>
      </c>
      <c r="C23" s="327"/>
      <c r="D23" s="327"/>
      <c r="E23" s="327"/>
      <c r="F23" s="327"/>
    </row>
    <row r="24" spans="1:6">
      <c r="A24" s="1296" t="s">
        <v>14</v>
      </c>
      <c r="B24" s="1297">
        <v>112</v>
      </c>
      <c r="C24" s="327"/>
      <c r="D24" s="327"/>
      <c r="E24" s="327"/>
      <c r="F24" s="327"/>
    </row>
    <row r="25" spans="1:6">
      <c r="A25" s="1296" t="s">
        <v>15</v>
      </c>
      <c r="B25" s="1297">
        <v>3372</v>
      </c>
      <c r="C25" s="327"/>
      <c r="D25" s="327"/>
      <c r="E25" s="327"/>
      <c r="F25" s="327"/>
    </row>
    <row r="26" spans="1:6">
      <c r="A26" s="1296" t="s">
        <v>16</v>
      </c>
      <c r="B26" s="1297">
        <v>38</v>
      </c>
      <c r="C26" s="327"/>
      <c r="D26" s="327"/>
      <c r="E26" s="327"/>
      <c r="F26" s="327"/>
    </row>
    <row r="27" spans="1:6">
      <c r="A27" s="1296" t="s">
        <v>17</v>
      </c>
      <c r="B27" s="1297">
        <v>16</v>
      </c>
      <c r="C27" s="327"/>
      <c r="D27" s="327"/>
      <c r="E27" s="327"/>
      <c r="F27" s="327"/>
    </row>
    <row r="28" spans="1:6">
      <c r="A28" s="1296" t="s">
        <v>18</v>
      </c>
      <c r="B28" s="1298">
        <v>153679</v>
      </c>
      <c r="C28" s="327"/>
      <c r="D28" s="327"/>
      <c r="E28" s="327"/>
      <c r="F28" s="327"/>
    </row>
    <row r="29" spans="1:6">
      <c r="A29" s="1296" t="s">
        <v>922</v>
      </c>
      <c r="B29" s="1298">
        <v>341</v>
      </c>
      <c r="C29" s="327"/>
      <c r="D29" s="327"/>
      <c r="E29" s="327"/>
      <c r="F29" s="327"/>
    </row>
    <row r="30" spans="1:6">
      <c r="A30" s="1291" t="s">
        <v>923</v>
      </c>
      <c r="B30" s="1299">
        <v>60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10</v>
      </c>
      <c r="F36" s="1297">
        <v>87024</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2107</v>
      </c>
      <c r="D39" s="1297">
        <v>35216119</v>
      </c>
      <c r="E39" s="1297">
        <v>5070</v>
      </c>
      <c r="F39" s="1297">
        <v>20169251</v>
      </c>
    </row>
    <row r="40" spans="1:6">
      <c r="A40" s="1296" t="s">
        <v>29</v>
      </c>
      <c r="B40" s="1296" t="s">
        <v>28</v>
      </c>
      <c r="C40" s="1297">
        <v>0</v>
      </c>
      <c r="D40" s="1297">
        <v>0</v>
      </c>
      <c r="E40" s="1297">
        <v>0</v>
      </c>
      <c r="F40" s="1297">
        <v>0</v>
      </c>
    </row>
    <row r="41" spans="1:6">
      <c r="A41" s="1296" t="s">
        <v>31</v>
      </c>
      <c r="B41" s="1296" t="s">
        <v>32</v>
      </c>
      <c r="C41" s="1297">
        <v>23</v>
      </c>
      <c r="D41" s="1297">
        <v>768468</v>
      </c>
      <c r="E41" s="1297">
        <v>90</v>
      </c>
      <c r="F41" s="1297">
        <v>4724114</v>
      </c>
    </row>
    <row r="42" spans="1:6">
      <c r="A42" s="1296" t="s">
        <v>31</v>
      </c>
      <c r="B42" s="1296" t="s">
        <v>33</v>
      </c>
      <c r="C42" s="1297">
        <v>0</v>
      </c>
      <c r="D42" s="1297">
        <v>0</v>
      </c>
      <c r="E42" s="1297">
        <v>0</v>
      </c>
      <c r="F42" s="1297">
        <v>0</v>
      </c>
    </row>
    <row r="43" spans="1:6">
      <c r="A43" s="1296" t="s">
        <v>31</v>
      </c>
      <c r="B43" s="1296" t="s">
        <v>34</v>
      </c>
      <c r="C43" s="1297">
        <v>0</v>
      </c>
      <c r="D43" s="1297">
        <v>0</v>
      </c>
      <c r="E43" s="1297">
        <v>3</v>
      </c>
      <c r="F43" s="1297">
        <v>1474160</v>
      </c>
    </row>
    <row r="44" spans="1:6">
      <c r="A44" s="1296" t="s">
        <v>31</v>
      </c>
      <c r="B44" s="1296" t="s">
        <v>35</v>
      </c>
      <c r="C44" s="1297">
        <v>5</v>
      </c>
      <c r="D44" s="1297">
        <v>136905</v>
      </c>
      <c r="E44" s="1297">
        <v>11</v>
      </c>
      <c r="F44" s="1297">
        <v>361168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117625</v>
      </c>
      <c r="E48" s="1297">
        <v>2</v>
      </c>
      <c r="F48" s="1297">
        <v>62204</v>
      </c>
    </row>
    <row r="49" spans="1:6">
      <c r="A49" s="1296" t="s">
        <v>31</v>
      </c>
      <c r="B49" s="1296" t="s">
        <v>39</v>
      </c>
      <c r="C49" s="1297">
        <v>0</v>
      </c>
      <c r="D49" s="1297">
        <v>0</v>
      </c>
      <c r="E49" s="1297">
        <v>4</v>
      </c>
      <c r="F49" s="1297">
        <v>74189</v>
      </c>
    </row>
    <row r="50" spans="1:6">
      <c r="A50" s="1296" t="s">
        <v>31</v>
      </c>
      <c r="B50" s="1296" t="s">
        <v>40</v>
      </c>
      <c r="C50" s="1297">
        <v>7</v>
      </c>
      <c r="D50" s="1297">
        <v>44755648</v>
      </c>
      <c r="E50" s="1297">
        <v>7</v>
      </c>
      <c r="F50" s="1297">
        <v>14130510</v>
      </c>
    </row>
    <row r="51" spans="1:6">
      <c r="A51" s="1296" t="s">
        <v>41</v>
      </c>
      <c r="B51" s="1296" t="s">
        <v>42</v>
      </c>
      <c r="C51" s="1297">
        <v>0</v>
      </c>
      <c r="D51" s="1297">
        <v>0</v>
      </c>
      <c r="E51" s="1297">
        <v>125</v>
      </c>
      <c r="F51" s="1297">
        <v>3247238</v>
      </c>
    </row>
    <row r="52" spans="1:6">
      <c r="A52" s="1296" t="s">
        <v>41</v>
      </c>
      <c r="B52" s="1296" t="s">
        <v>28</v>
      </c>
      <c r="C52" s="1297">
        <v>1</v>
      </c>
      <c r="D52" s="1297">
        <v>10211</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78</v>
      </c>
      <c r="F54" s="1297">
        <v>870130</v>
      </c>
    </row>
    <row r="55" spans="1:6">
      <c r="A55" s="1296" t="s">
        <v>45</v>
      </c>
      <c r="B55" s="1296" t="s">
        <v>28</v>
      </c>
      <c r="C55" s="1297">
        <v>0</v>
      </c>
      <c r="D55" s="1297">
        <v>0</v>
      </c>
      <c r="E55" s="1297">
        <v>0</v>
      </c>
      <c r="F55" s="1297">
        <v>0</v>
      </c>
    </row>
    <row r="56" spans="1:6">
      <c r="A56" s="1296" t="s">
        <v>47</v>
      </c>
      <c r="B56" s="1296" t="s">
        <v>28</v>
      </c>
      <c r="C56" s="1297">
        <v>43</v>
      </c>
      <c r="D56" s="1297">
        <v>3102868</v>
      </c>
      <c r="E56" s="1297">
        <v>60</v>
      </c>
      <c r="F56" s="1297">
        <v>272157</v>
      </c>
    </row>
    <row r="57" spans="1:6">
      <c r="A57" s="1296" t="s">
        <v>48</v>
      </c>
      <c r="B57" s="1296" t="s">
        <v>49</v>
      </c>
      <c r="C57" s="1297">
        <v>10</v>
      </c>
      <c r="D57" s="1297">
        <v>3937648</v>
      </c>
      <c r="E57" s="1297">
        <v>56</v>
      </c>
      <c r="F57" s="1297">
        <v>1550881</v>
      </c>
    </row>
    <row r="58" spans="1:6">
      <c r="A58" s="1296" t="s">
        <v>48</v>
      </c>
      <c r="B58" s="1296" t="s">
        <v>50</v>
      </c>
      <c r="C58" s="1297">
        <v>7</v>
      </c>
      <c r="D58" s="1297">
        <v>1431023</v>
      </c>
      <c r="E58" s="1297">
        <v>16</v>
      </c>
      <c r="F58" s="1297">
        <v>500362</v>
      </c>
    </row>
    <row r="59" spans="1:6">
      <c r="A59" s="1296" t="s">
        <v>48</v>
      </c>
      <c r="B59" s="1296" t="s">
        <v>51</v>
      </c>
      <c r="C59" s="1297">
        <v>40</v>
      </c>
      <c r="D59" s="1297">
        <v>1248732</v>
      </c>
      <c r="E59" s="1297">
        <v>117</v>
      </c>
      <c r="F59" s="1297">
        <v>3395315</v>
      </c>
    </row>
    <row r="60" spans="1:6">
      <c r="A60" s="1296" t="s">
        <v>48</v>
      </c>
      <c r="B60" s="1296" t="s">
        <v>52</v>
      </c>
      <c r="C60" s="1297">
        <v>17</v>
      </c>
      <c r="D60" s="1297">
        <v>640139</v>
      </c>
      <c r="E60" s="1297">
        <v>55</v>
      </c>
      <c r="F60" s="1297">
        <v>1907062</v>
      </c>
    </row>
    <row r="61" spans="1:6">
      <c r="A61" s="1296" t="s">
        <v>48</v>
      </c>
      <c r="B61" s="1296" t="s">
        <v>53</v>
      </c>
      <c r="C61" s="1297">
        <v>30</v>
      </c>
      <c r="D61" s="1297">
        <v>22897443</v>
      </c>
      <c r="E61" s="1297">
        <v>184</v>
      </c>
      <c r="F61" s="1297">
        <v>34220609</v>
      </c>
    </row>
    <row r="62" spans="1:6">
      <c r="A62" s="1296" t="s">
        <v>48</v>
      </c>
      <c r="B62" s="1296" t="s">
        <v>54</v>
      </c>
      <c r="C62" s="1297">
        <v>7</v>
      </c>
      <c r="D62" s="1297">
        <v>651416</v>
      </c>
      <c r="E62" s="1297">
        <v>16</v>
      </c>
      <c r="F62" s="1297">
        <v>220802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88855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42467320</v>
      </c>
      <c r="E73" s="446"/>
      <c r="F73" s="327"/>
    </row>
    <row r="74" spans="1:6">
      <c r="A74" s="1296" t="s">
        <v>63</v>
      </c>
      <c r="B74" s="1296" t="s">
        <v>706</v>
      </c>
      <c r="C74" s="1309" t="s">
        <v>707</v>
      </c>
      <c r="D74" s="1297">
        <v>5148906.8864035094</v>
      </c>
      <c r="E74" s="446"/>
      <c r="F74" s="327"/>
    </row>
    <row r="75" spans="1:6">
      <c r="A75" s="1296" t="s">
        <v>64</v>
      </c>
      <c r="B75" s="1296" t="s">
        <v>704</v>
      </c>
      <c r="C75" s="1309" t="s">
        <v>708</v>
      </c>
      <c r="D75" s="1297">
        <v>19773541</v>
      </c>
      <c r="E75" s="446"/>
      <c r="F75" s="327"/>
    </row>
    <row r="76" spans="1:6">
      <c r="A76" s="1296" t="s">
        <v>64</v>
      </c>
      <c r="B76" s="1296" t="s">
        <v>706</v>
      </c>
      <c r="C76" s="1309" t="s">
        <v>709</v>
      </c>
      <c r="D76" s="1297">
        <v>206288.8864035093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292018.2271929814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309.81165919282512</v>
      </c>
      <c r="C89" s="327"/>
      <c r="D89" s="327"/>
      <c r="E89" s="327"/>
      <c r="F89" s="327"/>
    </row>
    <row r="90" spans="1:6">
      <c r="A90" s="1296" t="s">
        <v>545</v>
      </c>
      <c r="B90" s="1297">
        <v>0</v>
      </c>
      <c r="C90" s="327"/>
      <c r="D90" s="327"/>
      <c r="E90" s="327"/>
      <c r="F90" s="327"/>
    </row>
    <row r="91" spans="1:6">
      <c r="A91" s="1296" t="s">
        <v>67</v>
      </c>
      <c r="B91" s="1297">
        <v>4686.1378678933788</v>
      </c>
      <c r="C91" s="327"/>
      <c r="D91" s="327"/>
      <c r="E91" s="327"/>
      <c r="F91" s="327"/>
    </row>
    <row r="92" spans="1:6">
      <c r="A92" s="1291" t="s">
        <v>68</v>
      </c>
      <c r="B92" s="1292">
        <v>3238.9242788382826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538</v>
      </c>
      <c r="C97" s="327"/>
      <c r="D97" s="327"/>
      <c r="E97" s="327"/>
      <c r="F97" s="327"/>
    </row>
    <row r="98" spans="1:6">
      <c r="A98" s="1296" t="s">
        <v>71</v>
      </c>
      <c r="B98" s="1297">
        <v>6</v>
      </c>
      <c r="C98" s="327"/>
      <c r="D98" s="327"/>
      <c r="E98" s="327"/>
      <c r="F98" s="327"/>
    </row>
    <row r="99" spans="1:6">
      <c r="A99" s="1296" t="s">
        <v>72</v>
      </c>
      <c r="B99" s="1297">
        <v>56</v>
      </c>
      <c r="C99" s="327"/>
      <c r="D99" s="327"/>
      <c r="E99" s="327"/>
      <c r="F99" s="327"/>
    </row>
    <row r="100" spans="1:6">
      <c r="A100" s="1296" t="s">
        <v>73</v>
      </c>
      <c r="B100" s="1297">
        <v>172</v>
      </c>
      <c r="C100" s="327"/>
      <c r="D100" s="327"/>
      <c r="E100" s="327"/>
      <c r="F100" s="327"/>
    </row>
    <row r="101" spans="1:6">
      <c r="A101" s="1296" t="s">
        <v>74</v>
      </c>
      <c r="B101" s="1297">
        <v>69</v>
      </c>
      <c r="C101" s="327"/>
      <c r="D101" s="327"/>
      <c r="E101" s="327"/>
      <c r="F101" s="327"/>
    </row>
    <row r="102" spans="1:6">
      <c r="A102" s="1296" t="s">
        <v>75</v>
      </c>
      <c r="B102" s="1297">
        <v>50</v>
      </c>
      <c r="C102" s="327"/>
      <c r="D102" s="327"/>
      <c r="E102" s="327"/>
      <c r="F102" s="327"/>
    </row>
    <row r="103" spans="1:6">
      <c r="A103" s="1296" t="s">
        <v>76</v>
      </c>
      <c r="B103" s="1297">
        <v>73</v>
      </c>
      <c r="C103" s="327"/>
      <c r="D103" s="327"/>
      <c r="E103" s="327"/>
      <c r="F103" s="327"/>
    </row>
    <row r="104" spans="1:6">
      <c r="A104" s="1296" t="s">
        <v>77</v>
      </c>
      <c r="B104" s="1297">
        <v>3316</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14</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156</v>
      </c>
      <c r="C129" s="327"/>
      <c r="D129" s="327"/>
      <c r="E129" s="327"/>
      <c r="F129" s="327"/>
    </row>
    <row r="130" spans="1:6">
      <c r="A130" s="1296" t="s">
        <v>284</v>
      </c>
      <c r="B130" s="1297">
        <v>6</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91876.402680155035</v>
      </c>
      <c r="C3" s="43" t="s">
        <v>163</v>
      </c>
      <c r="D3" s="43"/>
      <c r="E3" s="156"/>
      <c r="F3" s="43"/>
      <c r="G3" s="43"/>
      <c r="H3" s="43"/>
      <c r="I3" s="43"/>
      <c r="J3" s="43"/>
      <c r="K3" s="96"/>
    </row>
    <row r="4" spans="1:11">
      <c r="A4" s="353" t="s">
        <v>164</v>
      </c>
      <c r="B4" s="49">
        <f>IF(ISERROR('SEAP template'!B78+'SEAP template'!C78),0,'SEAP template'!B78+'SEAP template'!C78)</f>
        <v>8318.5363059244864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0.20099054740955374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119.51785714285712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870.13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870.13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0.20099054740955374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174.88790501747499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20169.251</v>
      </c>
      <c r="C5" s="17">
        <f>IF(ISERROR('Eigen informatie GS &amp; warmtenet'!B57),0,'Eigen informatie GS &amp; warmtenet'!B57)</f>
        <v>0</v>
      </c>
      <c r="D5" s="30">
        <f>(SUM(HH_hh_gas_kWh,HH_rest_gas_kWh)/1000)*0.902</f>
        <v>31764.939338</v>
      </c>
      <c r="E5" s="17">
        <f>B32*B41</f>
        <v>1755.6388413022407</v>
      </c>
      <c r="F5" s="17">
        <f>B36*B45</f>
        <v>53802.38228154336</v>
      </c>
      <c r="G5" s="18"/>
      <c r="H5" s="17"/>
      <c r="I5" s="17"/>
      <c r="J5" s="17">
        <f>B35*B44+C35*C44</f>
        <v>1018.9099904868677</v>
      </c>
      <c r="K5" s="17"/>
      <c r="L5" s="17"/>
      <c r="M5" s="17"/>
      <c r="N5" s="17">
        <f>B34*B43+C34*C43</f>
        <v>8461.7069907220466</v>
      </c>
      <c r="O5" s="17">
        <f>B52*B53*B54</f>
        <v>267.33000000000004</v>
      </c>
      <c r="P5" s="17">
        <f>B60*B61*B62/1000-B60*B61*B62/1000/B63</f>
        <v>419.4666666666667</v>
      </c>
    </row>
    <row r="6" spans="1:16">
      <c r="A6" s="16" t="s">
        <v>617</v>
      </c>
      <c r="B6" s="769">
        <f>kWh_PV_kleiner_dan_10kW</f>
        <v>4686.1378678933788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24855.38886789338</v>
      </c>
      <c r="C8" s="21">
        <f>C5</f>
        <v>0</v>
      </c>
      <c r="D8" s="21">
        <f>D5</f>
        <v>31764.939338</v>
      </c>
      <c r="E8" s="21">
        <f>E5</f>
        <v>1755.6388413022407</v>
      </c>
      <c r="F8" s="21">
        <f>F5</f>
        <v>53802.38228154336</v>
      </c>
      <c r="G8" s="21"/>
      <c r="H8" s="21"/>
      <c r="I8" s="21"/>
      <c r="J8" s="21">
        <f>J5</f>
        <v>1018.9099904868677</v>
      </c>
      <c r="K8" s="21"/>
      <c r="L8" s="21">
        <f>L5</f>
        <v>0</v>
      </c>
      <c r="M8" s="21">
        <f>M5</f>
        <v>0</v>
      </c>
      <c r="N8" s="21">
        <f>N5</f>
        <v>8461.7069907220466</v>
      </c>
      <c r="O8" s="21">
        <f>O5</f>
        <v>267.33000000000004</v>
      </c>
      <c r="P8" s="21">
        <f>P5</f>
        <v>419.4666666666667</v>
      </c>
    </row>
    <row r="9" spans="1:16">
      <c r="B9" s="19"/>
      <c r="C9" s="19"/>
      <c r="D9" s="257"/>
      <c r="E9" s="19"/>
      <c r="F9" s="19"/>
      <c r="G9" s="19"/>
      <c r="H9" s="19"/>
      <c r="I9" s="19"/>
      <c r="J9" s="19"/>
      <c r="K9" s="19"/>
      <c r="L9" s="19"/>
      <c r="M9" s="19"/>
      <c r="N9" s="19"/>
      <c r="O9" s="19"/>
      <c r="P9" s="19"/>
    </row>
    <row r="10" spans="1:16">
      <c r="A10" s="24" t="s">
        <v>207</v>
      </c>
      <c r="B10" s="25">
        <f ca="1">'EF ele_warmte'!B12</f>
        <v>0.20099054740955374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4995.6982146352184</v>
      </c>
      <c r="C12" s="23">
        <f ca="1">C10*C8</f>
        <v>0</v>
      </c>
      <c r="D12" s="23">
        <f>D8*D10</f>
        <v>6416.5177462760003</v>
      </c>
      <c r="E12" s="23">
        <f>E10*E8</f>
        <v>398.53001697560865</v>
      </c>
      <c r="F12" s="23">
        <f>F10*F8</f>
        <v>14365.236069172079</v>
      </c>
      <c r="G12" s="23"/>
      <c r="H12" s="23"/>
      <c r="I12" s="23"/>
      <c r="J12" s="23">
        <f>J10*J8</f>
        <v>360.69413663235116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5081</v>
      </c>
      <c r="C26" s="36"/>
      <c r="D26" s="227"/>
    </row>
    <row r="27" spans="1:5" s="15" customFormat="1">
      <c r="A27" s="229" t="s">
        <v>722</v>
      </c>
      <c r="B27" s="37">
        <f>SUM(HH_hh_gas_aantal,HH_rest_gas_aantal)</f>
        <v>2107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2001.65</v>
      </c>
      <c r="C31" s="34" t="s">
        <v>104</v>
      </c>
      <c r="D31" s="173"/>
    </row>
    <row r="32" spans="1:5">
      <c r="A32" s="170" t="s">
        <v>72</v>
      </c>
      <c r="B32" s="33">
        <f>IF((B21*($B$26-($B$27-0.05*$B$27)-$B$60))&lt;0,0,B21*($B$26-($B$27-0.05*$B$27)-$B$60))</f>
        <v>76.560819753767433</v>
      </c>
      <c r="C32" s="34" t="s">
        <v>104</v>
      </c>
      <c r="D32" s="173"/>
    </row>
    <row r="33" spans="1:6">
      <c r="A33" s="170" t="s">
        <v>73</v>
      </c>
      <c r="B33" s="33">
        <f>IF((B22*($B$26-($B$27-0.05*$B$27)-$B$60))&lt;0,0,B22*($B$26-($B$27-0.05*$B$27)-$B$60))</f>
        <v>515.3441104968872</v>
      </c>
      <c r="C33" s="34" t="s">
        <v>104</v>
      </c>
      <c r="D33" s="173"/>
    </row>
    <row r="34" spans="1:6">
      <c r="A34" s="170" t="s">
        <v>74</v>
      </c>
      <c r="B34" s="33">
        <f>IF((B24*($B$26-($B$27-0.05*$B$27)-$B$60))&lt;0,0,B24*($B$26-($B$27-0.05*$B$27)-$B$60))</f>
        <v>130.74978607399547</v>
      </c>
      <c r="C34" s="33">
        <f>B26*C24</f>
        <v>1039.3697036218255</v>
      </c>
      <c r="D34" s="232"/>
    </row>
    <row r="35" spans="1:6">
      <c r="A35" s="170" t="s">
        <v>76</v>
      </c>
      <c r="B35" s="33">
        <f>IF((B19*($B$26-($B$27-0.05*$B$27)-$B$60))&lt;0,0,B19*($B$26-($B$27-0.05*$B$27)-$B$60))</f>
        <v>48.59091533549293</v>
      </c>
      <c r="C35" s="33">
        <f>B35/2</f>
        <v>24.295457667746465</v>
      </c>
      <c r="D35" s="232"/>
    </row>
    <row r="36" spans="1:6">
      <c r="A36" s="170" t="s">
        <v>77</v>
      </c>
      <c r="B36" s="33">
        <f>IF((B18*($B$26-($B$27-0.05*$B$27)-$B$60))&lt;0,0,B18*($B$26-($B$27-0.05*$B$27)-$B$60))</f>
        <v>2286.104368339857</v>
      </c>
      <c r="C36" s="34" t="s">
        <v>104</v>
      </c>
      <c r="D36" s="173"/>
    </row>
    <row r="37" spans="1:6">
      <c r="A37" s="170" t="s">
        <v>78</v>
      </c>
      <c r="B37" s="33">
        <f>B60</f>
        <v>22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41795.031000000003</v>
      </c>
      <c r="C5" s="17">
        <f>IF(ISERROR('Eigen informatie GS &amp; warmtenet'!B58),0,'Eigen informatie GS &amp; warmtenet'!B58)</f>
        <v>0</v>
      </c>
      <c r="D5" s="30">
        <f>SUM(D6:D12)</f>
        <v>27787.373702000001</v>
      </c>
      <c r="E5" s="17">
        <f>SUM(E6:E12)</f>
        <v>297.18923653182861</v>
      </c>
      <c r="F5" s="17">
        <f>SUM(F6:F12)</f>
        <v>6968.4059120493839</v>
      </c>
      <c r="G5" s="18"/>
      <c r="H5" s="17"/>
      <c r="I5" s="17"/>
      <c r="J5" s="17">
        <f>SUM(J6:J12)</f>
        <v>0</v>
      </c>
      <c r="K5" s="17"/>
      <c r="L5" s="17"/>
      <c r="M5" s="17"/>
      <c r="N5" s="17">
        <f>SUM(N6:N12)</f>
        <v>1114.2254188455136</v>
      </c>
      <c r="O5" s="17">
        <f>B38*B39*B40</f>
        <v>9.3800000000000008</v>
      </c>
      <c r="P5" s="17">
        <f>B46*B47*B48/1000-B46*B47*B48/1000/B49</f>
        <v>0</v>
      </c>
      <c r="R5" s="32"/>
    </row>
    <row r="6" spans="1:18">
      <c r="A6" s="32" t="s">
        <v>53</v>
      </c>
      <c r="B6" s="37">
        <f>B26</f>
        <v>34220.608999999997</v>
      </c>
      <c r="C6" s="33"/>
      <c r="D6" s="37">
        <f>IF(ISERROR(TER_kantoor_gas_kWh/1000),0,TER_kantoor_gas_kWh/1000)*0.902</f>
        <v>20653.493586000001</v>
      </c>
      <c r="E6" s="33">
        <f>$C$26*'E Balans VL '!I12/100/3.6*1000000</f>
        <v>132.9543108900497</v>
      </c>
      <c r="F6" s="33">
        <f>$C$26*('E Balans VL '!L12+'E Balans VL '!N12)/100/3.6*1000000</f>
        <v>5204.6432461836848</v>
      </c>
      <c r="G6" s="34"/>
      <c r="H6" s="33"/>
      <c r="I6" s="33"/>
      <c r="J6" s="33">
        <f>$C$26*('E Balans VL '!D12+'E Balans VL '!E12)/100/3.6*1000000</f>
        <v>0</v>
      </c>
      <c r="K6" s="33"/>
      <c r="L6" s="33"/>
      <c r="M6" s="33"/>
      <c r="N6" s="33">
        <f>$C$26*'E Balans VL '!Y12/100/3.6*1000000</f>
        <v>18.859655086999354</v>
      </c>
      <c r="O6" s="33"/>
      <c r="P6" s="33"/>
      <c r="R6" s="32"/>
    </row>
    <row r="7" spans="1:18">
      <c r="A7" s="32" t="s">
        <v>52</v>
      </c>
      <c r="B7" s="37">
        <f t="shared" ref="B7:B12" si="0">B27</f>
        <v>1907.0619999999999</v>
      </c>
      <c r="C7" s="33"/>
      <c r="D7" s="37">
        <f>IF(ISERROR(TER_horeca_gas_kWh/1000),0,TER_horeca_gas_kWh/1000)*0.902</f>
        <v>577.40537800000004</v>
      </c>
      <c r="E7" s="33">
        <f>$C$27*'E Balans VL '!I9/100/3.6*1000000</f>
        <v>107.42531232390327</v>
      </c>
      <c r="F7" s="33">
        <f>$C$27*('E Balans VL '!L9+'E Balans VL '!N9)/100/3.6*1000000</f>
        <v>549.88250732879692</v>
      </c>
      <c r="G7" s="34"/>
      <c r="H7" s="33"/>
      <c r="I7" s="33"/>
      <c r="J7" s="33">
        <f>$C$27*('E Balans VL '!D9+'E Balans VL '!E9)/100/3.6*1000000</f>
        <v>0</v>
      </c>
      <c r="K7" s="33"/>
      <c r="L7" s="33"/>
      <c r="M7" s="33"/>
      <c r="N7" s="33">
        <f>$C$27*'E Balans VL '!Y9/100/3.6*1000000</f>
        <v>0.52652990817344403</v>
      </c>
      <c r="O7" s="33"/>
      <c r="P7" s="33"/>
      <c r="R7" s="32"/>
    </row>
    <row r="8" spans="1:18">
      <c r="A8" s="6" t="s">
        <v>51</v>
      </c>
      <c r="B8" s="37">
        <f t="shared" si="0"/>
        <v>3395.3150000000001</v>
      </c>
      <c r="C8" s="33"/>
      <c r="D8" s="37">
        <f>IF(ISERROR(TER_handel_gas_kWh/1000),0,TER_handel_gas_kWh/1000)*0.902</f>
        <v>1126.356264</v>
      </c>
      <c r="E8" s="33">
        <f>$C$28*'E Balans VL '!I13/100/3.6*1000000</f>
        <v>48.93800830791897</v>
      </c>
      <c r="F8" s="33">
        <f>$C$28*('E Balans VL '!L13+'E Balans VL '!N13)/100/3.6*1000000</f>
        <v>589.84528705069238</v>
      </c>
      <c r="G8" s="34"/>
      <c r="H8" s="33"/>
      <c r="I8" s="33"/>
      <c r="J8" s="33">
        <f>$C$28*('E Balans VL '!D13+'E Balans VL '!E13)/100/3.6*1000000</f>
        <v>0</v>
      </c>
      <c r="K8" s="33"/>
      <c r="L8" s="33"/>
      <c r="M8" s="33"/>
      <c r="N8" s="33">
        <f>$C$28*'E Balans VL '!Y13/100/3.6*1000000</f>
        <v>10.172741714252128</v>
      </c>
      <c r="O8" s="33"/>
      <c r="P8" s="33"/>
      <c r="R8" s="32"/>
    </row>
    <row r="9" spans="1:18">
      <c r="A9" s="32" t="s">
        <v>50</v>
      </c>
      <c r="B9" s="37">
        <f t="shared" si="0"/>
        <v>500.36200000000002</v>
      </c>
      <c r="C9" s="33"/>
      <c r="D9" s="37">
        <f>IF(ISERROR(TER_gezond_gas_kWh/1000),0,TER_gezond_gas_kWh/1000)*0.902</f>
        <v>1290.7827459999999</v>
      </c>
      <c r="E9" s="33">
        <f>$C$29*'E Balans VL '!I10/100/3.6*1000000</f>
        <v>0.53451630506771985</v>
      </c>
      <c r="F9" s="33">
        <f>$C$29*('E Balans VL '!L10+'E Balans VL '!N10)/100/3.6*1000000</f>
        <v>81.624248771810258</v>
      </c>
      <c r="G9" s="34"/>
      <c r="H9" s="33"/>
      <c r="I9" s="33"/>
      <c r="J9" s="33">
        <f>$C$29*('E Balans VL '!D10+'E Balans VL '!E10)/100/3.6*1000000</f>
        <v>0</v>
      </c>
      <c r="K9" s="33"/>
      <c r="L9" s="33"/>
      <c r="M9" s="33"/>
      <c r="N9" s="33">
        <f>$C$29*'E Balans VL '!Y10/100/3.6*1000000</f>
        <v>5.1509412891386308</v>
      </c>
      <c r="O9" s="33"/>
      <c r="P9" s="33"/>
      <c r="R9" s="32"/>
    </row>
    <row r="10" spans="1:18">
      <c r="A10" s="32" t="s">
        <v>49</v>
      </c>
      <c r="B10" s="37">
        <f t="shared" si="0"/>
        <v>1550.8810000000001</v>
      </c>
      <c r="C10" s="33"/>
      <c r="D10" s="37">
        <f>IF(ISERROR(TER_ander_gas_kWh/1000),0,TER_ander_gas_kWh/1000)*0.902</f>
        <v>3551.7584960000004</v>
      </c>
      <c r="E10" s="33">
        <f>$C$30*'E Balans VL '!I14/100/3.6*1000000</f>
        <v>7.1322658124877032</v>
      </c>
      <c r="F10" s="33">
        <f>$C$30*('E Balans VL '!L14+'E Balans VL '!N14)/100/3.6*1000000</f>
        <v>464.84795488351301</v>
      </c>
      <c r="G10" s="34"/>
      <c r="H10" s="33"/>
      <c r="I10" s="33"/>
      <c r="J10" s="33">
        <f>$C$30*('E Balans VL '!D14+'E Balans VL '!E14)/100/3.6*1000000</f>
        <v>0</v>
      </c>
      <c r="K10" s="33"/>
      <c r="L10" s="33"/>
      <c r="M10" s="33"/>
      <c r="N10" s="33">
        <f>$C$30*'E Balans VL '!Y14/100/3.6*1000000</f>
        <v>1079.51555084695</v>
      </c>
      <c r="O10" s="33"/>
      <c r="P10" s="33"/>
      <c r="R10" s="32"/>
    </row>
    <row r="11" spans="1:18">
      <c r="A11" s="32" t="s">
        <v>54</v>
      </c>
      <c r="B11" s="37">
        <f t="shared" si="0"/>
        <v>220.80199999999999</v>
      </c>
      <c r="C11" s="33"/>
      <c r="D11" s="37">
        <f>IF(ISERROR(TER_onderwijs_gas_kWh/1000),0,TER_onderwijs_gas_kWh/1000)*0.902</f>
        <v>587.57723200000009</v>
      </c>
      <c r="E11" s="33">
        <f>$C$31*'E Balans VL '!I11/100/3.6*1000000</f>
        <v>0.20482289240124932</v>
      </c>
      <c r="F11" s="33">
        <f>$C$31*('E Balans VL '!L11+'E Balans VL '!N11)/100/3.6*1000000</f>
        <v>77.562667830886667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41795.031000000003</v>
      </c>
      <c r="C16" s="21">
        <f t="shared" ca="1" si="1"/>
        <v>0</v>
      </c>
      <c r="D16" s="21">
        <f t="shared" ca="1" si="1"/>
        <v>27787.373702000001</v>
      </c>
      <c r="E16" s="21">
        <f t="shared" si="1"/>
        <v>297.18923653182861</v>
      </c>
      <c r="F16" s="21">
        <f t="shared" ca="1" si="1"/>
        <v>6968.4059120493839</v>
      </c>
      <c r="G16" s="21">
        <f t="shared" si="1"/>
        <v>0</v>
      </c>
      <c r="H16" s="21">
        <f t="shared" si="1"/>
        <v>0</v>
      </c>
      <c r="I16" s="21">
        <f t="shared" si="1"/>
        <v>0</v>
      </c>
      <c r="J16" s="21">
        <f t="shared" si="1"/>
        <v>0</v>
      </c>
      <c r="K16" s="21">
        <f t="shared" si="1"/>
        <v>0</v>
      </c>
      <c r="L16" s="21">
        <f t="shared" ca="1" si="1"/>
        <v>0</v>
      </c>
      <c r="M16" s="21">
        <f t="shared" si="1"/>
        <v>0</v>
      </c>
      <c r="N16" s="21">
        <f t="shared" ca="1" si="1"/>
        <v>1114.2254188455136</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0.20099054740955374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8400.4061596892698</v>
      </c>
      <c r="C20" s="23">
        <f t="shared" ref="C20:P20" ca="1" si="2">C16*C18</f>
        <v>0</v>
      </c>
      <c r="D20" s="23">
        <f t="shared" ca="1" si="2"/>
        <v>5613.0494878040008</v>
      </c>
      <c r="E20" s="23">
        <f t="shared" si="2"/>
        <v>67.461956692725096</v>
      </c>
      <c r="F20" s="23">
        <f t="shared" ca="1" si="2"/>
        <v>1860.5643785171856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34220.608999999997</v>
      </c>
      <c r="C26" s="39">
        <f>IF(ISERROR(B26*3.6/1000000/'E Balans VL '!Z12*100),0,B26*3.6/1000000/'E Balans VL '!Z12*100)</f>
        <v>0.72686268584613944</v>
      </c>
      <c r="D26" s="235" t="s">
        <v>672</v>
      </c>
      <c r="F26" s="6"/>
    </row>
    <row r="27" spans="1:18">
      <c r="A27" s="230" t="s">
        <v>52</v>
      </c>
      <c r="B27" s="33">
        <f>IF(ISERROR(TER_horeca_ele_kWh/1000),0,TER_horeca_ele_kWh/1000)</f>
        <v>1907.0619999999999</v>
      </c>
      <c r="C27" s="39">
        <f>IF(ISERROR(B27*3.6/1000000/'E Balans VL '!Z9*100),0,B27*3.6/1000000/'E Balans VL '!Z9*100)</f>
        <v>0.1482856846568949</v>
      </c>
      <c r="D27" s="235" t="s">
        <v>672</v>
      </c>
      <c r="F27" s="6"/>
    </row>
    <row r="28" spans="1:18">
      <c r="A28" s="170" t="s">
        <v>51</v>
      </c>
      <c r="B28" s="33">
        <f>IF(ISERROR(TER_handel_ele_kWh/1000),0,TER_handel_ele_kWh/1000)</f>
        <v>3395.3150000000001</v>
      </c>
      <c r="C28" s="39">
        <f>IF(ISERROR(B28*3.6/1000000/'E Balans VL '!Z13*100),0,B28*3.6/1000000/'E Balans VL '!Z13*100)</f>
        <v>9.7143958036026212E-2</v>
      </c>
      <c r="D28" s="235" t="s">
        <v>672</v>
      </c>
      <c r="F28" s="6"/>
    </row>
    <row r="29" spans="1:18">
      <c r="A29" s="230" t="s">
        <v>50</v>
      </c>
      <c r="B29" s="33">
        <f>IF(ISERROR(TER_gezond_ele_kWh/1000),0,TER_gezond_ele_kWh/1000)</f>
        <v>500.36200000000002</v>
      </c>
      <c r="C29" s="39">
        <f>IF(ISERROR(B29*3.6/1000000/'E Balans VL '!Z10*100),0,B29*3.6/1000000/'E Balans VL '!Z10*100)</f>
        <v>5.4551085018430451E-2</v>
      </c>
      <c r="D29" s="235" t="s">
        <v>672</v>
      </c>
      <c r="F29" s="6"/>
    </row>
    <row r="30" spans="1:18">
      <c r="A30" s="230" t="s">
        <v>49</v>
      </c>
      <c r="B30" s="33">
        <f>IF(ISERROR(TER_ander_ele_kWh/1000),0,TER_ander_ele_kWh/1000)</f>
        <v>1550.8810000000001</v>
      </c>
      <c r="C30" s="39">
        <f>IF(ISERROR(B30*3.6/1000000/'E Balans VL '!Z14*100),0,B30*3.6/1000000/'E Balans VL '!Z14*100)</f>
        <v>0.11348995348984942</v>
      </c>
      <c r="D30" s="235" t="s">
        <v>672</v>
      </c>
      <c r="F30" s="6"/>
    </row>
    <row r="31" spans="1:18">
      <c r="A31" s="230" t="s">
        <v>54</v>
      </c>
      <c r="B31" s="33">
        <f>IF(ISERROR(TER_onderwijs_ele_kWh/1000),0,TER_onderwijs_ele_kWh/1000)</f>
        <v>220.80199999999999</v>
      </c>
      <c r="C31" s="39">
        <f>IF(ISERROR(B31*3.6/1000000/'E Balans VL '!Z11*100),0,B31*3.6/1000000/'E Balans VL '!Z11*100)</f>
        <v>4.4348245663043934E-2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20826.344999999998</v>
      </c>
      <c r="C5" s="17">
        <f>IF(ISERROR('Eigen informatie GS &amp; warmtenet'!B59),0,'Eigen informatie GS &amp; warmtenet'!B59)</f>
        <v>0</v>
      </c>
      <c r="D5" s="30">
        <f>SUM(D6:D15)</f>
        <v>41292.338692000005</v>
      </c>
      <c r="E5" s="17">
        <f>SUM(E6:E15)</f>
        <v>2445.0774208375506</v>
      </c>
      <c r="F5" s="17">
        <f>SUM(F6:F15)</f>
        <v>24326.620290878815</v>
      </c>
      <c r="G5" s="18"/>
      <c r="H5" s="17"/>
      <c r="I5" s="17"/>
      <c r="J5" s="17">
        <f>SUM(J6:J15)</f>
        <v>0.34636225893678357</v>
      </c>
      <c r="K5" s="17"/>
      <c r="L5" s="17"/>
      <c r="M5" s="17"/>
      <c r="N5" s="17">
        <f>SUM(N6:N15)</f>
        <v>4563.4760548546183</v>
      </c>
      <c r="O5" s="17">
        <f>B43*B44*B45</f>
        <v>0</v>
      </c>
      <c r="P5" s="17">
        <f>B51*B52*B53/1000-B51*B52*B53/1000/B54</f>
        <v>0</v>
      </c>
      <c r="R5" s="32"/>
    </row>
    <row r="6" spans="1:18">
      <c r="A6" s="6" t="s">
        <v>34</v>
      </c>
      <c r="B6" s="37">
        <f>IF( ISERROR(IND_ijzer_ele_kWh/1000),0,IND_ijzer_ele_kWh/1000)</f>
        <v>1474.16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361.16800000000001</v>
      </c>
      <c r="C8" s="33"/>
      <c r="D8" s="37">
        <f>IF( ISERROR(IND_metaal_Gas_kWH/1000),0,IND_metaal_Gas_kWH/1000)*0.902</f>
        <v>123.48831</v>
      </c>
      <c r="E8" s="33">
        <f>C30*'E Balans VL '!I18/100/3.6*1000000</f>
        <v>10.374100618361787</v>
      </c>
      <c r="F8" s="33">
        <f>C30*'E Balans VL '!L18/100/3.6*1000000+C30*'E Balans VL '!N18/100/3.6*1000000</f>
        <v>92.632645741104213</v>
      </c>
      <c r="G8" s="34"/>
      <c r="H8" s="33"/>
      <c r="I8" s="33"/>
      <c r="J8" s="40">
        <f>C30*'E Balans VL '!D18/100/3.6*1000000+C30*'E Balans VL '!E18/100/3.6*1000000</f>
        <v>0</v>
      </c>
      <c r="K8" s="33"/>
      <c r="L8" s="33"/>
      <c r="M8" s="33"/>
      <c r="N8" s="33">
        <f>C30*'E Balans VL '!Y18/100/3.6*1000000</f>
        <v>9.8064484483396637</v>
      </c>
      <c r="O8" s="33"/>
      <c r="P8" s="33"/>
      <c r="R8" s="32"/>
    </row>
    <row r="9" spans="1:18">
      <c r="A9" s="6" t="s">
        <v>32</v>
      </c>
      <c r="B9" s="37">
        <f t="shared" si="0"/>
        <v>4724.1139999999996</v>
      </c>
      <c r="C9" s="33"/>
      <c r="D9" s="37">
        <f>IF( ISERROR(IND_andere_gas_kWh/1000),0,IND_andere_gas_kWh/1000)*0.902</f>
        <v>693.15813600000001</v>
      </c>
      <c r="E9" s="33">
        <f>C31*'E Balans VL '!I19/100/3.6*1000000</f>
        <v>1278.7015078180114</v>
      </c>
      <c r="F9" s="33">
        <f>C31*'E Balans VL '!L19/100/3.6*1000000+C31*'E Balans VL '!N19/100/3.6*1000000</f>
        <v>3146.7598396887124</v>
      </c>
      <c r="G9" s="34"/>
      <c r="H9" s="33"/>
      <c r="I9" s="33"/>
      <c r="J9" s="40">
        <f>C31*'E Balans VL '!D19/100/3.6*1000000+C31*'E Balans VL '!E19/100/3.6*1000000</f>
        <v>0</v>
      </c>
      <c r="K9" s="33"/>
      <c r="L9" s="33"/>
      <c r="M9" s="33"/>
      <c r="N9" s="33">
        <f>C31*'E Balans VL '!Y19/100/3.6*1000000</f>
        <v>399.39254501829356</v>
      </c>
      <c r="O9" s="33"/>
      <c r="P9" s="33"/>
      <c r="R9" s="32"/>
    </row>
    <row r="10" spans="1:18">
      <c r="A10" s="6" t="s">
        <v>40</v>
      </c>
      <c r="B10" s="37">
        <f t="shared" si="0"/>
        <v>14130.51</v>
      </c>
      <c r="C10" s="33"/>
      <c r="D10" s="37">
        <f>IF( ISERROR(IND_voed_gas_kWh/1000),0,IND_voed_gas_kWh/1000)*0.902</f>
        <v>40369.594496000005</v>
      </c>
      <c r="E10" s="33">
        <f>C32*'E Balans VL '!I20/100/3.6*1000000</f>
        <v>1152.5168596019676</v>
      </c>
      <c r="F10" s="33">
        <f>C32*'E Balans VL '!L20/100/3.6*1000000+C32*'E Balans VL '!N20/100/3.6*1000000</f>
        <v>21069.872442200511</v>
      </c>
      <c r="G10" s="34"/>
      <c r="H10" s="33"/>
      <c r="I10" s="33"/>
      <c r="J10" s="40">
        <f>C32*'E Balans VL '!D20/100/3.6*1000000+C32*'E Balans VL '!E20/100/3.6*1000000</f>
        <v>0.18692949516182983</v>
      </c>
      <c r="K10" s="33"/>
      <c r="L10" s="33"/>
      <c r="M10" s="33"/>
      <c r="N10" s="33">
        <f>C32*'E Balans VL '!Y20/100/3.6*1000000</f>
        <v>4151.0452260663578</v>
      </c>
      <c r="O10" s="33"/>
      <c r="P10" s="33"/>
      <c r="R10" s="32"/>
    </row>
    <row r="11" spans="1:18">
      <c r="A11" s="6" t="s">
        <v>39</v>
      </c>
      <c r="B11" s="37">
        <f t="shared" si="0"/>
        <v>74.188999999999993</v>
      </c>
      <c r="C11" s="33"/>
      <c r="D11" s="37">
        <f>IF( ISERROR(IND_textiel_gas_kWh/1000),0,IND_textiel_gas_kWh/1000)*0.902</f>
        <v>0</v>
      </c>
      <c r="E11" s="33">
        <f>C33*'E Balans VL '!I21/100/3.6*1000000</f>
        <v>1.4705777685406405E-2</v>
      </c>
      <c r="F11" s="33">
        <f>C33*'E Balans VL '!L21/100/3.6*1000000+C33*'E Balans VL '!N21/100/3.6*1000000</f>
        <v>2.7324703793142424</v>
      </c>
      <c r="G11" s="34"/>
      <c r="H11" s="33"/>
      <c r="I11" s="33"/>
      <c r="J11" s="40">
        <f>C33*'E Balans VL '!D21/100/3.6*1000000+C33*'E Balans VL '!E21/100/3.6*1000000</f>
        <v>0</v>
      </c>
      <c r="K11" s="33"/>
      <c r="L11" s="33"/>
      <c r="M11" s="33"/>
      <c r="N11" s="33">
        <f>C33*'E Balans VL '!Y21/100/3.6*1000000</f>
        <v>0.34496012159183792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62.204000000000001</v>
      </c>
      <c r="C15" s="33"/>
      <c r="D15" s="37">
        <f>IF( ISERROR(IND_rest_gas_kWh/1000),0,IND_rest_gas_kWh/1000)*0.902</f>
        <v>106.09775</v>
      </c>
      <c r="E15" s="33">
        <f>C37*'E Balans VL '!I15/100/3.6*1000000</f>
        <v>3.4702470215247292</v>
      </c>
      <c r="F15" s="33">
        <f>C37*'E Balans VL '!L15/100/3.6*1000000+C37*'E Balans VL '!N15/100/3.6*1000000</f>
        <v>14.622892869174946</v>
      </c>
      <c r="G15" s="34"/>
      <c r="H15" s="33"/>
      <c r="I15" s="33"/>
      <c r="J15" s="40">
        <f>C37*'E Balans VL '!D15/100/3.6*1000000+C37*'E Balans VL '!E15/100/3.6*1000000</f>
        <v>0.15943276377495375</v>
      </c>
      <c r="K15" s="33"/>
      <c r="L15" s="33"/>
      <c r="M15" s="33"/>
      <c r="N15" s="33">
        <f>C37*'E Balans VL '!Y15/100/3.6*1000000</f>
        <v>2.8868752000356346</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20826.344999999998</v>
      </c>
      <c r="C18" s="21">
        <f>C5+C16</f>
        <v>0</v>
      </c>
      <c r="D18" s="21">
        <f>MAX((D5+D16),0)</f>
        <v>41292.338692000005</v>
      </c>
      <c r="E18" s="21">
        <f>MAX((E5+E16),0)</f>
        <v>2445.0774208375506</v>
      </c>
      <c r="F18" s="21">
        <f>MAX((F5+F16),0)</f>
        <v>24326.620290878815</v>
      </c>
      <c r="G18" s="21"/>
      <c r="H18" s="21"/>
      <c r="I18" s="21"/>
      <c r="J18" s="21">
        <f>MAX((J5+J16),0)</f>
        <v>0.34636225893678357</v>
      </c>
      <c r="K18" s="21"/>
      <c r="L18" s="21">
        <f>MAX((L5+L16),0)</f>
        <v>0</v>
      </c>
      <c r="M18" s="21"/>
      <c r="N18" s="21">
        <f>MAX((N5+N16),0)</f>
        <v>4563.4760548546183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0.20099054740955374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4185.8984820902224</v>
      </c>
      <c r="C22" s="23">
        <f ca="1">C18*C20</f>
        <v>0</v>
      </c>
      <c r="D22" s="23">
        <f>D18*D20</f>
        <v>8341.0524157840009</v>
      </c>
      <c r="E22" s="23">
        <f>E18*E20</f>
        <v>555.03257453012395</v>
      </c>
      <c r="F22" s="23">
        <f>F18*F20</f>
        <v>6495.2076176646442</v>
      </c>
      <c r="G22" s="23"/>
      <c r="H22" s="23"/>
      <c r="I22" s="23"/>
      <c r="J22" s="23">
        <f>J18*J20</f>
        <v>0.12261223966362138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361.16800000000001</v>
      </c>
      <c r="C30" s="39">
        <f>IF(ISERROR(B30*3.6/1000000/'E Balans VL '!Z18*100),0,B30*3.6/1000000/'E Balans VL '!Z18*100)</f>
        <v>3.5538009236308232E-2</v>
      </c>
      <c r="D30" s="235" t="s">
        <v>672</v>
      </c>
    </row>
    <row r="31" spans="1:18">
      <c r="A31" s="6" t="s">
        <v>32</v>
      </c>
      <c r="B31" s="37">
        <f>IF( ISERROR(IND_ander_ele_kWh/1000),0,IND_ander_ele_kWh/1000)</f>
        <v>4724.1139999999996</v>
      </c>
      <c r="C31" s="39">
        <f>IF(ISERROR(B31*3.6/1000000/'E Balans VL '!Z19*100),0,B31*3.6/1000000/'E Balans VL '!Z19*100)</f>
        <v>0.20573139631138324</v>
      </c>
      <c r="D31" s="235" t="s">
        <v>672</v>
      </c>
    </row>
    <row r="32" spans="1:18">
      <c r="A32" s="170" t="s">
        <v>40</v>
      </c>
      <c r="B32" s="37">
        <f>IF( ISERROR(IND_voed_ele_kWh/1000),0,IND_voed_ele_kWh/1000)</f>
        <v>14130.51</v>
      </c>
      <c r="C32" s="39">
        <f>IF(ISERROR(B32*3.6/1000000/'E Balans VL '!Z20*100),0,B32*3.6/1000000/'E Balans VL '!Z20*100)</f>
        <v>2.6810604883767364</v>
      </c>
      <c r="D32" s="235" t="s">
        <v>672</v>
      </c>
    </row>
    <row r="33" spans="1:5">
      <c r="A33" s="170" t="s">
        <v>39</v>
      </c>
      <c r="B33" s="37">
        <f>IF( ISERROR(IND_textiel_ele_kWh/1000),0,IND_textiel_ele_kWh/1000)</f>
        <v>74.188999999999993</v>
      </c>
      <c r="C33" s="39">
        <f>IF(ISERROR(B33*3.6/1000000/'E Balans VL '!Z21*100),0,B33*3.6/1000000/'E Balans VL '!Z21*100)</f>
        <v>4.2358156686357071E-3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62.204000000000001</v>
      </c>
      <c r="C37" s="39">
        <f>IF(ISERROR(B37*3.6/1000000/'E Balans VL '!Z15*100),0,B37*3.6/1000000/'E Balans VL '!Z15*100)</f>
        <v>4.7935822226068695E-4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3247.2379999999998</v>
      </c>
      <c r="C5" s="17">
        <f>'Eigen informatie GS &amp; warmtenet'!B60</f>
        <v>0</v>
      </c>
      <c r="D5" s="30">
        <f>IF(ISERROR(SUM(LB_lb_gas_kWh,LB_rest_gas_kWh)/1000),0,SUM(LB_lb_gas_kWh,LB_rest_gas_kWh)/1000)*0.902</f>
        <v>9.2103219999999997</v>
      </c>
      <c r="E5" s="17">
        <f>B17*'E Balans VL '!I25/3.6*1000000/100</f>
        <v>40.91938209309356</v>
      </c>
      <c r="F5" s="17">
        <f>B17*('E Balans VL '!L25/3.6*1000000+'E Balans VL '!N25/3.6*1000000)/100</f>
        <v>11203.784581726526</v>
      </c>
      <c r="G5" s="18"/>
      <c r="H5" s="17"/>
      <c r="I5" s="17"/>
      <c r="J5" s="17">
        <f>('E Balans VL '!D25+'E Balans VL '!E25)/3.6*1000000*landbouw!B17/100</f>
        <v>488.34768190120764</v>
      </c>
      <c r="K5" s="17"/>
      <c r="L5" s="17">
        <f>L6*(-1)</f>
        <v>0</v>
      </c>
      <c r="M5" s="17"/>
      <c r="N5" s="17">
        <f>N6*(-1)</f>
        <v>239.03571428571428</v>
      </c>
      <c r="O5" s="17"/>
      <c r="P5" s="17"/>
      <c r="R5" s="32"/>
    </row>
    <row r="6" spans="1:18">
      <c r="A6" s="16" t="s">
        <v>484</v>
      </c>
      <c r="B6" s="17" t="s">
        <v>204</v>
      </c>
      <c r="C6" s="17">
        <f>'lokale energieproductie'!O40+'lokale energieproductie'!O33</f>
        <v>119.51785714285712</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-239.03571428571428</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3247.2379999999998</v>
      </c>
      <c r="C8" s="21">
        <f>C5+C6</f>
        <v>119.51785714285712</v>
      </c>
      <c r="D8" s="21">
        <f>MAX((D5+D6),0)</f>
        <v>9.2103219999999997</v>
      </c>
      <c r="E8" s="21">
        <f>MAX((E5+E6),0)</f>
        <v>40.91938209309356</v>
      </c>
      <c r="F8" s="21">
        <f>MAX((F5+F6),0)</f>
        <v>11203.784581726526</v>
      </c>
      <c r="G8" s="21"/>
      <c r="H8" s="21"/>
      <c r="I8" s="21"/>
      <c r="J8" s="21">
        <f>MAX((J5+J6),0)</f>
        <v>488.34768190120764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0.20099054740955374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652.66414318910449</v>
      </c>
      <c r="C12" s="23">
        <f ca="1">C8*C10</f>
        <v>0</v>
      </c>
      <c r="D12" s="23">
        <f>D8*D10</f>
        <v>1.860485044</v>
      </c>
      <c r="E12" s="23">
        <f>E8*E10</f>
        <v>9.2886997351322389</v>
      </c>
      <c r="F12" s="23">
        <f>F8*F10</f>
        <v>2991.4104833209826</v>
      </c>
      <c r="G12" s="23"/>
      <c r="H12" s="23"/>
      <c r="I12" s="23"/>
      <c r="J12" s="23">
        <f>J8*J10</f>
        <v>172.87507939302751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0.45288735399910474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704.95505283455839</v>
      </c>
      <c r="C26" s="245">
        <f>B26*'GWP N2O_CH4'!B5</f>
        <v>14804.056109525725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313.45173035290105</v>
      </c>
      <c r="C27" s="245">
        <f>B27*'GWP N2O_CH4'!B5</f>
        <v>6582.4863374109218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9.4906875369703148</v>
      </c>
      <c r="C28" s="245">
        <f>B28*'GWP N2O_CH4'!B4</f>
        <v>2942.1131364607977</v>
      </c>
      <c r="D28" s="50"/>
    </row>
    <row r="29" spans="1:4">
      <c r="A29" s="41" t="s">
        <v>266</v>
      </c>
      <c r="B29" s="245">
        <f>B34*'ha_N2O bodem landbouw'!B4</f>
        <v>19.037370801548448</v>
      </c>
      <c r="C29" s="245">
        <f>B29*'GWP N2O_CH4'!B4</f>
        <v>5901.5849484800192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4.7534412624283305E-3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1.6971107807857321E-5</v>
      </c>
      <c r="C5" s="434" t="s">
        <v>204</v>
      </c>
      <c r="D5" s="419">
        <f>SUM(D6:D11)</f>
        <v>1.7695198403964874E-5</v>
      </c>
      <c r="E5" s="419">
        <f>SUM(E6:E11)</f>
        <v>6.2327945397343027E-4</v>
      </c>
      <c r="F5" s="432" t="s">
        <v>204</v>
      </c>
      <c r="G5" s="419">
        <f>SUM(G6:G11)</f>
        <v>0.17021820653469097</v>
      </c>
      <c r="H5" s="419">
        <f>SUM(H6:H11)</f>
        <v>3.0062967441706223E-2</v>
      </c>
      <c r="I5" s="434" t="s">
        <v>204</v>
      </c>
      <c r="J5" s="434" t="s">
        <v>204</v>
      </c>
      <c r="K5" s="434" t="s">
        <v>204</v>
      </c>
      <c r="L5" s="434" t="s">
        <v>204</v>
      </c>
      <c r="M5" s="419">
        <f>SUM(M6:M11)</f>
        <v>9.0559365618878337E-3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1.1071917794686185E-5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9.8637648638061192E-6</v>
      </c>
      <c r="E6" s="873">
        <f>vkm_GW_PW*SUMIFS(TableVerdeelsleutelVkm[LPG],TableVerdeelsleutelVkm[Voertuigtype],"Lichte voertuigen")*SUMIFS(TableECFTransport[EnergieConsumptieFactor (PJ per km)],TableECFTransport[Index],CONCATENATE($A6,"_LPG_LPG"))</f>
        <v>3.550199117967718E-4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6.9585819227374626E-2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1.7059546623763445E-2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3.9195387803844768E-3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3.1142014493373753E-7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4.8732888918586466E-2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1.110853127960332E-6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2.2003650237623065E-3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5.5752929452090112E-6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7.8314335401587545E-6</v>
      </c>
      <c r="E8" s="422">
        <f>vkm_NGW_PW*SUMIFS(TableVerdeelsleutelVkm[LPG],TableVerdeelsleutelVkm[Voertuigtype],"Lichte voertuigen")*SUMIFS(TableECFTransport[EnergieConsumptieFactor (PJ per km)],TableECFTransport[Index],CONCATENATE($A8,"_LPG_LPG"))</f>
        <v>2.6825954217665852E-4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4.9391524553137625E-2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1.3002256245077313E-2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2.822794031928214E-3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1.2476923028389297E-8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2.5079738355922422E-3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5.3719737506703142E-8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1.132387258128367E-4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4.7141966132937005</v>
      </c>
      <c r="C14" s="21"/>
      <c r="D14" s="21">
        <f t="shared" ref="D14:M14" si="0">((D5)*10^9/3600)+D12</f>
        <v>4.9153328899902426</v>
      </c>
      <c r="E14" s="21">
        <f t="shared" si="0"/>
        <v>173.13318165928618</v>
      </c>
      <c r="F14" s="21"/>
      <c r="G14" s="21">
        <f t="shared" si="0"/>
        <v>47282.835148525272</v>
      </c>
      <c r="H14" s="21">
        <f t="shared" si="0"/>
        <v>8350.8242893628394</v>
      </c>
      <c r="I14" s="21"/>
      <c r="J14" s="21"/>
      <c r="K14" s="21"/>
      <c r="L14" s="21"/>
      <c r="M14" s="21">
        <f t="shared" si="0"/>
        <v>2515.5379338577318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0.20099054740955374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0.94750895790216516</v>
      </c>
      <c r="C18" s="23"/>
      <c r="D18" s="23">
        <f t="shared" ref="D18:M18" si="1">D14*D16</f>
        <v>0.99289724377802913</v>
      </c>
      <c r="E18" s="23">
        <f t="shared" si="1"/>
        <v>39.301232236657967</v>
      </c>
      <c r="F18" s="23"/>
      <c r="G18" s="23">
        <f t="shared" si="1"/>
        <v>12624.516984656248</v>
      </c>
      <c r="H18" s="23">
        <f t="shared" si="1"/>
        <v>2079.3552480513472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1.9435016334091383E-5</v>
      </c>
      <c r="C50" s="316">
        <f t="shared" ref="C50:P50" si="2">SUM(C51:C52)</f>
        <v>0</v>
      </c>
      <c r="D50" s="316">
        <f t="shared" si="2"/>
        <v>0</v>
      </c>
      <c r="E50" s="316">
        <f t="shared" si="2"/>
        <v>0</v>
      </c>
      <c r="F50" s="316">
        <f t="shared" si="2"/>
        <v>0</v>
      </c>
      <c r="G50" s="316">
        <f t="shared" si="2"/>
        <v>3.7829158668773E-3</v>
      </c>
      <c r="H50" s="316">
        <f t="shared" si="2"/>
        <v>0</v>
      </c>
      <c r="I50" s="316">
        <f t="shared" si="2"/>
        <v>0</v>
      </c>
      <c r="J50" s="316">
        <f t="shared" si="2"/>
        <v>0</v>
      </c>
      <c r="K50" s="316">
        <f t="shared" si="2"/>
        <v>0</v>
      </c>
      <c r="L50" s="316">
        <f t="shared" si="2"/>
        <v>0</v>
      </c>
      <c r="M50" s="316">
        <f t="shared" si="2"/>
        <v>1.6962912606577479E-4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1.9435016334091383E-5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3.7829158668773E-3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1.6962912606577479E-4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5.3986156483587173</v>
      </c>
      <c r="C54" s="21">
        <f t="shared" ref="C54:P54" si="3">(C50)*10^9/3600</f>
        <v>0</v>
      </c>
      <c r="D54" s="21">
        <f t="shared" si="3"/>
        <v>0</v>
      </c>
      <c r="E54" s="21">
        <f t="shared" si="3"/>
        <v>0</v>
      </c>
      <c r="F54" s="21">
        <f t="shared" si="3"/>
        <v>0</v>
      </c>
      <c r="G54" s="21">
        <f t="shared" si="3"/>
        <v>1050.8099630214722</v>
      </c>
      <c r="H54" s="21">
        <f t="shared" si="3"/>
        <v>0</v>
      </c>
      <c r="I54" s="21">
        <f t="shared" si="3"/>
        <v>0</v>
      </c>
      <c r="J54" s="21">
        <f t="shared" si="3"/>
        <v>0</v>
      </c>
      <c r="K54" s="21">
        <f t="shared" si="3"/>
        <v>0</v>
      </c>
      <c r="L54" s="21">
        <f t="shared" si="3"/>
        <v>0</v>
      </c>
      <c r="M54" s="21">
        <f t="shared" si="3"/>
        <v>47.119201684937444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0.20099054740955374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1.0850707144174014</v>
      </c>
      <c r="C58" s="23">
        <f t="shared" ref="C58:P58" ca="1" si="4">C54*C56</f>
        <v>0</v>
      </c>
      <c r="D58" s="23">
        <f t="shared" si="4"/>
        <v>0</v>
      </c>
      <c r="E58" s="23">
        <f t="shared" si="4"/>
        <v>0</v>
      </c>
      <c r="F58" s="23">
        <f t="shared" si="4"/>
        <v>0</v>
      </c>
      <c r="G58" s="23">
        <f t="shared" si="4"/>
        <v>280.56626012673308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309.81165919282512</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7925.0621467316614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83.662499999999994</v>
      </c>
      <c r="C8" s="546">
        <f>B49</f>
        <v>0</v>
      </c>
      <c r="D8" s="1001"/>
      <c r="E8" s="1001">
        <f>E49</f>
        <v>0</v>
      </c>
      <c r="F8" s="1002"/>
      <c r="G8" s="547"/>
      <c r="H8" s="1001">
        <f>I49</f>
        <v>0</v>
      </c>
      <c r="I8" s="1001">
        <f>G49+F49</f>
        <v>0</v>
      </c>
      <c r="J8" s="1001">
        <f>H49+D49+C49</f>
        <v>98.42647058823529</v>
      </c>
      <c r="K8" s="1001"/>
      <c r="L8" s="1001"/>
      <c r="M8" s="1001"/>
      <c r="N8" s="548"/>
      <c r="O8" s="549">
        <f>C8*$C$12+D8*$D$12+E8*$E$12+F8*$F$12+G8*$G$12+H8*$H$12+I8*$I$12+J8*$J$12</f>
        <v>0</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8318.5363059244864</v>
      </c>
      <c r="C10" s="559">
        <f t="shared" ref="C10:L10" si="0">SUM(C8:C9)</f>
        <v>0</v>
      </c>
      <c r="D10" s="559">
        <f t="shared" si="0"/>
        <v>0</v>
      </c>
      <c r="E10" s="559">
        <f t="shared" si="0"/>
        <v>0</v>
      </c>
      <c r="F10" s="559">
        <f t="shared" si="0"/>
        <v>0</v>
      </c>
      <c r="G10" s="559">
        <f t="shared" si="0"/>
        <v>0</v>
      </c>
      <c r="H10" s="559">
        <f t="shared" si="0"/>
        <v>0</v>
      </c>
      <c r="I10" s="559">
        <f t="shared" si="0"/>
        <v>0</v>
      </c>
      <c r="J10" s="559">
        <f t="shared" si="0"/>
        <v>98.42647058823529</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119.51785714285712</v>
      </c>
      <c r="C17" s="571">
        <f>B50</f>
        <v>0</v>
      </c>
      <c r="D17" s="572"/>
      <c r="E17" s="572">
        <f>E50</f>
        <v>0</v>
      </c>
      <c r="F17" s="1007"/>
      <c r="G17" s="573"/>
      <c r="H17" s="571">
        <f>I50</f>
        <v>0</v>
      </c>
      <c r="I17" s="572">
        <f>G50+F50</f>
        <v>0</v>
      </c>
      <c r="J17" s="572">
        <f>H50+D50+C50</f>
        <v>140.60924369747897</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119.51785714285712</v>
      </c>
      <c r="C20" s="558">
        <f>SUM(C17:C19)</f>
        <v>0</v>
      </c>
      <c r="D20" s="558">
        <f t="shared" ref="D20:L20" si="1">SUM(D17:D19)</f>
        <v>0</v>
      </c>
      <c r="E20" s="558">
        <f t="shared" si="1"/>
        <v>0</v>
      </c>
      <c r="F20" s="558">
        <f t="shared" si="1"/>
        <v>0</v>
      </c>
      <c r="G20" s="558">
        <f t="shared" si="1"/>
        <v>0</v>
      </c>
      <c r="H20" s="558">
        <f t="shared" si="1"/>
        <v>0</v>
      </c>
      <c r="I20" s="558">
        <f t="shared" si="1"/>
        <v>0</v>
      </c>
      <c r="J20" s="558">
        <f t="shared" si="1"/>
        <v>140.60924369747897</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72003</v>
      </c>
      <c r="C28" s="777">
        <v>3950</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83" customFormat="1" ht="25.5" hidden="1">
      <c r="A29" s="582"/>
      <c r="B29" s="777">
        <v>72003</v>
      </c>
      <c r="C29" s="777">
        <v>3950</v>
      </c>
      <c r="D29" s="630"/>
      <c r="E29" s="629"/>
      <c r="F29" s="629"/>
      <c r="G29" s="629" t="s">
        <v>926</v>
      </c>
      <c r="H29" s="629" t="s">
        <v>927</v>
      </c>
      <c r="I29" s="629"/>
      <c r="J29" s="776"/>
      <c r="K29" s="776"/>
      <c r="L29" s="629" t="s">
        <v>928</v>
      </c>
      <c r="M29" s="629">
        <v>9.6999999999999993</v>
      </c>
      <c r="N29" s="629">
        <v>40.012499999999996</v>
      </c>
      <c r="O29" s="629">
        <v>57.160714285714278</v>
      </c>
      <c r="P29" s="629">
        <v>0</v>
      </c>
      <c r="Q29" s="629">
        <v>114.32142857142857</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19.399999999999999</v>
      </c>
      <c r="N30" s="587">
        <f>SUM(N28:N29)</f>
        <v>83.662499999999994</v>
      </c>
      <c r="O30" s="587">
        <f>SUM(O28:O29)</f>
        <v>119.51785714285712</v>
      </c>
      <c r="P30" s="587">
        <f>SUM(P28:P29)</f>
        <v>0</v>
      </c>
      <c r="Q30" s="587">
        <f>SUM(Q28:Q29)</f>
        <v>239.03571428571428</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19.399999999999999</v>
      </c>
      <c r="N33" s="592">
        <f>SUMIF($Z$28:$Z$29,"landbouw",N28:N29)</f>
        <v>83.662499999999994</v>
      </c>
      <c r="O33" s="592">
        <f>SUMIF($Z$28:$Z$29,"landbouw",O28:O29)</f>
        <v>119.51785714285712</v>
      </c>
      <c r="P33" s="592">
        <f>SUMIF($Z$28:$Z$29,"landbouw",P28:P29)</f>
        <v>0</v>
      </c>
      <c r="Q33" s="592">
        <f>SUMIF($Z$28:$Z$29,"landbouw",Q28:Q29)</f>
        <v>239.03571428571428</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0</v>
      </c>
      <c r="C49" s="621">
        <f t="shared" si="2"/>
        <v>98.42647058823529</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0</v>
      </c>
      <c r="C50" s="624">
        <f t="shared" si="3"/>
        <v>140.60924369747897</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2021-11-11T13:27:48Z</dcterms:modified>
</cp:coreProperties>
</file>