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25C2DCD-B82E-41C9-86EA-9F87D003F44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D10" i="18"/>
  <c r="B6" i="18"/>
  <c r="B5" i="18"/>
  <c r="B4" i="18"/>
  <c r="B17" i="18" l="1"/>
  <c r="J9" i="18"/>
  <c r="O9" i="18" s="1"/>
  <c r="F20" i="18"/>
  <c r="I49" i="18"/>
  <c r="H17" i="18" s="1"/>
  <c r="G49" i="18"/>
  <c r="F49" i="18"/>
  <c r="C49" i="18"/>
  <c r="B49" i="18"/>
  <c r="C17" i="18" s="1"/>
  <c r="C20" i="18" s="1"/>
  <c r="B20" i="18"/>
  <c r="C45" i="18"/>
  <c r="E48" i="18" s="1"/>
  <c r="E8" i="18" s="1"/>
  <c r="E10" i="18" s="1"/>
  <c r="O18" i="18"/>
  <c r="H20" i="18"/>
  <c r="G20" i="18"/>
  <c r="K20" i="18"/>
  <c r="B10" i="18"/>
  <c r="O19" i="18"/>
  <c r="D49" i="18"/>
  <c r="H49" i="18"/>
  <c r="E49" i="18"/>
  <c r="E17" i="18" s="1"/>
  <c r="E20" i="18" s="1"/>
  <c r="N6" i="17"/>
  <c r="I17" i="18" l="1"/>
  <c r="I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R44" i="14"/>
  <c r="Q26" i="14"/>
  <c r="I26" i="14"/>
  <c r="E25" i="14"/>
  <c r="E55" i="14" s="1"/>
  <c r="C25" i="14"/>
  <c r="B14" i="48" s="1"/>
  <c r="P26" i="14"/>
  <c r="N26" i="14"/>
  <c r="L26" i="14"/>
  <c r="J26" i="14"/>
  <c r="H26" i="14"/>
  <c r="P27"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5" i="16"/>
  <c r="B34" i="13"/>
  <c r="B33" i="13"/>
  <c r="B36" i="13"/>
  <c r="B32" i="13"/>
  <c r="B35" i="13"/>
  <c r="C35" i="13" s="1"/>
  <c r="C34" i="13"/>
  <c r="B67" i="22"/>
  <c r="G51"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<sst xmlns="http://schemas.openxmlformats.org/spreadsheetml/2006/main" count="2511" uniqueCount="926">
  <si>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</si>
  <si>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</si>
  <si>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</si>
  <si>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</si>
  <si>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</si>
  <si>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</si>
  <si>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</si>
  <si>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</si>
  <si>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</si>
  <si>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</si>
  <si>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</si>
  <si>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</si>
  <si>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</si>
  <si>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</si>
  <si>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</si>
  <si>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</si>
  <si>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</si>
  <si>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</si>
  <si>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</si>
  <si>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</si>
  <si>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</si>
  <si>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</si>
  <si>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</si>
  <si>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</si>
  <si>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</si>
  <si>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</si>
  <si>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</si>
  <si>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</si>
  <si>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</si>
  <si>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</si>
  <si>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</si>
  <si>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</si>
  <si>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</si>
  <si>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</si>
  <si>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</si>
  <si>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</si>
  <si>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</si>
  <si>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</si>
  <si>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</si>
  <si>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</si>
  <si>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</si>
  <si>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</si>
  <si>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</si>
  <si>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</si>
  <si>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</si>
  <si>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</si>
  <si>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</si>
  <si>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</si>
  <si>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</si>
  <si>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</si>
  <si>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</si>
  <si>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</si>
  <si>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</si>
  <si>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</si>
  <si>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</si>
  <si>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</si>
  <si>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</si>
  <si>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</si>
  <si>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</si>
  <si>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</si>
  <si>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</si>
  <si>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</si>
  <si>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</si>
  <si>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</si>
  <si>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</si>
  <si>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</si>
  <si>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</si>
  <si>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</si>
  <si>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</si>
  <si>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</si>
  <si>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</si>
  <si>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</si>
  <si>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</si>
  <si>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</si>
  <si>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</si>
  <si>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</si>
  <si>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</si>
  <si>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</si>
  <si>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</si>
  <si>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</si>
  <si>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</si>
  <si>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</si>
  <si>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</si>
  <si>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</si>
  <si>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</si>
  <si>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</si>
  <si>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</si>
  <si>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</si>
  <si>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</si>
  <si>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</si>
  <si>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</si>
  <si>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</si>
  <si>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</si>
  <si>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</si>
  <si>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</si>
  <si>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</si>
  <si>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</si>
  <si>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</si>
  <si>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</si>
  <si>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</si>
  <si>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</si>
  <si>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</si>
  <si>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</si>
  <si>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</si>
  <si>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</si>
  <si>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</si>
  <si>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</si>
  <si>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</si>
  <si>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</si>
  <si>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</si>
  <si>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</si>
  <si>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</si>
  <si>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</si>
  <si>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</si>
  <si>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</si>
  <si>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</si>
  <si>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</si>
  <si>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</si>
  <si>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</si>
  <si>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</si>
  <si>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</si>
  <si>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</si>
  <si>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</si>
  <si>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</si>
  <si>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</si>
  <si>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</si>
  <si>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</si>
  <si>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</si>
  <si>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</si>
  <si>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</si>
  <si>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</si>
  <si>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</si>
  <si>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</si>
  <si>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</si>
  <si>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</si>
  <si>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</si>
  <si>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</si>
  <si>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</si>
  <si>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</si>
  <si>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</si>
  <si>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</si>
  <si>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</si>
  <si>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</si>
  <si>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</si>
  <si>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</si>
  <si>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</si>
  <si>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</si>
  <si>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</si>
  <si>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</si>
  <si>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</si>
  <si>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</si>
  <si>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</si>
  <si>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</si>
  <si>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</si>
  <si>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</si>
  <si>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</si>
  <si>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</si>
  <si>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</si>
  <si>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</si>
  <si>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</si>
  <si>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</si>
  <si>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</si>
  <si>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</si>
  <si>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</si>
  <si>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</si>
  <si>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</si>
  <si>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</si>
  <si>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</si>
  <si>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</si>
  <si>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</si>
  <si>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</si>
  <si>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</si>
  <si>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</si>
  <si>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</si>
  <si>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</si>
  <si>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</si>
  <si>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</si>
  <si>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</si>
  <si>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</si>
  <si>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</si>
  <si>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</si>
  <si>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</si>
  <si>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</si>
  <si>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</si>
  <si>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</si>
  <si>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</si>
  <si>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</si>
  <si>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</si>
  <si>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</si>
  <si>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</si>
  <si>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</si>
  <si>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</si>
  <si>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</si>
  <si>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</si>
  <si>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</si>
  <si>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</si>
  <si>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</si>
  <si>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</si>
  <si>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</si>
  <si>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</si>
  <si>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</si>
  <si>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</si>
  <si>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</si>
  <si>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</si>
  <si>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</si>
  <si>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</si>
  <si>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</si>
  <si>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</si>
  <si>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</si>
  <si>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</si>
  <si>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</si>
  <si>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</si>
  <si>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</si>
  <si>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</si>
  <si>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</si>
  <si>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</si>
  <si>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</si>
  <si>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</si>
  <si>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</si>
  <si>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</si>
  <si>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</si>
  <si>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</si>
  <si>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</si>
  <si>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</si>
  <si>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</si>
  <si>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</si>
  <si>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</si>
  <si>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</si>
  <si>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</si>
  <si>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</si>
  <si>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</si>
  <si>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</si>
  <si>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</si>
  <si>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</si>
  <si>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</si>
  <si>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</si>
  <si>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</si>
  <si>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</si>
  <si>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</si>
  <si>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</si>
  <si>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</si>
  <si>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</si>
  <si>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</si>
  <si>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</si>
  <si>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</si>
  <si>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</si>
  <si>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</si>
  <si>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</si>
  <si>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</si>
  <si>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</si>
  <si>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</si>
  <si>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</si>
  <si>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</si>
  <si>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</si>
  <si>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</si>
  <si>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</si>
  <si>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</si>
  <si>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</si>
  <si>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</si>
  <si>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</si>
  <si>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</si>
  <si>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</si>
  <si>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</si>
  <si>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</si>
  <si>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</si>
  <si>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</si>
  <si>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</si>
  <si>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</si>
  <si>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</si>
  <si>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</si>
  <si>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</si>
  <si>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</si>
  <si>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</si>
  <si>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</si>
  <si>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</si>
  <si>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</si>
  <si>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</si>
  <si>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</si>
  <si>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</si>
  <si>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</si>
  <si>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</si>
  <si>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</si>
  <si>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</si>
  <si>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</si>
  <si>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</si>
  <si>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</si>
  <si>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</si>
  <si>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</si>
  <si>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</si>
  <si>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</si>
  <si>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</si>
  <si>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</si>
  <si>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</si>
  <si>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</si>
  <si>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</si>
  <si>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</si>
  <si>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</si>
  <si>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</si>
  <si>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</si>
  <si>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</si>
  <si>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</si>
  <si>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</si>
  <si>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</si>
  <si>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</si>
  <si>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</si>
  <si>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</si>
  <si>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</si>
  <si>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</si>
  <si>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</si>
  <si>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</si>
  <si>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</si>
  <si>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</si>
  <si>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</si>
  <si>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</si>
  <si>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</si>
  <si>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</si>
  <si>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</si>
  <si>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</si>
  <si>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</si>
  <si>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</si>
  <si>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</si>
  <si>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</si>
  <si>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</si>
  <si>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</si>
  <si>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</si>
  <si>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</si>
  <si>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</si>
  <si>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</si>
  <si>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</si>
  <si>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</si>
  <si>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</si>
  <si>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</si>
  <si>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</si>
  <si>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</si>
  <si>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</si>
  <si>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</si>
  <si>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</si>
  <si>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</si>
  <si>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</si>
  <si>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</si>
  <si>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</si>
  <si>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</si>
  <si>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</si>
  <si>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</si>
  <si>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</si>
  <si>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</si>
  <si>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</si>
  <si>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</si>
  <si>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</si>
  <si>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</si>
  <si>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</si>
  <si>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</si>
  <si>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</si>
  <si>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</si>
  <si>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</si>
  <si>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</si>
  <si>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</si>
  <si>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</si>
  <si>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</si>
  <si>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</si>
  <si>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</si>
  <si>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</si>
  <si>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</si>
  <si>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</si>
  <si>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</si>
  <si>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</si>
  <si>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</si>
  <si>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</si>
  <si>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</si>
  <si>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</si>
  <si>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</si>
  <si>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</si>
  <si>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</si>
  <si>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</si>
  <si>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</si>
  <si>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</si>
  <si>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</si>
  <si>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</si>
  <si>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</si>
  <si>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</si>
  <si>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</si>
  <si>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</si>
  <si>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</si>
  <si>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</si>
  <si>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</si>
  <si>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</si>
  <si>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</si>
  <si>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</si>
  <si>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</si>
  <si>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</si>
  <si>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</si>
  <si>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</si>
  <si>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</si>
  <si>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</si>
  <si>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</si>
  <si>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</si>
  <si>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</si>
  <si>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</si>
  <si>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</si>
  <si>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</si>
  <si>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</si>
  <si>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</si>
  <si>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</si>
  <si>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</si>
  <si>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</si>
  <si>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</si>
  <si>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</si>
  <si>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</si>
  <si>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</si>
  <si>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</si>
  <si>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</si>
  <si>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</si>
  <si>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</si>
  <si>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</si>
  <si>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</si>
  <si>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</si>
  <si>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</si>
  <si>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</si>
  <si>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</si>
  <si>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</si>
  <si>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</si>
  <si>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</si>
  <si>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</si>
  <si>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</si>
  <si>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</si>
  <si>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</si>
  <si>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</si>
  <si>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</si>
  <si>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</si>
  <si>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</si>
  <si>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</si>
  <si>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</si>
  <si>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</si>
  <si>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</si>
  <si>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</si>
  <si>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</si>
  <si>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</si>
  <si>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</si>
  <si>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</si>
  <si>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</si>
  <si>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</si>
  <si>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</si>
  <si>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</si>
  <si>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</si>
  <si>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</si>
  <si>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</si>
  <si>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</si>
  <si>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</si>
  <si>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</si>
  <si>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</si>
  <si>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</si>
  <si>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</si>
  <si>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</si>
  <si>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</si>
  <si>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</si>
  <si>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</si>
  <si>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</si>
  <si>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</si>
  <si>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</si>
  <si>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</si>
  <si>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</si>
  <si>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</si>
  <si>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</si>
  <si>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</si>
  <si>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</si>
  <si>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</si>
  <si>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</si>
  <si>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</si>
  <si>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</si>
  <si>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</si>
  <si>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</si>
  <si>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</si>
  <si>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</si>
  <si>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</si>
  <si>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</si>
  <si>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</si>
  <si>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</si>
  <si>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</si>
  <si>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</si>
  <si>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</si>
  <si>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</si>
  <si>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</si>
  <si>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</si>
  <si>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</si>
  <si>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</si>
  <si>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</si>
  <si>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</si>
  <si>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</si>
  <si>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</si>
  <si>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</si>
  <si>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</si>
  <si>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</si>
  <si>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</si>
  <si>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</si>
  <si>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</si>
  <si>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</si>
  <si>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</si>
  <si>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</si>
  <si>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</si>
  <si>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</si>
  <si>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</si>
  <si>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</si>
  <si>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</si>
  <si>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</si>
  <si>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</si>
  <si>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</si>
  <si>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</si>
  <si>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</si>
  <si>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</si>
  <si>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</si>
  <si>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</si>
  <si>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</si>
  <si>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</si>
  <si>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</si>
  <si>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</si>
  <si>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</si>
  <si>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</si>
  <si>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</si>
  <si>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</si>
  <si>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</si>
  <si>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</si>
  <si>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</si>
  <si>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</si>
  <si>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</si>
  <si>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</si>
  <si>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</si>
  <si>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</si>
  <si>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</si>
  <si>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</si>
  <si>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</si>
  <si>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</si>
  <si>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</si>
  <si>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</si>
  <si>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</si>
  <si>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</si>
  <si>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</si>
  <si>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</si>
  <si>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</si>
  <si>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</si>
  <si>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</si>
  <si>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</si>
  <si>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</si>
  <si>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</si>
  <si>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</si>
  <si>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</si>
  <si>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</si>
  <si>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</si>
  <si>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</si>
  <si>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</si>
  <si>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</si>
  <si>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</si>
  <si>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</si>
  <si>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</si>
  <si>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</si>
  <si>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</si>
  <si>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</si>
  <si>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</si>
  <si>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</si>
  <si>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</si>
  <si>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</si>
  <si>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</si>
  <si>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</si>
  <si>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</si>
  <si>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</si>
  <si>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</si>
  <si>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</si>
  <si>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</si>
  <si>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</si>
  <si>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</si>
  <si>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</si>
  <si>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</si>
  <si>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</si>
  <si>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</si>
  <si>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</si>
  <si>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</si>
  <si>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</si>
  <si>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</si>
  <si>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</si>
  <si>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</si>
  <si>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</si>
  <si>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</si>
  <si>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</si>
  <si>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</si>
  <si>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</si>
  <si>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</si>
  <si>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</si>
  <si>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</si>
  <si>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</si>
  <si>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</si>
  <si>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</si>
  <si>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</si>
  <si>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</si>
  <si>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</si>
  <si>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</si>
  <si>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</si>
  <si>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</si>
  <si>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</si>
  <si>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</si>
  <si>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</si>
  <si>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</si>
  <si>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</si>
  <si>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</si>
  <si>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</si>
  <si>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</si>
  <si>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</si>
  <si>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</si>
  <si>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</si>
  <si>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</si>
  <si>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</si>
  <si>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</si>
  <si>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</si>
  <si>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</si>
  <si>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</si>
  <si>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</si>
  <si>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</si>
  <si>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</si>
  <si>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</si>
  <si>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</si>
  <si>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</si>
  <si>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</si>
  <si>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</si>
  <si>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</si>
  <si>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</si>
  <si>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</si>
  <si>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</si>
  <si>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</si>
  <si>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</si>
  <si>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</si>
  <si>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</si>
  <si>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</si>
  <si>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</si>
  <si>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</si>
  <si>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</si>
  <si>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</si>
  <si>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</si>
  <si>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</si>
  <si>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</si>
  <si>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</si>
  <si>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</si>
  <si>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</si>
  <si>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</si>
  <si>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</si>
  <si>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</si>
  <si>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</si>
  <si>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</si>
  <si>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</si>
  <si>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</si>
  <si>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</si>
  <si>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</si>
  <si>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</si>
  <si>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</si>
  <si>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</si>
  <si>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</si>
  <si>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</si>
  <si>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</si>
  <si>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</si>
  <si>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</si>
  <si>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</si>
  <si>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</si>
  <si>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</si>
  <si>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</si>
  <si>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</si>
  <si>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</si>
  <si>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</si>
  <si>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</si>
  <si>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</si>
  <si>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</si>
  <si>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</si>
  <si>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</si>
  <si>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</si>
  <si>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</si>
  <si>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</si>
  <si>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</si>
  <si>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</si>
  <si>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</si>
  <si>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</si>
  <si>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</si>
  <si>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</si>
  <si>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</si>
  <si>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</si>
  <si>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</si>
  <si>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</si>
  <si>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</si>
  <si>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</si>
  <si>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</si>
  <si>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</si>
  <si>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</si>
  <si>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</si>
  <si>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</si>
  <si>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</si>
  <si>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</si>
  <si>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</si>
  <si>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</si>
  <si>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</si>
  <si>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</si>
  <si>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</si>
  <si>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</si>
  <si>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</si>
  <si>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</si>
  <si>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</si>
  <si>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</si>
  <si>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</si>
  <si>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</si>
  <si>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</si>
  <si>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</si>
  <si>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</si>
  <si>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</si>
  <si>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</si>
  <si>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</si>
  <si>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</si>
  <si>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</si>
  <si>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</si>
  <si>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</si>
  <si>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</si>
  <si>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</si>
  <si>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</si>
  <si>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</si>
  <si>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</si>
  <si>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</si>
  <si>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</si>
  <si>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</si>
  <si>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</si>
  <si>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</si>
  <si>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</si>
  <si>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</si>
  <si>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</si>
  <si>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</si>
  <si>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</si>
  <si>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</si>
  <si>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</si>
  <si>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</si>
  <si>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</si>
  <si>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</si>
  <si>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</si>
  <si>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</si>
  <si>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</si>
  <si>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</si>
  <si>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</si>
  <si>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</si>
  <si>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</si>
  <si>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</si>
  <si>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</si>
  <si>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</si>
  <si>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</si>
  <si>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</si>
  <si>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</si>
  <si>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</si>
  <si>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</si>
  <si>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</si>
  <si>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</si>
  <si>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</si>
  <si>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</si>
  <si>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</si>
  <si>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</si>
  <si>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</si>
  <si>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</si>
  <si>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</si>
  <si>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</si>
  <si>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</si>
  <si>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</si>
  <si>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</si>
  <si>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</si>
  <si>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</si>
  <si>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</si>
  <si>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</si>
  <si>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</si>
  <si>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</si>
  <si>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</si>
  <si>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</si>
  <si>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</si>
  <si>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</si>
  <si>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</si>
  <si>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</si>
  <si>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</si>
  <si>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</si>
  <si>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</si>
  <si>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</si>
  <si>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</si>
  <si>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</si>
  <si>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</si>
  <si>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</si>
  <si>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</si>
  <si>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</si>
  <si>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</si>
  <si>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</si>
  <si>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</si>
  <si>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</si>
  <si>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</si>
  <si>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</si>
  <si>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</si>
  <si>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</si>
  <si>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</si>
  <si>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</si>
  <si>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</si>
  <si>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</si>
  <si>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</si>
  <si>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</si>
  <si>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</si>
  <si>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</si>
  <si>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</si>
  <si>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</si>
  <si>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</si>
  <si>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</si>
  <si>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</si>
  <si>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</si>
  <si>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</si>
  <si>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</si>
  <si>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</si>
  <si>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</si>
  <si>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</si>
  <si>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</si>
  <si>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</si>
  <si>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</si>
  <si>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</si>
  <si>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</si>
  <si>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</si>
  <si>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</si>
  <si>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</si>
  <si>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</si>
  <si>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</si>
  <si>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</si>
  <si>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</si>
  <si>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</si>
  <si>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</si>
  <si>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</si>
  <si>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</si>
  <si>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</si>
  <si>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</si>
  <si>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</si>
  <si>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</si>
  <si>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</si>
  <si>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</si>
  <si>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</si>
  <si>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</si>
  <si>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</si>
  <si>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</si>
  <si>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</si>
  <si>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</si>
  <si>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</si>
  <si>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</si>
  <si>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</si>
  <si>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</si>
  <si>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</si>
  <si>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</si>
  <si>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</si>
  <si>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</si>
  <si>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</si>
  <si>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</si>
  <si>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</si>
  <si>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</si>
  <si>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</si>
  <si>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</si>
  <si>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</si>
  <si>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</si>
  <si>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</si>
  <si>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</si>
  <si>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</si>
  <si>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</si>
  <si>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</si>
  <si>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</si>
  <si>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</si>
  <si>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</si>
  <si>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</si>
  <si>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</si>
  <si>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</si>
  <si>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</si>
  <si>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</si>
  <si>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</si>
  <si>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</si>
  <si>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</si>
  <si>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</si>
  <si>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</si>
  <si>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</si>
  <si>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</si>
  <si>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</si>
  <si>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</si>
  <si>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</si>
  <si>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</si>
  <si>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</si>
  <si>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</si>
  <si>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</si>
  <si>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</si>
  <si>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</si>
  <si>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</si>
  <si>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</si>
  <si>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</si>
  <si>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</si>
  <si>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</si>
  <si>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</si>
  <si>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</si>
  <si>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</si>
  <si>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</si>
  <si>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</si>
  <si>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</si>
  <si>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</si>
  <si>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</si>
  <si>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</si>
  <si>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</si>
  <si>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</si>
  <si>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</si>
  <si>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</si>
  <si>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</si>
  <si>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</si>
  <si>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</si>
  <si>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</si>
  <si>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</si>
  <si>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</si>
  <si>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</si>
  <si>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</si>
  <si>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</si>
  <si>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</si>
  <si>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</si>
  <si>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</si>
  <si>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</si>
  <si>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</si>
  <si>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</si>
  <si>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</si>
  <si>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</si>
  <si>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</si>
  <si>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71070</t>
  </si>
  <si>
    <t>HEUSDEN-ZOLDER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</si>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</sst>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3FEFB3C-61F5-48DD-88A7-3993B4CA60D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285745.8192330295</c:v>
                </c:pt>
                <c:pt idx="1">
                  <c:v>88637.83273092832</c:v>
                </c:pt>
                <c:pt idx="2">
                  <c:v>1907.383</c:v>
                </c:pt>
                <c:pt idx="3">
                  <c:v>16884.874029859729</c:v>
                </c:pt>
                <c:pt idx="4">
                  <c:v>80987.355090900732</c:v>
                </c:pt>
                <c:pt idx="5">
                  <c:v>275952.82123393269</c:v>
                </c:pt>
                <c:pt idx="6">
                  <c:v>3612.6235335012511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285745.8192330295</c:v>
                </c:pt>
                <c:pt idx="1">
                  <c:v>88637.83273092832</c:v>
                </c:pt>
                <c:pt idx="2">
                  <c:v>1907.383</c:v>
                </c:pt>
                <c:pt idx="3">
                  <c:v>16884.874029859729</c:v>
                </c:pt>
                <c:pt idx="4">
                  <c:v>80987.355090900732</c:v>
                </c:pt>
                <c:pt idx="5">
                  <c:v>275952.82123393269</c:v>
                </c:pt>
                <c:pt idx="6">
                  <c:v>3612.6235335012511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60005.9099231828</c:v>
                </c:pt>
                <c:pt idx="2">
                  <c:v>16638.269288035983</c:v>
                </c:pt>
                <c:pt idx="3">
                  <c:v>352.83022305448958</c:v>
                </c:pt>
                <c:pt idx="4">
                  <c:v>4236.9962401797056</c:v>
                </c:pt>
                <c:pt idx="5">
                  <c:v>16445.543963941956</c:v>
                </c:pt>
                <c:pt idx="6">
                  <c:v>69830.022805569824</c:v>
                </c:pt>
                <c:pt idx="7">
                  <c:v>921.9272944184504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60005.9099231828</c:v>
                </c:pt>
                <c:pt idx="2">
                  <c:v>16638.269288035983</c:v>
                </c:pt>
                <c:pt idx="3">
                  <c:v>352.83022305448958</c:v>
                </c:pt>
                <c:pt idx="4">
                  <c:v>4236.9962401797056</c:v>
                </c:pt>
                <c:pt idx="5">
                  <c:v>16445.543963941956</c:v>
                </c:pt>
                <c:pt idx="6">
                  <c:v>69830.022805569824</c:v>
                </c:pt>
                <c:pt idx="7">
                  <c:v>921.9272944184504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71070</v>
      </c>
      <c r="B6" s="385"/>
      <c r="C6" s="386"/>
    </row>
    <row r="7" spans="1:7" s="383" customFormat="1" ht="15.75" customHeight="1">
      <c r="A7" s="387" t="str">
        <f>txtMunicipality</f>
        <v>HEUSDEN-ZOLDER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42974.128000000004</v>
      </c>
      <c r="D10" s="676">
        <f ca="1">tertiair!C16</f>
        <v>0</v>
      </c>
      <c r="E10" s="676">
        <f ca="1">tertiair!D16</f>
        <v>33049.404475999996</v>
      </c>
      <c r="F10" s="676">
        <f>tertiair!E16</f>
        <v>491.03829117148655</v>
      </c>
      <c r="G10" s="676">
        <f ca="1">tertiair!F16</f>
        <v>8442.8585667207626</v>
      </c>
      <c r="H10" s="676">
        <f>tertiair!G16</f>
        <v>0</v>
      </c>
      <c r="I10" s="676">
        <f>tertiair!H16</f>
        <v>0</v>
      </c>
      <c r="J10" s="676">
        <f>tertiair!I16</f>
        <v>0</v>
      </c>
      <c r="K10" s="676">
        <f>tertiair!J16</f>
        <v>0</v>
      </c>
      <c r="L10" s="676">
        <f>tertiair!K16</f>
        <v>0</v>
      </c>
      <c r="M10" s="676">
        <f ca="1">tertiair!L16</f>
        <v>0</v>
      </c>
      <c r="N10" s="676">
        <f>tertiair!M16</f>
        <v>0</v>
      </c>
      <c r="O10" s="676">
        <f ca="1">tertiair!N16</f>
        <v>5432.1263970360751</v>
      </c>
      <c r="P10" s="676">
        <f>tertiair!O16</f>
        <v>3.1266666666666669</v>
      </c>
      <c r="Q10" s="677">
        <f>tertiair!P16</f>
        <v>152.53333333333333</v>
      </c>
      <c r="R10" s="679">
        <f ca="1">SUM(C10:Q10)</f>
        <v>90545.215730928321</v>
      </c>
      <c r="S10" s="67"/>
    </row>
    <row r="11" spans="1:19" s="444" customFormat="1">
      <c r="A11" s="791" t="s">
        <v>214</v>
      </c>
      <c r="B11" s="796"/>
      <c r="C11" s="676">
        <f>huishoudens!B8</f>
        <v>55606.318119247037</v>
      </c>
      <c r="D11" s="676">
        <f>huishoudens!C8</f>
        <v>0</v>
      </c>
      <c r="E11" s="676">
        <f>huishoudens!D8</f>
        <v>92545.511190000005</v>
      </c>
      <c r="F11" s="676">
        <f>huishoudens!E8</f>
        <v>3601.4326527859953</v>
      </c>
      <c r="G11" s="676">
        <f>huishoudens!F8</f>
        <v>110367.60624565571</v>
      </c>
      <c r="H11" s="676">
        <f>huishoudens!G8</f>
        <v>0</v>
      </c>
      <c r="I11" s="676">
        <f>huishoudens!H8</f>
        <v>0</v>
      </c>
      <c r="J11" s="676">
        <f>huishoudens!I8</f>
        <v>0</v>
      </c>
      <c r="K11" s="676">
        <f>huishoudens!J8</f>
        <v>2090.1427011419983</v>
      </c>
      <c r="L11" s="676">
        <f>huishoudens!K8</f>
        <v>0</v>
      </c>
      <c r="M11" s="676">
        <f>huishoudens!L8</f>
        <v>0</v>
      </c>
      <c r="N11" s="676">
        <f>huishoudens!M8</f>
        <v>0</v>
      </c>
      <c r="O11" s="676">
        <f>huishoudens!N8</f>
        <v>19773.934990865408</v>
      </c>
      <c r="P11" s="676">
        <f>huishoudens!O8</f>
        <v>559.6733333333334</v>
      </c>
      <c r="Q11" s="677">
        <f>huishoudens!P8</f>
        <v>1201.2</v>
      </c>
      <c r="R11" s="679">
        <f>SUM(C11:Q11)</f>
        <v>285745.8192330295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33966.648000000001</v>
      </c>
      <c r="D13" s="676">
        <f>industrie!C18</f>
        <v>0</v>
      </c>
      <c r="E13" s="676">
        <f>industrie!D18</f>
        <v>24551.076175999999</v>
      </c>
      <c r="F13" s="676">
        <f>industrie!E18</f>
        <v>3321.0397331760691</v>
      </c>
      <c r="G13" s="676">
        <f>industrie!F18</f>
        <v>16582.291314831764</v>
      </c>
      <c r="H13" s="676">
        <f>industrie!G18</f>
        <v>0</v>
      </c>
      <c r="I13" s="676">
        <f>industrie!H18</f>
        <v>0</v>
      </c>
      <c r="J13" s="676">
        <f>industrie!I18</f>
        <v>0</v>
      </c>
      <c r="K13" s="676">
        <f>industrie!J18</f>
        <v>61.252624442993351</v>
      </c>
      <c r="L13" s="676">
        <f>industrie!K18</f>
        <v>0</v>
      </c>
      <c r="M13" s="676">
        <f>industrie!L18</f>
        <v>0</v>
      </c>
      <c r="N13" s="676">
        <f>industrie!M18</f>
        <v>0</v>
      </c>
      <c r="O13" s="676">
        <f>industrie!N18</f>
        <v>2505.0472424499017</v>
      </c>
      <c r="P13" s="676">
        <f>industrie!O18</f>
        <v>0</v>
      </c>
      <c r="Q13" s="677">
        <f>industrie!P18</f>
        <v>0</v>
      </c>
      <c r="R13" s="679">
        <f>SUM(C13:Q13)</f>
        <v>80987.355090900732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132547.09411924705</v>
      </c>
      <c r="D16" s="711">
        <f t="shared" ref="D16:R16" ca="1" si="0">SUM(D9:D15)</f>
        <v>0</v>
      </c>
      <c r="E16" s="711">
        <f t="shared" ca="1" si="0"/>
        <v>150145.99184199999</v>
      </c>
      <c r="F16" s="711">
        <f t="shared" si="0"/>
        <v>7413.5106771335504</v>
      </c>
      <c r="G16" s="711">
        <f t="shared" ca="1" si="0"/>
        <v>135392.75612720824</v>
      </c>
      <c r="H16" s="711">
        <f t="shared" si="0"/>
        <v>0</v>
      </c>
      <c r="I16" s="711">
        <f t="shared" si="0"/>
        <v>0</v>
      </c>
      <c r="J16" s="711">
        <f t="shared" si="0"/>
        <v>0</v>
      </c>
      <c r="K16" s="711">
        <f t="shared" si="0"/>
        <v>2151.3953255849915</v>
      </c>
      <c r="L16" s="711">
        <f t="shared" si="0"/>
        <v>0</v>
      </c>
      <c r="M16" s="711">
        <f t="shared" ca="1" si="0"/>
        <v>0</v>
      </c>
      <c r="N16" s="711">
        <f t="shared" si="0"/>
        <v>0</v>
      </c>
      <c r="O16" s="711">
        <f t="shared" ca="1" si="0"/>
        <v>27711.108630351384</v>
      </c>
      <c r="P16" s="711">
        <f t="shared" si="0"/>
        <v>562.80000000000007</v>
      </c>
      <c r="Q16" s="711">
        <f t="shared" si="0"/>
        <v>1353.7333333333333</v>
      </c>
      <c r="R16" s="711">
        <f t="shared" ca="1" si="0"/>
        <v>457278.39005485858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17.676674408866688</v>
      </c>
      <c r="D19" s="676">
        <f>transport!C54</f>
        <v>0</v>
      </c>
      <c r="E19" s="676">
        <f>transport!D54</f>
        <v>0</v>
      </c>
      <c r="F19" s="676">
        <f>transport!E54</f>
        <v>0</v>
      </c>
      <c r="G19" s="676">
        <f>transport!F54</f>
        <v>0</v>
      </c>
      <c r="H19" s="676">
        <f>transport!G54</f>
        <v>3440.6645688086551</v>
      </c>
      <c r="I19" s="676">
        <f>transport!H54</f>
        <v>0</v>
      </c>
      <c r="J19" s="676">
        <f>transport!I54</f>
        <v>0</v>
      </c>
      <c r="K19" s="676">
        <f>transport!J54</f>
        <v>0</v>
      </c>
      <c r="L19" s="676">
        <f>transport!K54</f>
        <v>0</v>
      </c>
      <c r="M19" s="676">
        <f>transport!L54</f>
        <v>0</v>
      </c>
      <c r="N19" s="676">
        <f>transport!M54</f>
        <v>154.28229028372905</v>
      </c>
      <c r="O19" s="676">
        <f>transport!N54</f>
        <v>0</v>
      </c>
      <c r="P19" s="676">
        <f>transport!O54</f>
        <v>0</v>
      </c>
      <c r="Q19" s="677">
        <f>transport!P54</f>
        <v>0</v>
      </c>
      <c r="R19" s="679">
        <f>SUM(C19:Q19)</f>
        <v>3612.6235335012511</v>
      </c>
      <c r="S19" s="67"/>
    </row>
    <row r="20" spans="1:19" s="444" customFormat="1">
      <c r="A20" s="791" t="s">
        <v>296</v>
      </c>
      <c r="B20" s="796"/>
      <c r="C20" s="676">
        <f>transport!B14</f>
        <v>21.750980573225355</v>
      </c>
      <c r="D20" s="676">
        <f>transport!C14</f>
        <v>0</v>
      </c>
      <c r="E20" s="676">
        <f>transport!D14</f>
        <v>20.167213912721156</v>
      </c>
      <c r="F20" s="676">
        <f>transport!E14</f>
        <v>798.09911805415709</v>
      </c>
      <c r="G20" s="676">
        <f>transport!F14</f>
        <v>0</v>
      </c>
      <c r="H20" s="676">
        <f>transport!G14</f>
        <v>227816.02826353739</v>
      </c>
      <c r="I20" s="676">
        <f>transport!H14</f>
        <v>35397.098221373919</v>
      </c>
      <c r="J20" s="676">
        <f>transport!I14</f>
        <v>0</v>
      </c>
      <c r="K20" s="676">
        <f>transport!J14</f>
        <v>0</v>
      </c>
      <c r="L20" s="676">
        <f>transport!K14</f>
        <v>0</v>
      </c>
      <c r="M20" s="676">
        <f>transport!L14</f>
        <v>0</v>
      </c>
      <c r="N20" s="676">
        <f>transport!M14</f>
        <v>11899.677436481272</v>
      </c>
      <c r="O20" s="676">
        <f>transport!N14</f>
        <v>0</v>
      </c>
      <c r="P20" s="676">
        <f>transport!O14</f>
        <v>0</v>
      </c>
      <c r="Q20" s="677">
        <f>transport!P14</f>
        <v>0</v>
      </c>
      <c r="R20" s="679">
        <f>SUM(C20:Q20)</f>
        <v>275952.82123393269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39.427654982092044</v>
      </c>
      <c r="D22" s="794">
        <f t="shared" ref="D22:R22" si="1">SUM(D18:D21)</f>
        <v>0</v>
      </c>
      <c r="E22" s="794">
        <f t="shared" si="1"/>
        <v>20.167213912721156</v>
      </c>
      <c r="F22" s="794">
        <f t="shared" si="1"/>
        <v>798.09911805415709</v>
      </c>
      <c r="G22" s="794">
        <f t="shared" si="1"/>
        <v>0</v>
      </c>
      <c r="H22" s="794">
        <f t="shared" si="1"/>
        <v>231256.69283234605</v>
      </c>
      <c r="I22" s="794">
        <f t="shared" si="1"/>
        <v>35397.098221373919</v>
      </c>
      <c r="J22" s="794">
        <f t="shared" si="1"/>
        <v>0</v>
      </c>
      <c r="K22" s="794">
        <f t="shared" si="1"/>
        <v>0</v>
      </c>
      <c r="L22" s="794">
        <f t="shared" si="1"/>
        <v>0</v>
      </c>
      <c r="M22" s="794">
        <f t="shared" si="1"/>
        <v>0</v>
      </c>
      <c r="N22" s="794">
        <f t="shared" si="1"/>
        <v>12053.959726765001</v>
      </c>
      <c r="O22" s="794">
        <f t="shared" si="1"/>
        <v>0</v>
      </c>
      <c r="P22" s="794">
        <f t="shared" si="1"/>
        <v>0</v>
      </c>
      <c r="Q22" s="794">
        <f t="shared" si="1"/>
        <v>0</v>
      </c>
      <c r="R22" s="794">
        <f t="shared" si="1"/>
        <v>279565.44476743392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3585.8240000000001</v>
      </c>
      <c r="D24" s="676">
        <f>+landbouw!C8</f>
        <v>0</v>
      </c>
      <c r="E24" s="676">
        <f>+landbouw!D8</f>
        <v>342.60575800000004</v>
      </c>
      <c r="F24" s="676">
        <f>+landbouw!E8</f>
        <v>45.186001880547444</v>
      </c>
      <c r="G24" s="676">
        <f>+landbouw!F8</f>
        <v>12371.991102587781</v>
      </c>
      <c r="H24" s="676">
        <f>+landbouw!G8</f>
        <v>0</v>
      </c>
      <c r="I24" s="676">
        <f>+landbouw!H8</f>
        <v>0</v>
      </c>
      <c r="J24" s="676">
        <f>+landbouw!I8</f>
        <v>0</v>
      </c>
      <c r="K24" s="676">
        <f>+landbouw!J8</f>
        <v>539.26716739140033</v>
      </c>
      <c r="L24" s="676">
        <f>+landbouw!K8</f>
        <v>0</v>
      </c>
      <c r="M24" s="676">
        <f>+landbouw!L8</f>
        <v>0</v>
      </c>
      <c r="N24" s="676">
        <f>+landbouw!M8</f>
        <v>0</v>
      </c>
      <c r="O24" s="676">
        <f>+landbouw!N8</f>
        <v>0</v>
      </c>
      <c r="P24" s="676">
        <f>+landbouw!O8</f>
        <v>0</v>
      </c>
      <c r="Q24" s="677">
        <f>+landbouw!P8</f>
        <v>0</v>
      </c>
      <c r="R24" s="679">
        <f>SUM(C24:Q24)</f>
        <v>16884.874029859729</v>
      </c>
      <c r="S24" s="67"/>
    </row>
    <row r="25" spans="1:19" s="444" customFormat="1" ht="15" thickBot="1">
      <c r="A25" s="813" t="s">
        <v>833</v>
      </c>
      <c r="B25" s="977"/>
      <c r="C25" s="978">
        <f>IF(Onbekend_ele_kWh="---",0,Onbekend_ele_kWh)/1000+IF(REST_rest_ele_kWh="---",0,REST_rest_ele_kWh)/1000</f>
        <v>2169.0610000000001</v>
      </c>
      <c r="D25" s="978"/>
      <c r="E25" s="978">
        <f>IF(onbekend_gas_kWh="---",0,onbekend_gas_kWh)/1000+IF(REST_rest_gas_kWh="---",0,REST_rest_gas_kWh)/1000</f>
        <v>17347.004000000001</v>
      </c>
      <c r="F25" s="978"/>
      <c r="G25" s="978"/>
      <c r="H25" s="978"/>
      <c r="I25" s="978"/>
      <c r="J25" s="978"/>
      <c r="K25" s="978"/>
      <c r="L25" s="978"/>
      <c r="M25" s="978"/>
      <c r="N25" s="978"/>
      <c r="O25" s="978"/>
      <c r="P25" s="978"/>
      <c r="Q25" s="979"/>
      <c r="R25" s="679">
        <f>SUM(C25:Q25)</f>
        <v>19516.065000000002</v>
      </c>
      <c r="S25" s="67"/>
    </row>
    <row r="26" spans="1:19" s="444" customFormat="1" ht="15.75" thickBot="1">
      <c r="A26" s="684" t="s">
        <v>834</v>
      </c>
      <c r="B26" s="799"/>
      <c r="C26" s="794">
        <f>SUM(C24:C25)</f>
        <v>5754.8850000000002</v>
      </c>
      <c r="D26" s="794">
        <f t="shared" ref="D26:R26" si="2">SUM(D24:D25)</f>
        <v>0</v>
      </c>
      <c r="E26" s="794">
        <f t="shared" si="2"/>
        <v>17689.609758000002</v>
      </c>
      <c r="F26" s="794">
        <f t="shared" si="2"/>
        <v>45.186001880547444</v>
      </c>
      <c r="G26" s="794">
        <f t="shared" si="2"/>
        <v>12371.991102587781</v>
      </c>
      <c r="H26" s="794">
        <f t="shared" si="2"/>
        <v>0</v>
      </c>
      <c r="I26" s="794">
        <f t="shared" si="2"/>
        <v>0</v>
      </c>
      <c r="J26" s="794">
        <f t="shared" si="2"/>
        <v>0</v>
      </c>
      <c r="K26" s="794">
        <f t="shared" si="2"/>
        <v>539.26716739140033</v>
      </c>
      <c r="L26" s="794">
        <f t="shared" si="2"/>
        <v>0</v>
      </c>
      <c r="M26" s="794">
        <f t="shared" si="2"/>
        <v>0</v>
      </c>
      <c r="N26" s="794">
        <f t="shared" si="2"/>
        <v>0</v>
      </c>
      <c r="O26" s="794">
        <f t="shared" si="2"/>
        <v>0</v>
      </c>
      <c r="P26" s="794">
        <f t="shared" si="2"/>
        <v>0</v>
      </c>
      <c r="Q26" s="794">
        <f t="shared" si="2"/>
        <v>0</v>
      </c>
      <c r="R26" s="794">
        <f t="shared" si="2"/>
        <v>36400.939029859728</v>
      </c>
      <c r="S26" s="67"/>
    </row>
    <row r="27" spans="1:19" s="444" customFormat="1" ht="17.25" thickTop="1" thickBot="1">
      <c r="A27" s="685" t="s">
        <v>109</v>
      </c>
      <c r="B27" s="786"/>
      <c r="C27" s="686">
        <f ca="1">C22+C16+C26</f>
        <v>138341.40677422914</v>
      </c>
      <c r="D27" s="686">
        <f t="shared" ref="D27:R27" ca="1" si="3">D22+D16+D26</f>
        <v>0</v>
      </c>
      <c r="E27" s="686">
        <f t="shared" ca="1" si="3"/>
        <v>167855.76881391273</v>
      </c>
      <c r="F27" s="686">
        <f t="shared" si="3"/>
        <v>8256.7957970682546</v>
      </c>
      <c r="G27" s="686">
        <f t="shared" ca="1" si="3"/>
        <v>147764.74722979602</v>
      </c>
      <c r="H27" s="686">
        <f t="shared" si="3"/>
        <v>231256.69283234605</v>
      </c>
      <c r="I27" s="686">
        <f t="shared" si="3"/>
        <v>35397.098221373919</v>
      </c>
      <c r="J27" s="686">
        <f t="shared" si="3"/>
        <v>0</v>
      </c>
      <c r="K27" s="686">
        <f t="shared" si="3"/>
        <v>2690.6624929763921</v>
      </c>
      <c r="L27" s="686">
        <f t="shared" si="3"/>
        <v>0</v>
      </c>
      <c r="M27" s="686">
        <f t="shared" ca="1" si="3"/>
        <v>0</v>
      </c>
      <c r="N27" s="686">
        <f t="shared" si="3"/>
        <v>12053.959726765001</v>
      </c>
      <c r="O27" s="686">
        <f t="shared" ca="1" si="3"/>
        <v>27711.108630351384</v>
      </c>
      <c r="P27" s="686">
        <f t="shared" si="3"/>
        <v>562.80000000000007</v>
      </c>
      <c r="Q27" s="686">
        <f t="shared" si="3"/>
        <v>1353.7333333333333</v>
      </c>
      <c r="R27" s="686">
        <f t="shared" ca="1" si="3"/>
        <v>773244.77385215217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7949.4108775281029</v>
      </c>
      <c r="D40" s="676">
        <f ca="1">tertiair!C20</f>
        <v>0</v>
      </c>
      <c r="E40" s="676">
        <f ca="1">tertiair!D20</f>
        <v>6675.9797041519996</v>
      </c>
      <c r="F40" s="676">
        <f>tertiair!E20</f>
        <v>111.46569209592745</v>
      </c>
      <c r="G40" s="676">
        <f ca="1">tertiair!F20</f>
        <v>2254.2432373144438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16991.099511090473</v>
      </c>
    </row>
    <row r="41" spans="1:18">
      <c r="A41" s="804" t="s">
        <v>214</v>
      </c>
      <c r="B41" s="811"/>
      <c r="C41" s="676">
        <f ca="1">huishoudens!B12</f>
        <v>10286.130066826032</v>
      </c>
      <c r="D41" s="676">
        <f ca="1">huishoudens!C12</f>
        <v>0</v>
      </c>
      <c r="E41" s="676">
        <f>huishoudens!D12</f>
        <v>18694.193260380001</v>
      </c>
      <c r="F41" s="676">
        <f>huishoudens!E12</f>
        <v>817.525212182421</v>
      </c>
      <c r="G41" s="676">
        <f>huishoudens!F12</f>
        <v>29468.150867590077</v>
      </c>
      <c r="H41" s="676">
        <f>huishoudens!G12</f>
        <v>0</v>
      </c>
      <c r="I41" s="676">
        <f>huishoudens!H12</f>
        <v>0</v>
      </c>
      <c r="J41" s="676">
        <f>huishoudens!I12</f>
        <v>0</v>
      </c>
      <c r="K41" s="676">
        <f>huishoudens!J12</f>
        <v>739.91051620426731</v>
      </c>
      <c r="L41" s="676">
        <f>huishoudens!K12</f>
        <v>0</v>
      </c>
      <c r="M41" s="676">
        <f>huishoudens!L12</f>
        <v>0</v>
      </c>
      <c r="N41" s="676">
        <f>huishoudens!M12</f>
        <v>0</v>
      </c>
      <c r="O41" s="676">
        <f>huishoudens!N12</f>
        <v>0</v>
      </c>
      <c r="P41" s="676">
        <f>huishoudens!O12</f>
        <v>0</v>
      </c>
      <c r="Q41" s="753">
        <f>huishoudens!P12</f>
        <v>0</v>
      </c>
      <c r="R41" s="832">
        <f t="shared" ca="1" si="4"/>
        <v>60005.9099231828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6283.1953468460879</v>
      </c>
      <c r="D43" s="676">
        <f ca="1">industrie!C22</f>
        <v>0</v>
      </c>
      <c r="E43" s="676">
        <f>industrie!D22</f>
        <v>4959.3173875519997</v>
      </c>
      <c r="F43" s="676">
        <f>industrie!E22</f>
        <v>753.87601943096774</v>
      </c>
      <c r="G43" s="676">
        <f>industrie!F22</f>
        <v>4427.4717810600814</v>
      </c>
      <c r="H43" s="676">
        <f>industrie!G22</f>
        <v>0</v>
      </c>
      <c r="I43" s="676">
        <f>industrie!H22</f>
        <v>0</v>
      </c>
      <c r="J43" s="676">
        <f>industrie!I22</f>
        <v>0</v>
      </c>
      <c r="K43" s="676">
        <f>industrie!J22</f>
        <v>21.683429052819644</v>
      </c>
      <c r="L43" s="676">
        <f>industrie!K22</f>
        <v>0</v>
      </c>
      <c r="M43" s="676">
        <f>industrie!L22</f>
        <v>0</v>
      </c>
      <c r="N43" s="676">
        <f>industrie!M22</f>
        <v>0</v>
      </c>
      <c r="O43" s="676">
        <f>industrie!N22</f>
        <v>0</v>
      </c>
      <c r="P43" s="676">
        <f>industrie!O22</f>
        <v>0</v>
      </c>
      <c r="Q43" s="753">
        <f>industrie!P22</f>
        <v>0</v>
      </c>
      <c r="R43" s="831">
        <f t="shared" ca="1" si="4"/>
        <v>16445.543963941956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24518.736291200225</v>
      </c>
      <c r="D46" s="711">
        <f t="shared" ref="D46:Q46" ca="1" si="5">SUM(D39:D45)</f>
        <v>0</v>
      </c>
      <c r="E46" s="711">
        <f t="shared" ca="1" si="5"/>
        <v>30329.490352084002</v>
      </c>
      <c r="F46" s="711">
        <f t="shared" si="5"/>
        <v>1682.8669237093163</v>
      </c>
      <c r="G46" s="711">
        <f t="shared" ca="1" si="5"/>
        <v>36149.865885964602</v>
      </c>
      <c r="H46" s="711">
        <f t="shared" si="5"/>
        <v>0</v>
      </c>
      <c r="I46" s="711">
        <f t="shared" si="5"/>
        <v>0</v>
      </c>
      <c r="J46" s="711">
        <f t="shared" si="5"/>
        <v>0</v>
      </c>
      <c r="K46" s="711">
        <f t="shared" si="5"/>
        <v>761.59394525708694</v>
      </c>
      <c r="L46" s="711">
        <f t="shared" si="5"/>
        <v>0</v>
      </c>
      <c r="M46" s="711">
        <f t="shared" ca="1" si="5"/>
        <v>0</v>
      </c>
      <c r="N46" s="711">
        <f t="shared" si="5"/>
        <v>0</v>
      </c>
      <c r="O46" s="711">
        <f t="shared" ca="1" si="5"/>
        <v>0</v>
      </c>
      <c r="P46" s="711">
        <f t="shared" si="5"/>
        <v>0</v>
      </c>
      <c r="Q46" s="711">
        <f t="shared" si="5"/>
        <v>0</v>
      </c>
      <c r="R46" s="711">
        <f ca="1">SUM(R39:R45)</f>
        <v>93442.553398215241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3.2698545465394315</v>
      </c>
      <c r="D49" s="676">
        <f ca="1">transport!C58</f>
        <v>0</v>
      </c>
      <c r="E49" s="676">
        <f>transport!D58</f>
        <v>0</v>
      </c>
      <c r="F49" s="676">
        <f>transport!E58</f>
        <v>0</v>
      </c>
      <c r="G49" s="676">
        <f>transport!F58</f>
        <v>0</v>
      </c>
      <c r="H49" s="676">
        <f>transport!G58</f>
        <v>918.65743987191092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921.9272944184504</v>
      </c>
    </row>
    <row r="50" spans="1:18">
      <c r="A50" s="807" t="s">
        <v>296</v>
      </c>
      <c r="B50" s="817"/>
      <c r="C50" s="682">
        <f ca="1">transport!B18</f>
        <v>4.0235250745681235</v>
      </c>
      <c r="D50" s="682">
        <f>transport!C18</f>
        <v>0</v>
      </c>
      <c r="E50" s="682">
        <f>transport!D18</f>
        <v>4.0737772103696734</v>
      </c>
      <c r="F50" s="682">
        <f>transport!E18</f>
        <v>181.16849979829365</v>
      </c>
      <c r="G50" s="682">
        <f>transport!F18</f>
        <v>0</v>
      </c>
      <c r="H50" s="682">
        <f>transport!G18</f>
        <v>60826.879546364486</v>
      </c>
      <c r="I50" s="682">
        <f>transport!H18</f>
        <v>8813.8774571221056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69830.022805569824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7.2933796211075546</v>
      </c>
      <c r="D52" s="711">
        <f t="shared" ref="D52:Q52" ca="1" si="6">SUM(D48:D51)</f>
        <v>0</v>
      </c>
      <c r="E52" s="711">
        <f t="shared" si="6"/>
        <v>4.0737772103696734</v>
      </c>
      <c r="F52" s="711">
        <f t="shared" si="6"/>
        <v>181.16849979829365</v>
      </c>
      <c r="G52" s="711">
        <f t="shared" si="6"/>
        <v>0</v>
      </c>
      <c r="H52" s="711">
        <f t="shared" si="6"/>
        <v>61745.536986236395</v>
      </c>
      <c r="I52" s="711">
        <f t="shared" si="6"/>
        <v>8813.8774571221056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70751.950099988273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663.31045298932725</v>
      </c>
      <c r="D54" s="682">
        <f ca="1">+landbouw!C12</f>
        <v>0</v>
      </c>
      <c r="E54" s="682">
        <f>+landbouw!D12</f>
        <v>69.206363116000006</v>
      </c>
      <c r="F54" s="682">
        <f>+landbouw!E12</f>
        <v>10.257222426884271</v>
      </c>
      <c r="G54" s="682">
        <f>+landbouw!F12</f>
        <v>3303.3216243909378</v>
      </c>
      <c r="H54" s="682">
        <f>+landbouw!G12</f>
        <v>0</v>
      </c>
      <c r="I54" s="682">
        <f>+landbouw!H12</f>
        <v>0</v>
      </c>
      <c r="J54" s="682">
        <f>+landbouw!I12</f>
        <v>0</v>
      </c>
      <c r="K54" s="682">
        <f>+landbouw!J12</f>
        <v>190.90057725655572</v>
      </c>
      <c r="L54" s="682">
        <f>+landbouw!K12</f>
        <v>0</v>
      </c>
      <c r="M54" s="682">
        <f>+landbouw!L12</f>
        <v>0</v>
      </c>
      <c r="N54" s="682">
        <f>+landbouw!M12</f>
        <v>0</v>
      </c>
      <c r="O54" s="682">
        <f>+landbouw!N12</f>
        <v>0</v>
      </c>
      <c r="P54" s="682">
        <f>+landbouw!O12</f>
        <v>0</v>
      </c>
      <c r="Q54" s="683">
        <f>+landbouw!P12</f>
        <v>0</v>
      </c>
      <c r="R54" s="710">
        <f ca="1">SUM(C54:Q54)</f>
        <v>4236.9962401797056</v>
      </c>
    </row>
    <row r="55" spans="1:18" ht="15" thickBot="1">
      <c r="A55" s="807" t="s">
        <v>833</v>
      </c>
      <c r="B55" s="817"/>
      <c r="C55" s="682">
        <f ca="1">C25*'EF ele_warmte'!B12</f>
        <v>401.23576463080263</v>
      </c>
      <c r="D55" s="682"/>
      <c r="E55" s="682">
        <f>E25*EF_CO2_aardgas</f>
        <v>3504.0948080000003</v>
      </c>
      <c r="F55" s="682"/>
      <c r="G55" s="682"/>
      <c r="H55" s="682"/>
      <c r="I55" s="682"/>
      <c r="J55" s="682"/>
      <c r="K55" s="682"/>
      <c r="L55" s="682"/>
      <c r="M55" s="682"/>
      <c r="N55" s="682"/>
      <c r="O55" s="682"/>
      <c r="P55" s="682"/>
      <c r="Q55" s="683"/>
      <c r="R55" s="710">
        <f ca="1">SUM(C55:Q55)</f>
        <v>3905.3305726308031</v>
      </c>
    </row>
    <row r="56" spans="1:18" ht="15.75" thickBot="1">
      <c r="A56" s="805" t="s">
        <v>834</v>
      </c>
      <c r="B56" s="818"/>
      <c r="C56" s="711">
        <f ca="1">SUM(C54:C55)</f>
        <v>1064.5462176201299</v>
      </c>
      <c r="D56" s="711">
        <f t="shared" ref="D56:Q56" ca="1" si="7">SUM(D54:D55)</f>
        <v>0</v>
      </c>
      <c r="E56" s="711">
        <f t="shared" si="7"/>
        <v>3573.3011711160002</v>
      </c>
      <c r="F56" s="711">
        <f t="shared" si="7"/>
        <v>10.257222426884271</v>
      </c>
      <c r="G56" s="711">
        <f t="shared" si="7"/>
        <v>3303.3216243909378</v>
      </c>
      <c r="H56" s="711">
        <f t="shared" si="7"/>
        <v>0</v>
      </c>
      <c r="I56" s="711">
        <f t="shared" si="7"/>
        <v>0</v>
      </c>
      <c r="J56" s="711">
        <f t="shared" si="7"/>
        <v>0</v>
      </c>
      <c r="K56" s="711">
        <f t="shared" si="7"/>
        <v>190.90057725655572</v>
      </c>
      <c r="L56" s="711">
        <f t="shared" si="7"/>
        <v>0</v>
      </c>
      <c r="M56" s="711">
        <f t="shared" si="7"/>
        <v>0</v>
      </c>
      <c r="N56" s="711">
        <f t="shared" si="7"/>
        <v>0</v>
      </c>
      <c r="O56" s="711">
        <f t="shared" si="7"/>
        <v>0</v>
      </c>
      <c r="P56" s="711">
        <f t="shared" si="7"/>
        <v>0</v>
      </c>
      <c r="Q56" s="712">
        <f t="shared" si="7"/>
        <v>0</v>
      </c>
      <c r="R56" s="713">
        <f ca="1">SUM(R54:R55)</f>
        <v>8142.3268128105083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25590.575888441461</v>
      </c>
      <c r="D61" s="719">
        <f t="shared" ref="D61:Q61" ca="1" si="8">D46+D52+D56</f>
        <v>0</v>
      </c>
      <c r="E61" s="719">
        <f t="shared" ca="1" si="8"/>
        <v>33906.865300410376</v>
      </c>
      <c r="F61" s="719">
        <f t="shared" si="8"/>
        <v>1874.2926459344942</v>
      </c>
      <c r="G61" s="719">
        <f t="shared" ca="1" si="8"/>
        <v>39453.187510355543</v>
      </c>
      <c r="H61" s="719">
        <f t="shared" si="8"/>
        <v>61745.536986236395</v>
      </c>
      <c r="I61" s="719">
        <f t="shared" si="8"/>
        <v>8813.8774571221056</v>
      </c>
      <c r="J61" s="719">
        <f t="shared" si="8"/>
        <v>0</v>
      </c>
      <c r="K61" s="719">
        <f t="shared" si="8"/>
        <v>952.49452251364266</v>
      </c>
      <c r="L61" s="719">
        <f t="shared" si="8"/>
        <v>0</v>
      </c>
      <c r="M61" s="719">
        <f t="shared" ca="1" si="8"/>
        <v>0</v>
      </c>
      <c r="N61" s="719">
        <f t="shared" si="8"/>
        <v>0</v>
      </c>
      <c r="O61" s="719">
        <f t="shared" ca="1" si="8"/>
        <v>0</v>
      </c>
      <c r="P61" s="719">
        <f t="shared" si="8"/>
        <v>0</v>
      </c>
      <c r="Q61" s="719">
        <f t="shared" si="8"/>
        <v>0</v>
      </c>
      <c r="R61" s="719">
        <f ca="1">R46+R52+R56</f>
        <v>172336.83031101403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0.18498131893515332</v>
      </c>
      <c r="D63" s="762">
        <f t="shared" ca="1" si="9"/>
        <v>0</v>
      </c>
      <c r="E63" s="984">
        <f t="shared" ca="1" si="9"/>
        <v>0.20200000000000004</v>
      </c>
      <c r="F63" s="762">
        <f t="shared" si="9"/>
        <v>0.22700000000000006</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22546.945740557359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22546.945740557359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55606.318119247037</v>
      </c>
      <c r="C4" s="448">
        <f>huishoudens!C8</f>
        <v>0</v>
      </c>
      <c r="D4" s="448">
        <f>huishoudens!D8</f>
        <v>92545.511190000005</v>
      </c>
      <c r="E4" s="448">
        <f>huishoudens!E8</f>
        <v>3601.4326527859953</v>
      </c>
      <c r="F4" s="448">
        <f>huishoudens!F8</f>
        <v>110367.60624565571</v>
      </c>
      <c r="G4" s="448">
        <f>huishoudens!G8</f>
        <v>0</v>
      </c>
      <c r="H4" s="448">
        <f>huishoudens!H8</f>
        <v>0</v>
      </c>
      <c r="I4" s="448">
        <f>huishoudens!I8</f>
        <v>0</v>
      </c>
      <c r="J4" s="448">
        <f>huishoudens!J8</f>
        <v>2090.1427011419983</v>
      </c>
      <c r="K4" s="448">
        <f>huishoudens!K8</f>
        <v>0</v>
      </c>
      <c r="L4" s="448">
        <f>huishoudens!L8</f>
        <v>0</v>
      </c>
      <c r="M4" s="448">
        <f>huishoudens!M8</f>
        <v>0</v>
      </c>
      <c r="N4" s="448">
        <f>huishoudens!N8</f>
        <v>19773.934990865408</v>
      </c>
      <c r="O4" s="448">
        <f>huishoudens!O8</f>
        <v>559.6733333333334</v>
      </c>
      <c r="P4" s="449">
        <f>huishoudens!P8</f>
        <v>1201.2</v>
      </c>
      <c r="Q4" s="450">
        <f>SUM(B4:P4)</f>
        <v>285745.8192330295</v>
      </c>
    </row>
    <row r="5" spans="1:17">
      <c r="A5" s="447" t="s">
        <v>149</v>
      </c>
      <c r="B5" s="448">
        <f ca="1">tertiair!B16</f>
        <v>41066.745000000003</v>
      </c>
      <c r="C5" s="448">
        <f ca="1">tertiair!C16</f>
        <v>0</v>
      </c>
      <c r="D5" s="448">
        <f ca="1">tertiair!D16</f>
        <v>33049.404475999996</v>
      </c>
      <c r="E5" s="448">
        <f>tertiair!E16</f>
        <v>491.03829117148655</v>
      </c>
      <c r="F5" s="448">
        <f ca="1">tertiair!F16</f>
        <v>8442.8585667207626</v>
      </c>
      <c r="G5" s="448">
        <f>tertiair!G16</f>
        <v>0</v>
      </c>
      <c r="H5" s="448">
        <f>tertiair!H16</f>
        <v>0</v>
      </c>
      <c r="I5" s="448">
        <f>tertiair!I16</f>
        <v>0</v>
      </c>
      <c r="J5" s="448">
        <f>tertiair!J16</f>
        <v>0</v>
      </c>
      <c r="K5" s="448">
        <f>tertiair!K16</f>
        <v>0</v>
      </c>
      <c r="L5" s="448">
        <f ca="1">tertiair!L16</f>
        <v>0</v>
      </c>
      <c r="M5" s="448">
        <f>tertiair!M16</f>
        <v>0</v>
      </c>
      <c r="N5" s="448">
        <f ca="1">tertiair!N16</f>
        <v>5432.1263970360751</v>
      </c>
      <c r="O5" s="448">
        <f>tertiair!O16</f>
        <v>3.1266666666666669</v>
      </c>
      <c r="P5" s="449">
        <f>tertiair!P16</f>
        <v>152.53333333333333</v>
      </c>
      <c r="Q5" s="447">
        <f t="shared" ref="Q5:Q14" ca="1" si="0">SUM(B5:P5)</f>
        <v>88637.83273092832</v>
      </c>
    </row>
    <row r="6" spans="1:17">
      <c r="A6" s="447" t="s">
        <v>187</v>
      </c>
      <c r="B6" s="448">
        <f>'openbare verlichting'!B8</f>
        <v>1907.383</v>
      </c>
      <c r="C6" s="448"/>
      <c r="D6" s="448"/>
      <c r="E6" s="448"/>
      <c r="F6" s="448"/>
      <c r="G6" s="448"/>
      <c r="H6" s="448"/>
      <c r="I6" s="448"/>
      <c r="J6" s="448"/>
      <c r="K6" s="448"/>
      <c r="L6" s="448"/>
      <c r="M6" s="448"/>
      <c r="N6" s="448"/>
      <c r="O6" s="448"/>
      <c r="P6" s="449"/>
      <c r="Q6" s="447">
        <f t="shared" si="0"/>
        <v>1907.383</v>
      </c>
    </row>
    <row r="7" spans="1:17">
      <c r="A7" s="447" t="s">
        <v>105</v>
      </c>
      <c r="B7" s="448">
        <f>landbouw!B8</f>
        <v>3585.8240000000001</v>
      </c>
      <c r="C7" s="448">
        <f>landbouw!C8</f>
        <v>0</v>
      </c>
      <c r="D7" s="448">
        <f>landbouw!D8</f>
        <v>342.60575800000004</v>
      </c>
      <c r="E7" s="448">
        <f>landbouw!E8</f>
        <v>45.186001880547444</v>
      </c>
      <c r="F7" s="448">
        <f>landbouw!F8</f>
        <v>12371.991102587781</v>
      </c>
      <c r="G7" s="448">
        <f>landbouw!G8</f>
        <v>0</v>
      </c>
      <c r="H7" s="448">
        <f>landbouw!H8</f>
        <v>0</v>
      </c>
      <c r="I7" s="448">
        <f>landbouw!I8</f>
        <v>0</v>
      </c>
      <c r="J7" s="448">
        <f>landbouw!J8</f>
        <v>539.26716739140033</v>
      </c>
      <c r="K7" s="448">
        <f>landbouw!K8</f>
        <v>0</v>
      </c>
      <c r="L7" s="448">
        <f>landbouw!L8</f>
        <v>0</v>
      </c>
      <c r="M7" s="448">
        <f>landbouw!M8</f>
        <v>0</v>
      </c>
      <c r="N7" s="448">
        <f>landbouw!N8</f>
        <v>0</v>
      </c>
      <c r="O7" s="448">
        <f>landbouw!O8</f>
        <v>0</v>
      </c>
      <c r="P7" s="449">
        <f>landbouw!P8</f>
        <v>0</v>
      </c>
      <c r="Q7" s="447">
        <f t="shared" si="0"/>
        <v>16884.874029859729</v>
      </c>
    </row>
    <row r="8" spans="1:17">
      <c r="A8" s="447" t="s">
        <v>639</v>
      </c>
      <c r="B8" s="448">
        <f>industrie!B18</f>
        <v>33966.648000000001</v>
      </c>
      <c r="C8" s="448">
        <f>industrie!C18</f>
        <v>0</v>
      </c>
      <c r="D8" s="448">
        <f>industrie!D18</f>
        <v>24551.076175999999</v>
      </c>
      <c r="E8" s="448">
        <f>industrie!E18</f>
        <v>3321.0397331760691</v>
      </c>
      <c r="F8" s="448">
        <f>industrie!F18</f>
        <v>16582.291314831764</v>
      </c>
      <c r="G8" s="448">
        <f>industrie!G18</f>
        <v>0</v>
      </c>
      <c r="H8" s="448">
        <f>industrie!H18</f>
        <v>0</v>
      </c>
      <c r="I8" s="448">
        <f>industrie!I18</f>
        <v>0</v>
      </c>
      <c r="J8" s="448">
        <f>industrie!J18</f>
        <v>61.252624442993351</v>
      </c>
      <c r="K8" s="448">
        <f>industrie!K18</f>
        <v>0</v>
      </c>
      <c r="L8" s="448">
        <f>industrie!L18</f>
        <v>0</v>
      </c>
      <c r="M8" s="448">
        <f>industrie!M18</f>
        <v>0</v>
      </c>
      <c r="N8" s="448">
        <f>industrie!N18</f>
        <v>2505.0472424499017</v>
      </c>
      <c r="O8" s="448">
        <f>industrie!O18</f>
        <v>0</v>
      </c>
      <c r="P8" s="449">
        <f>industrie!P18</f>
        <v>0</v>
      </c>
      <c r="Q8" s="447">
        <f t="shared" si="0"/>
        <v>80987.355090900732</v>
      </c>
    </row>
    <row r="9" spans="1:17" s="453" customFormat="1">
      <c r="A9" s="451" t="s">
        <v>557</v>
      </c>
      <c r="B9" s="452">
        <f>transport!B14</f>
        <v>21.750980573225355</v>
      </c>
      <c r="C9" s="452">
        <f>transport!C14</f>
        <v>0</v>
      </c>
      <c r="D9" s="452">
        <f>transport!D14</f>
        <v>20.167213912721156</v>
      </c>
      <c r="E9" s="452">
        <f>transport!E14</f>
        <v>798.09911805415709</v>
      </c>
      <c r="F9" s="452">
        <f>transport!F14</f>
        <v>0</v>
      </c>
      <c r="G9" s="452">
        <f>transport!G14</f>
        <v>227816.02826353739</v>
      </c>
      <c r="H9" s="452">
        <f>transport!H14</f>
        <v>35397.098221373919</v>
      </c>
      <c r="I9" s="452">
        <f>transport!I14</f>
        <v>0</v>
      </c>
      <c r="J9" s="452">
        <f>transport!J14</f>
        <v>0</v>
      </c>
      <c r="K9" s="452">
        <f>transport!K14</f>
        <v>0</v>
      </c>
      <c r="L9" s="452">
        <f>transport!L14</f>
        <v>0</v>
      </c>
      <c r="M9" s="452">
        <f>transport!M14</f>
        <v>11899.677436481272</v>
      </c>
      <c r="N9" s="452">
        <f>transport!N14</f>
        <v>0</v>
      </c>
      <c r="O9" s="452">
        <f>transport!O14</f>
        <v>0</v>
      </c>
      <c r="P9" s="452">
        <f>transport!P14</f>
        <v>0</v>
      </c>
      <c r="Q9" s="451">
        <f>SUM(B9:P9)</f>
        <v>275952.82123393269</v>
      </c>
    </row>
    <row r="10" spans="1:17">
      <c r="A10" s="447" t="s">
        <v>547</v>
      </c>
      <c r="B10" s="448">
        <f>transport!B54</f>
        <v>17.676674408866688</v>
      </c>
      <c r="C10" s="448">
        <f>transport!C54</f>
        <v>0</v>
      </c>
      <c r="D10" s="448">
        <f>transport!D54</f>
        <v>0</v>
      </c>
      <c r="E10" s="448">
        <f>transport!E54</f>
        <v>0</v>
      </c>
      <c r="F10" s="448">
        <f>transport!F54</f>
        <v>0</v>
      </c>
      <c r="G10" s="448">
        <f>transport!G54</f>
        <v>3440.6645688086551</v>
      </c>
      <c r="H10" s="448">
        <f>transport!H54</f>
        <v>0</v>
      </c>
      <c r="I10" s="448">
        <f>transport!I54</f>
        <v>0</v>
      </c>
      <c r="J10" s="448">
        <f>transport!J54</f>
        <v>0</v>
      </c>
      <c r="K10" s="448">
        <f>transport!K54</f>
        <v>0</v>
      </c>
      <c r="L10" s="448">
        <f>transport!L54</f>
        <v>0</v>
      </c>
      <c r="M10" s="448">
        <f>transport!M54</f>
        <v>154.28229028372905</v>
      </c>
      <c r="N10" s="448">
        <f>transport!N54</f>
        <v>0</v>
      </c>
      <c r="O10" s="448">
        <f>transport!O54</f>
        <v>0</v>
      </c>
      <c r="P10" s="449">
        <f>transport!P54</f>
        <v>0</v>
      </c>
      <c r="Q10" s="447">
        <f t="shared" si="0"/>
        <v>3612.6235335012511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2169.0610000000001</v>
      </c>
      <c r="C14" s="455"/>
      <c r="D14" s="455">
        <f>'SEAP template'!E25</f>
        <v>17347.004000000001</v>
      </c>
      <c r="E14" s="455"/>
      <c r="F14" s="455"/>
      <c r="G14" s="455"/>
      <c r="H14" s="455"/>
      <c r="I14" s="455"/>
      <c r="J14" s="455"/>
      <c r="K14" s="455"/>
      <c r="L14" s="455"/>
      <c r="M14" s="455"/>
      <c r="N14" s="455"/>
      <c r="O14" s="455"/>
      <c r="P14" s="456"/>
      <c r="Q14" s="447">
        <f t="shared" si="0"/>
        <v>19516.065000000002</v>
      </c>
    </row>
    <row r="15" spans="1:17" s="460" customFormat="1">
      <c r="A15" s="457" t="s">
        <v>551</v>
      </c>
      <c r="B15" s="458">
        <f ca="1">SUM(B4:B14)</f>
        <v>138341.40677422908</v>
      </c>
      <c r="C15" s="458">
        <f t="shared" ref="C15:Q15" ca="1" si="1">SUM(C4:C14)</f>
        <v>0</v>
      </c>
      <c r="D15" s="458">
        <f t="shared" ca="1" si="1"/>
        <v>167855.76881391276</v>
      </c>
      <c r="E15" s="458">
        <f t="shared" si="1"/>
        <v>8256.7957970682546</v>
      </c>
      <c r="F15" s="458">
        <f t="shared" ca="1" si="1"/>
        <v>147764.74722979602</v>
      </c>
      <c r="G15" s="458">
        <f t="shared" si="1"/>
        <v>231256.69283234605</v>
      </c>
      <c r="H15" s="458">
        <f t="shared" si="1"/>
        <v>35397.098221373919</v>
      </c>
      <c r="I15" s="458">
        <f t="shared" si="1"/>
        <v>0</v>
      </c>
      <c r="J15" s="458">
        <f t="shared" si="1"/>
        <v>2690.6624929763916</v>
      </c>
      <c r="K15" s="458">
        <f t="shared" si="1"/>
        <v>0</v>
      </c>
      <c r="L15" s="458">
        <f t="shared" ca="1" si="1"/>
        <v>0</v>
      </c>
      <c r="M15" s="458">
        <f t="shared" si="1"/>
        <v>12053.959726765001</v>
      </c>
      <c r="N15" s="458">
        <f t="shared" ca="1" si="1"/>
        <v>27711.108630351384</v>
      </c>
      <c r="O15" s="458">
        <f t="shared" si="1"/>
        <v>562.80000000000007</v>
      </c>
      <c r="P15" s="458">
        <f t="shared" si="1"/>
        <v>1353.7333333333333</v>
      </c>
      <c r="Q15" s="458">
        <f t="shared" ca="1" si="1"/>
        <v>773244.77385215228</v>
      </c>
    </row>
    <row r="17" spans="1:17">
      <c r="A17" s="461" t="s">
        <v>552</v>
      </c>
      <c r="B17" s="767">
        <f ca="1">huishoudens!B10</f>
        <v>0.18498131893515332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10286.130066826032</v>
      </c>
      <c r="C22" s="448">
        <f t="shared" ref="C22:C32" ca="1" si="3">C4*$C$17</f>
        <v>0</v>
      </c>
      <c r="D22" s="448">
        <f t="shared" ref="D22:D32" si="4">D4*$D$17</f>
        <v>18694.193260380001</v>
      </c>
      <c r="E22" s="448">
        <f t="shared" ref="E22:E32" si="5">E4*$E$17</f>
        <v>817.525212182421</v>
      </c>
      <c r="F22" s="448">
        <f t="shared" ref="F22:F32" si="6">F4*$F$17</f>
        <v>29468.150867590077</v>
      </c>
      <c r="G22" s="448">
        <f t="shared" ref="G22:G32" si="7">G4*$G$17</f>
        <v>0</v>
      </c>
      <c r="H22" s="448">
        <f t="shared" ref="H22:H32" si="8">H4*$H$17</f>
        <v>0</v>
      </c>
      <c r="I22" s="448">
        <f t="shared" ref="I22:I32" si="9">I4*$I$17</f>
        <v>0</v>
      </c>
      <c r="J22" s="448">
        <f t="shared" ref="J22:J32" si="10">J4*$J$17</f>
        <v>739.91051620426731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60005.9099231828</v>
      </c>
    </row>
    <row r="23" spans="1:17">
      <c r="A23" s="447" t="s">
        <v>149</v>
      </c>
      <c r="B23" s="448">
        <f t="shared" ca="1" si="2"/>
        <v>7596.5806544736133</v>
      </c>
      <c r="C23" s="448">
        <f t="shared" ca="1" si="3"/>
        <v>0</v>
      </c>
      <c r="D23" s="448">
        <f t="shared" ca="1" si="4"/>
        <v>6675.9797041519996</v>
      </c>
      <c r="E23" s="448">
        <f t="shared" si="5"/>
        <v>111.46569209592745</v>
      </c>
      <c r="F23" s="448">
        <f t="shared" ca="1" si="6"/>
        <v>2254.2432373144438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16638.269288035983</v>
      </c>
    </row>
    <row r="24" spans="1:17">
      <c r="A24" s="447" t="s">
        <v>187</v>
      </c>
      <c r="B24" s="448">
        <f t="shared" ca="1" si="2"/>
        <v>352.83022305448958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352.83022305448958</v>
      </c>
    </row>
    <row r="25" spans="1:17">
      <c r="A25" s="447" t="s">
        <v>105</v>
      </c>
      <c r="B25" s="448">
        <f t="shared" ca="1" si="2"/>
        <v>663.31045298932725</v>
      </c>
      <c r="C25" s="448">
        <f t="shared" ca="1" si="3"/>
        <v>0</v>
      </c>
      <c r="D25" s="448">
        <f t="shared" si="4"/>
        <v>69.206363116000006</v>
      </c>
      <c r="E25" s="448">
        <f t="shared" si="5"/>
        <v>10.257222426884271</v>
      </c>
      <c r="F25" s="448">
        <f t="shared" si="6"/>
        <v>3303.3216243909378</v>
      </c>
      <c r="G25" s="448">
        <f t="shared" si="7"/>
        <v>0</v>
      </c>
      <c r="H25" s="448">
        <f t="shared" si="8"/>
        <v>0</v>
      </c>
      <c r="I25" s="448">
        <f t="shared" si="9"/>
        <v>0</v>
      </c>
      <c r="J25" s="448">
        <f t="shared" si="10"/>
        <v>190.90057725655572</v>
      </c>
      <c r="K25" s="448">
        <f t="shared" si="11"/>
        <v>0</v>
      </c>
      <c r="L25" s="448">
        <f t="shared" si="12"/>
        <v>0</v>
      </c>
      <c r="M25" s="448">
        <f t="shared" si="13"/>
        <v>0</v>
      </c>
      <c r="N25" s="448">
        <f t="shared" si="14"/>
        <v>0</v>
      </c>
      <c r="O25" s="448">
        <f t="shared" si="15"/>
        <v>0</v>
      </c>
      <c r="P25" s="449">
        <f t="shared" si="16"/>
        <v>0</v>
      </c>
      <c r="Q25" s="447">
        <f t="shared" ca="1" si="17"/>
        <v>4236.9962401797056</v>
      </c>
    </row>
    <row r="26" spans="1:17">
      <c r="A26" s="447" t="s">
        <v>639</v>
      </c>
      <c r="B26" s="448">
        <f t="shared" ca="1" si="2"/>
        <v>6283.1953468460879</v>
      </c>
      <c r="C26" s="448">
        <f t="shared" ca="1" si="3"/>
        <v>0</v>
      </c>
      <c r="D26" s="448">
        <f t="shared" si="4"/>
        <v>4959.3173875519997</v>
      </c>
      <c r="E26" s="448">
        <f t="shared" si="5"/>
        <v>753.87601943096774</v>
      </c>
      <c r="F26" s="448">
        <f t="shared" si="6"/>
        <v>4427.4717810600814</v>
      </c>
      <c r="G26" s="448">
        <f t="shared" si="7"/>
        <v>0</v>
      </c>
      <c r="H26" s="448">
        <f t="shared" si="8"/>
        <v>0</v>
      </c>
      <c r="I26" s="448">
        <f t="shared" si="9"/>
        <v>0</v>
      </c>
      <c r="J26" s="448">
        <f t="shared" si="10"/>
        <v>21.683429052819644</v>
      </c>
      <c r="K26" s="448">
        <f t="shared" si="11"/>
        <v>0</v>
      </c>
      <c r="L26" s="448">
        <f t="shared" si="12"/>
        <v>0</v>
      </c>
      <c r="M26" s="448">
        <f t="shared" si="13"/>
        <v>0</v>
      </c>
      <c r="N26" s="448">
        <f t="shared" si="14"/>
        <v>0</v>
      </c>
      <c r="O26" s="448">
        <f t="shared" si="15"/>
        <v>0</v>
      </c>
      <c r="P26" s="449">
        <f t="shared" si="16"/>
        <v>0</v>
      </c>
      <c r="Q26" s="447">
        <f t="shared" ca="1" si="17"/>
        <v>16445.543963941956</v>
      </c>
    </row>
    <row r="27" spans="1:17" s="453" customFormat="1">
      <c r="A27" s="451" t="s">
        <v>557</v>
      </c>
      <c r="B27" s="761">
        <f t="shared" ca="1" si="2"/>
        <v>4.0235250745681235</v>
      </c>
      <c r="C27" s="452">
        <f t="shared" ca="1" si="3"/>
        <v>0</v>
      </c>
      <c r="D27" s="452">
        <f t="shared" si="4"/>
        <v>4.0737772103696734</v>
      </c>
      <c r="E27" s="452">
        <f t="shared" si="5"/>
        <v>181.16849979829365</v>
      </c>
      <c r="F27" s="452">
        <f t="shared" si="6"/>
        <v>0</v>
      </c>
      <c r="G27" s="452">
        <f t="shared" si="7"/>
        <v>60826.879546364486</v>
      </c>
      <c r="H27" s="452">
        <f t="shared" si="8"/>
        <v>8813.8774571221056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69830.022805569824</v>
      </c>
    </row>
    <row r="28" spans="1:17">
      <c r="A28" s="447" t="s">
        <v>547</v>
      </c>
      <c r="B28" s="448">
        <f t="shared" ca="1" si="2"/>
        <v>3.2698545465394315</v>
      </c>
      <c r="C28" s="448">
        <f t="shared" ca="1" si="3"/>
        <v>0</v>
      </c>
      <c r="D28" s="448">
        <f t="shared" si="4"/>
        <v>0</v>
      </c>
      <c r="E28" s="448">
        <f t="shared" si="5"/>
        <v>0</v>
      </c>
      <c r="F28" s="448">
        <f t="shared" si="6"/>
        <v>0</v>
      </c>
      <c r="G28" s="448">
        <f t="shared" si="7"/>
        <v>918.65743987191092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921.9272944184504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401.23576463080263</v>
      </c>
      <c r="C32" s="448">
        <f t="shared" ca="1" si="3"/>
        <v>0</v>
      </c>
      <c r="D32" s="448">
        <f t="shared" si="4"/>
        <v>3504.0948080000003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3905.3305726308031</v>
      </c>
    </row>
    <row r="33" spans="1:17" s="460" customFormat="1">
      <c r="A33" s="457" t="s">
        <v>551</v>
      </c>
      <c r="B33" s="458">
        <f ca="1">SUM(B22:B32)</f>
        <v>25590.575888441461</v>
      </c>
      <c r="C33" s="458">
        <f t="shared" ref="C33:Q33" ca="1" si="18">SUM(C22:C32)</f>
        <v>0</v>
      </c>
      <c r="D33" s="458">
        <f t="shared" ca="1" si="18"/>
        <v>33906.865300410376</v>
      </c>
      <c r="E33" s="458">
        <f t="shared" si="18"/>
        <v>1874.2926459344942</v>
      </c>
      <c r="F33" s="458">
        <f t="shared" ca="1" si="18"/>
        <v>39453.187510355536</v>
      </c>
      <c r="G33" s="458">
        <f t="shared" si="18"/>
        <v>61745.536986236395</v>
      </c>
      <c r="H33" s="458">
        <f t="shared" si="18"/>
        <v>8813.8774571221056</v>
      </c>
      <c r="I33" s="458">
        <f t="shared" si="18"/>
        <v>0</v>
      </c>
      <c r="J33" s="458">
        <f t="shared" si="18"/>
        <v>952.49452251364266</v>
      </c>
      <c r="K33" s="458">
        <f t="shared" si="18"/>
        <v>0</v>
      </c>
      <c r="L33" s="458">
        <f t="shared" ca="1" si="18"/>
        <v>0</v>
      </c>
      <c r="M33" s="458">
        <f t="shared" si="18"/>
        <v>0</v>
      </c>
      <c r="N33" s="458">
        <f t="shared" ca="1" si="18"/>
        <v>0</v>
      </c>
      <c r="O33" s="458">
        <f t="shared" si="18"/>
        <v>0</v>
      </c>
      <c r="P33" s="458">
        <f t="shared" si="18"/>
        <v>0</v>
      </c>
      <c r="Q33" s="458">
        <f t="shared" ca="1" si="18"/>
        <v>172336.83031101403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22546.945740557359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22546.945740557359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0.18498131893515332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0.18498131893515332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0.18498131893515332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0.18498131893515332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12181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871</v>
      </c>
      <c r="C14" s="327"/>
      <c r="D14" s="327"/>
      <c r="E14" s="327"/>
      <c r="F14" s="327"/>
    </row>
    <row r="15" spans="1:6">
      <c r="A15" s="1296" t="s">
        <v>177</v>
      </c>
      <c r="B15" s="1297">
        <v>1</v>
      </c>
      <c r="C15" s="327"/>
      <c r="D15" s="327"/>
      <c r="E15" s="327"/>
      <c r="F15" s="327"/>
    </row>
    <row r="16" spans="1:6">
      <c r="A16" s="1296" t="s">
        <v>6</v>
      </c>
      <c r="B16" s="1297">
        <v>46</v>
      </c>
      <c r="C16" s="327"/>
      <c r="D16" s="327"/>
      <c r="E16" s="327"/>
      <c r="F16" s="327"/>
    </row>
    <row r="17" spans="1:6">
      <c r="A17" s="1296" t="s">
        <v>7</v>
      </c>
      <c r="B17" s="1297">
        <v>52</v>
      </c>
      <c r="C17" s="327"/>
      <c r="D17" s="327"/>
      <c r="E17" s="327"/>
      <c r="F17" s="327"/>
    </row>
    <row r="18" spans="1:6">
      <c r="A18" s="1296" t="s">
        <v>8</v>
      </c>
      <c r="B18" s="1297">
        <v>82</v>
      </c>
      <c r="C18" s="327"/>
      <c r="D18" s="327"/>
      <c r="E18" s="327"/>
      <c r="F18" s="327"/>
    </row>
    <row r="19" spans="1:6">
      <c r="A19" s="1296" t="s">
        <v>9</v>
      </c>
      <c r="B19" s="1297">
        <v>107</v>
      </c>
      <c r="C19" s="327"/>
      <c r="D19" s="327"/>
      <c r="E19" s="327"/>
      <c r="F19" s="327"/>
    </row>
    <row r="20" spans="1:6">
      <c r="A20" s="1296" t="s">
        <v>10</v>
      </c>
      <c r="B20" s="1297">
        <v>84</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29</v>
      </c>
      <c r="C26" s="327"/>
      <c r="D26" s="327"/>
      <c r="E26" s="327"/>
      <c r="F26" s="327"/>
    </row>
    <row r="27" spans="1:6">
      <c r="A27" s="1296" t="s">
        <v>17</v>
      </c>
      <c r="B27" s="1297">
        <v>3</v>
      </c>
      <c r="C27" s="327"/>
      <c r="D27" s="327"/>
      <c r="E27" s="327"/>
      <c r="F27" s="327"/>
    </row>
    <row r="28" spans="1:6">
      <c r="A28" s="1296" t="s">
        <v>18</v>
      </c>
      <c r="B28" s="1298">
        <v>11069</v>
      </c>
      <c r="C28" s="327"/>
      <c r="D28" s="327"/>
      <c r="E28" s="327"/>
      <c r="F28" s="327"/>
    </row>
    <row r="29" spans="1:6">
      <c r="A29" s="1296" t="s">
        <v>922</v>
      </c>
      <c r="B29" s="1298">
        <v>111</v>
      </c>
      <c r="C29" s="327"/>
      <c r="D29" s="327"/>
      <c r="E29" s="327"/>
      <c r="F29" s="327"/>
    </row>
    <row r="30" spans="1:6">
      <c r="A30" s="1291" t="s">
        <v>923</v>
      </c>
      <c r="B30" s="1299">
        <v>30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52010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6154</v>
      </c>
      <c r="D39" s="1297">
        <v>102600345</v>
      </c>
      <c r="E39" s="1297">
        <v>12473</v>
      </c>
      <c r="F39" s="1297">
        <v>47083590</v>
      </c>
    </row>
    <row r="40" spans="1:6">
      <c r="A40" s="1296" t="s">
        <v>29</v>
      </c>
      <c r="B40" s="1296" t="s">
        <v>28</v>
      </c>
      <c r="C40" s="1297">
        <v>0</v>
      </c>
      <c r="D40" s="1297">
        <v>0</v>
      </c>
      <c r="E40" s="1297">
        <v>0</v>
      </c>
      <c r="F40" s="1297">
        <v>0</v>
      </c>
    </row>
    <row r="41" spans="1:6">
      <c r="A41" s="1296" t="s">
        <v>31</v>
      </c>
      <c r="B41" s="1296" t="s">
        <v>32</v>
      </c>
      <c r="C41" s="1297">
        <v>70</v>
      </c>
      <c r="D41" s="1297">
        <v>4779451</v>
      </c>
      <c r="E41" s="1297">
        <v>197</v>
      </c>
      <c r="F41" s="1297">
        <v>7848627</v>
      </c>
    </row>
    <row r="42" spans="1:6">
      <c r="A42" s="1296" t="s">
        <v>31</v>
      </c>
      <c r="B42" s="1296" t="s">
        <v>33</v>
      </c>
      <c r="C42" s="1297">
        <v>0</v>
      </c>
      <c r="D42" s="1297">
        <v>0</v>
      </c>
      <c r="E42" s="1297">
        <v>3</v>
      </c>
      <c r="F42" s="1297">
        <v>844034</v>
      </c>
    </row>
    <row r="43" spans="1:6">
      <c r="A43" s="1296" t="s">
        <v>31</v>
      </c>
      <c r="B43" s="1296" t="s">
        <v>34</v>
      </c>
      <c r="C43" s="1297">
        <v>0</v>
      </c>
      <c r="D43" s="1297">
        <v>0</v>
      </c>
      <c r="E43" s="1297">
        <v>0</v>
      </c>
      <c r="F43" s="1297">
        <v>0</v>
      </c>
    </row>
    <row r="44" spans="1:6">
      <c r="A44" s="1296" t="s">
        <v>31</v>
      </c>
      <c r="B44" s="1296" t="s">
        <v>35</v>
      </c>
      <c r="C44" s="1297">
        <v>15</v>
      </c>
      <c r="D44" s="1297">
        <v>12259444</v>
      </c>
      <c r="E44" s="1297">
        <v>27</v>
      </c>
      <c r="F44" s="1297">
        <v>3057629</v>
      </c>
    </row>
    <row r="45" spans="1:6">
      <c r="A45" s="1296" t="s">
        <v>31</v>
      </c>
      <c r="B45" s="1296" t="s">
        <v>36</v>
      </c>
      <c r="C45" s="1297">
        <v>0</v>
      </c>
      <c r="D45" s="1297">
        <v>0</v>
      </c>
      <c r="E45" s="1297">
        <v>5</v>
      </c>
      <c r="F45" s="1297">
        <v>4744702</v>
      </c>
    </row>
    <row r="46" spans="1:6">
      <c r="A46" s="1296" t="s">
        <v>31</v>
      </c>
      <c r="B46" s="1296" t="s">
        <v>37</v>
      </c>
      <c r="C46" s="1297">
        <v>3</v>
      </c>
      <c r="D46" s="1297">
        <v>21534908</v>
      </c>
      <c r="E46" s="1297">
        <v>0</v>
      </c>
      <c r="F46" s="1297">
        <v>0</v>
      </c>
    </row>
    <row r="47" spans="1:6">
      <c r="A47" s="1296" t="s">
        <v>31</v>
      </c>
      <c r="B47" s="1296" t="s">
        <v>38</v>
      </c>
      <c r="C47" s="1297">
        <v>0</v>
      </c>
      <c r="D47" s="1297">
        <v>0</v>
      </c>
      <c r="E47" s="1297">
        <v>5</v>
      </c>
      <c r="F47" s="1297">
        <v>58378</v>
      </c>
    </row>
    <row r="48" spans="1:6">
      <c r="A48" s="1296" t="s">
        <v>31</v>
      </c>
      <c r="B48" s="1296" t="s">
        <v>28</v>
      </c>
      <c r="C48" s="1297">
        <v>4</v>
      </c>
      <c r="D48" s="1297">
        <v>1770316</v>
      </c>
      <c r="E48" s="1297">
        <v>3</v>
      </c>
      <c r="F48" s="1297">
        <v>13697684</v>
      </c>
    </row>
    <row r="49" spans="1:6">
      <c r="A49" s="1296" t="s">
        <v>31</v>
      </c>
      <c r="B49" s="1296" t="s">
        <v>39</v>
      </c>
      <c r="C49" s="1297">
        <v>0</v>
      </c>
      <c r="D49" s="1297">
        <v>0</v>
      </c>
      <c r="E49" s="1297">
        <v>0</v>
      </c>
      <c r="F49" s="1297">
        <v>0</v>
      </c>
    </row>
    <row r="50" spans="1:6">
      <c r="A50" s="1296" t="s">
        <v>31</v>
      </c>
      <c r="B50" s="1296" t="s">
        <v>40</v>
      </c>
      <c r="C50" s="1297">
        <v>9</v>
      </c>
      <c r="D50" s="1297">
        <v>8409277</v>
      </c>
      <c r="E50" s="1297">
        <v>15</v>
      </c>
      <c r="F50" s="1297">
        <v>3715594</v>
      </c>
    </row>
    <row r="51" spans="1:6">
      <c r="A51" s="1296" t="s">
        <v>41</v>
      </c>
      <c r="B51" s="1296" t="s">
        <v>42</v>
      </c>
      <c r="C51" s="1297">
        <v>0</v>
      </c>
      <c r="D51" s="1297">
        <v>0</v>
      </c>
      <c r="E51" s="1297">
        <v>22</v>
      </c>
      <c r="F51" s="1297">
        <v>3585824</v>
      </c>
    </row>
    <row r="52" spans="1:6">
      <c r="A52" s="1296" t="s">
        <v>41</v>
      </c>
      <c r="B52" s="1296" t="s">
        <v>28</v>
      </c>
      <c r="C52" s="1297">
        <v>2</v>
      </c>
      <c r="D52" s="1297">
        <v>379829</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133</v>
      </c>
      <c r="F54" s="1297">
        <v>1907383</v>
      </c>
    </row>
    <row r="55" spans="1:6">
      <c r="A55" s="1296" t="s">
        <v>45</v>
      </c>
      <c r="B55" s="1296" t="s">
        <v>28</v>
      </c>
      <c r="C55" s="1297">
        <v>0</v>
      </c>
      <c r="D55" s="1297">
        <v>0</v>
      </c>
      <c r="E55" s="1297">
        <v>0</v>
      </c>
      <c r="F55" s="1297">
        <v>0</v>
      </c>
    </row>
    <row r="56" spans="1:6">
      <c r="A56" s="1296" t="s">
        <v>47</v>
      </c>
      <c r="B56" s="1296" t="s">
        <v>28</v>
      </c>
      <c r="C56" s="1297">
        <v>179</v>
      </c>
      <c r="D56" s="1297">
        <v>17347004</v>
      </c>
      <c r="E56" s="1297">
        <v>223</v>
      </c>
      <c r="F56" s="1297">
        <v>2169061</v>
      </c>
    </row>
    <row r="57" spans="1:6">
      <c r="A57" s="1296" t="s">
        <v>48</v>
      </c>
      <c r="B57" s="1296" t="s">
        <v>49</v>
      </c>
      <c r="C57" s="1297">
        <v>59</v>
      </c>
      <c r="D57" s="1297">
        <v>9578445</v>
      </c>
      <c r="E57" s="1297">
        <v>246</v>
      </c>
      <c r="F57" s="1297">
        <v>7618803</v>
      </c>
    </row>
    <row r="58" spans="1:6">
      <c r="A58" s="1296" t="s">
        <v>48</v>
      </c>
      <c r="B58" s="1296" t="s">
        <v>50</v>
      </c>
      <c r="C58" s="1297">
        <v>38</v>
      </c>
      <c r="D58" s="1297">
        <v>3432089</v>
      </c>
      <c r="E58" s="1297">
        <v>66</v>
      </c>
      <c r="F58" s="1297">
        <v>7876885</v>
      </c>
    </row>
    <row r="59" spans="1:6">
      <c r="A59" s="1296" t="s">
        <v>48</v>
      </c>
      <c r="B59" s="1296" t="s">
        <v>51</v>
      </c>
      <c r="C59" s="1297">
        <v>151</v>
      </c>
      <c r="D59" s="1297">
        <v>10328243</v>
      </c>
      <c r="E59" s="1297">
        <v>343</v>
      </c>
      <c r="F59" s="1297">
        <v>14410110</v>
      </c>
    </row>
    <row r="60" spans="1:6">
      <c r="A60" s="1296" t="s">
        <v>48</v>
      </c>
      <c r="B60" s="1296" t="s">
        <v>52</v>
      </c>
      <c r="C60" s="1297">
        <v>69</v>
      </c>
      <c r="D60" s="1297">
        <v>3605912</v>
      </c>
      <c r="E60" s="1297">
        <v>125</v>
      </c>
      <c r="F60" s="1297">
        <v>3791657</v>
      </c>
    </row>
    <row r="61" spans="1:6">
      <c r="A61" s="1296" t="s">
        <v>48</v>
      </c>
      <c r="B61" s="1296" t="s">
        <v>53</v>
      </c>
      <c r="C61" s="1297">
        <v>140</v>
      </c>
      <c r="D61" s="1297">
        <v>7965316</v>
      </c>
      <c r="E61" s="1297">
        <v>460</v>
      </c>
      <c r="F61" s="1297">
        <v>6581870</v>
      </c>
    </row>
    <row r="62" spans="1:6">
      <c r="A62" s="1296" t="s">
        <v>48</v>
      </c>
      <c r="B62" s="1296" t="s">
        <v>54</v>
      </c>
      <c r="C62" s="1297">
        <v>9</v>
      </c>
      <c r="D62" s="1297">
        <v>1730133</v>
      </c>
      <c r="E62" s="1297">
        <v>23</v>
      </c>
      <c r="F62" s="1297">
        <v>787420</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4</v>
      </c>
      <c r="F67" s="1297">
        <v>86662</v>
      </c>
    </row>
    <row r="68" spans="1:6">
      <c r="A68" s="1291" t="s">
        <v>55</v>
      </c>
      <c r="B68" s="1291" t="s">
        <v>59</v>
      </c>
      <c r="C68" s="1299">
        <v>5</v>
      </c>
      <c r="D68" s="1299">
        <v>243246</v>
      </c>
      <c r="E68" s="1299">
        <v>16</v>
      </c>
      <c r="F68" s="1299">
        <v>445759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73953556</v>
      </c>
      <c r="E73" s="446"/>
      <c r="F73" s="327"/>
    </row>
    <row r="74" spans="1:6">
      <c r="A74" s="1296" t="s">
        <v>63</v>
      </c>
      <c r="B74" s="1296" t="s">
        <v>706</v>
      </c>
      <c r="C74" s="1309" t="s">
        <v>707</v>
      </c>
      <c r="D74" s="1297">
        <v>2366352.705766791</v>
      </c>
      <c r="E74" s="446"/>
      <c r="F74" s="327"/>
    </row>
    <row r="75" spans="1:6">
      <c r="A75" s="1296" t="s">
        <v>64</v>
      </c>
      <c r="B75" s="1296" t="s">
        <v>704</v>
      </c>
      <c r="C75" s="1309" t="s">
        <v>708</v>
      </c>
      <c r="D75" s="1297">
        <v>49498004</v>
      </c>
      <c r="E75" s="446"/>
      <c r="F75" s="327"/>
    </row>
    <row r="76" spans="1:6">
      <c r="A76" s="1296" t="s">
        <v>64</v>
      </c>
      <c r="B76" s="1296" t="s">
        <v>706</v>
      </c>
      <c r="C76" s="1309" t="s">
        <v>709</v>
      </c>
      <c r="D76" s="1297">
        <v>453762.70576679113</v>
      </c>
      <c r="E76" s="446"/>
      <c r="F76" s="327"/>
    </row>
    <row r="77" spans="1:6">
      <c r="A77" s="1296" t="s">
        <v>65</v>
      </c>
      <c r="B77" s="1296" t="s">
        <v>704</v>
      </c>
      <c r="C77" s="1309" t="s">
        <v>710</v>
      </c>
      <c r="D77" s="1297">
        <v>155395983</v>
      </c>
      <c r="E77" s="446"/>
      <c r="F77" s="327"/>
    </row>
    <row r="78" spans="1:6">
      <c r="A78" s="1291" t="s">
        <v>65</v>
      </c>
      <c r="B78" s="1291" t="s">
        <v>706</v>
      </c>
      <c r="C78" s="1291" t="s">
        <v>711</v>
      </c>
      <c r="D78" s="1299">
        <v>28804451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956154.58846641774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8522.7281192470437</v>
      </c>
      <c r="C91" s="327"/>
      <c r="D91" s="327"/>
      <c r="E91" s="327"/>
      <c r="F91" s="327"/>
    </row>
    <row r="92" spans="1:6">
      <c r="A92" s="1291" t="s">
        <v>68</v>
      </c>
      <c r="B92" s="1292">
        <v>14024.217621310316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1923</v>
      </c>
      <c r="C97" s="327"/>
      <c r="D97" s="327"/>
      <c r="E97" s="327"/>
      <c r="F97" s="327"/>
    </row>
    <row r="98" spans="1:6">
      <c r="A98" s="1296" t="s">
        <v>71</v>
      </c>
      <c r="B98" s="1297">
        <v>7</v>
      </c>
      <c r="C98" s="327"/>
      <c r="D98" s="327"/>
      <c r="E98" s="327"/>
      <c r="F98" s="327"/>
    </row>
    <row r="99" spans="1:6">
      <c r="A99" s="1296" t="s">
        <v>72</v>
      </c>
      <c r="B99" s="1297">
        <v>53</v>
      </c>
      <c r="C99" s="327"/>
      <c r="D99" s="327"/>
      <c r="E99" s="327"/>
      <c r="F99" s="327"/>
    </row>
    <row r="100" spans="1:6">
      <c r="A100" s="1296" t="s">
        <v>73</v>
      </c>
      <c r="B100" s="1297">
        <v>335</v>
      </c>
      <c r="C100" s="327"/>
      <c r="D100" s="327"/>
      <c r="E100" s="327"/>
      <c r="F100" s="327"/>
    </row>
    <row r="101" spans="1:6">
      <c r="A101" s="1296" t="s">
        <v>74</v>
      </c>
      <c r="B101" s="1297">
        <v>65</v>
      </c>
      <c r="C101" s="327"/>
      <c r="D101" s="327"/>
      <c r="E101" s="327"/>
      <c r="F101" s="327"/>
    </row>
    <row r="102" spans="1:6">
      <c r="A102" s="1296" t="s">
        <v>75</v>
      </c>
      <c r="B102" s="1297">
        <v>118</v>
      </c>
      <c r="C102" s="327"/>
      <c r="D102" s="327"/>
      <c r="E102" s="327"/>
      <c r="F102" s="327"/>
    </row>
    <row r="103" spans="1:6">
      <c r="A103" s="1296" t="s">
        <v>76</v>
      </c>
      <c r="B103" s="1297">
        <v>185</v>
      </c>
      <c r="C103" s="327"/>
      <c r="D103" s="327"/>
      <c r="E103" s="327"/>
      <c r="F103" s="327"/>
    </row>
    <row r="104" spans="1:6">
      <c r="A104" s="1296" t="s">
        <v>77</v>
      </c>
      <c r="B104" s="1297">
        <v>7729</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26</v>
      </c>
      <c r="C123" s="1297">
        <v>71</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287</v>
      </c>
      <c r="C129" s="327"/>
      <c r="D129" s="327"/>
      <c r="E129" s="327"/>
      <c r="F129" s="327"/>
    </row>
    <row r="130" spans="1:6">
      <c r="A130" s="1296" t="s">
        <v>284</v>
      </c>
      <c r="B130" s="1297">
        <v>2</v>
      </c>
      <c r="C130" s="327"/>
      <c r="D130" s="327"/>
      <c r="E130" s="327"/>
      <c r="F130" s="327"/>
    </row>
    <row r="131" spans="1:6">
      <c r="A131" s="1296" t="s">
        <v>285</v>
      </c>
      <c r="B131" s="1297">
        <v>8</v>
      </c>
      <c r="C131" s="327"/>
      <c r="D131" s="327"/>
      <c r="E131" s="327"/>
      <c r="F131" s="327"/>
    </row>
    <row r="132" spans="1:6">
      <c r="A132" s="1291" t="s">
        <v>286</v>
      </c>
      <c r="B132" s="1292">
        <v>36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138341.40677422914</v>
      </c>
      <c r="C3" s="43" t="s">
        <v>163</v>
      </c>
      <c r="D3" s="43"/>
      <c r="E3" s="156"/>
      <c r="F3" s="43"/>
      <c r="G3" s="43"/>
      <c r="H3" s="43"/>
      <c r="I3" s="43"/>
      <c r="J3" s="43"/>
      <c r="K3" s="96"/>
    </row>
    <row r="4" spans="1:11">
      <c r="A4" s="353" t="s">
        <v>164</v>
      </c>
      <c r="B4" s="49">
        <f>IF(ISERROR('SEAP template'!B78+'SEAP template'!C78),0,'SEAP template'!B78+'SEAP template'!C78)</f>
        <v>22546.945740557359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0.18498131893515332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1907.383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1907.383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0.18498131893515332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352.83022305448958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47083.59</v>
      </c>
      <c r="C5" s="17">
        <f>IF(ISERROR('Eigen informatie GS &amp; warmtenet'!B57),0,'Eigen informatie GS &amp; warmtenet'!B57)</f>
        <v>0</v>
      </c>
      <c r="D5" s="30">
        <f>(SUM(HH_hh_gas_kWh,HH_rest_gas_kWh)/1000)*0.902</f>
        <v>92545.511190000005</v>
      </c>
      <c r="E5" s="17">
        <f>B32*B41</f>
        <v>3601.4326527859953</v>
      </c>
      <c r="F5" s="17">
        <f>B36*B45</f>
        <v>110367.60624565571</v>
      </c>
      <c r="G5" s="18"/>
      <c r="H5" s="17"/>
      <c r="I5" s="17"/>
      <c r="J5" s="17">
        <f>B35*B44+C35*C44</f>
        <v>2090.1427011419983</v>
      </c>
      <c r="K5" s="17"/>
      <c r="L5" s="17"/>
      <c r="M5" s="17"/>
      <c r="N5" s="17">
        <f>B34*B43+C34*C43</f>
        <v>19773.934990865408</v>
      </c>
      <c r="O5" s="17">
        <f>B52*B53*B54</f>
        <v>559.6733333333334</v>
      </c>
      <c r="P5" s="17">
        <f>B60*B61*B62/1000-B60*B61*B62/1000/B63</f>
        <v>1201.2</v>
      </c>
    </row>
    <row r="6" spans="1:16">
      <c r="A6" s="16" t="s">
        <v>617</v>
      </c>
      <c r="B6" s="769">
        <f>kWh_PV_kleiner_dan_10kW</f>
        <v>8522.7281192470437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55606.318119247037</v>
      </c>
      <c r="C8" s="21">
        <f>C5</f>
        <v>0</v>
      </c>
      <c r="D8" s="21">
        <f>D5</f>
        <v>92545.511190000005</v>
      </c>
      <c r="E8" s="21">
        <f>E5</f>
        <v>3601.4326527859953</v>
      </c>
      <c r="F8" s="21">
        <f>F5</f>
        <v>110367.60624565571</v>
      </c>
      <c r="G8" s="21"/>
      <c r="H8" s="21"/>
      <c r="I8" s="21"/>
      <c r="J8" s="21">
        <f>J5</f>
        <v>2090.1427011419983</v>
      </c>
      <c r="K8" s="21"/>
      <c r="L8" s="21">
        <f>L5</f>
        <v>0</v>
      </c>
      <c r="M8" s="21">
        <f>M5</f>
        <v>0</v>
      </c>
      <c r="N8" s="21">
        <f>N5</f>
        <v>19773.934990865408</v>
      </c>
      <c r="O8" s="21">
        <f>O5</f>
        <v>559.6733333333334</v>
      </c>
      <c r="P8" s="21">
        <f>P5</f>
        <v>1201.2</v>
      </c>
    </row>
    <row r="9" spans="1:16">
      <c r="B9" s="19"/>
      <c r="C9" s="19"/>
      <c r="D9" s="257"/>
      <c r="E9" s="19"/>
      <c r="F9" s="19"/>
      <c r="G9" s="19"/>
      <c r="H9" s="19"/>
      <c r="I9" s="19"/>
      <c r="J9" s="19"/>
      <c r="K9" s="19"/>
      <c r="L9" s="19"/>
      <c r="M9" s="19"/>
      <c r="N9" s="19"/>
      <c r="O9" s="19"/>
      <c r="P9" s="19"/>
    </row>
    <row r="10" spans="1:16">
      <c r="A10" s="24" t="s">
        <v>207</v>
      </c>
      <c r="B10" s="25">
        <f ca="1">'EF ele_warmte'!B12</f>
        <v>0.18498131893515332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10286.130066826032</v>
      </c>
      <c r="C12" s="23">
        <f ca="1">C10*C8</f>
        <v>0</v>
      </c>
      <c r="D12" s="23">
        <f>D8*D10</f>
        <v>18694.193260380001</v>
      </c>
      <c r="E12" s="23">
        <f>E10*E8</f>
        <v>817.525212182421</v>
      </c>
      <c r="F12" s="23">
        <f>F10*F8</f>
        <v>29468.150867590077</v>
      </c>
      <c r="G12" s="23"/>
      <c r="H12" s="23"/>
      <c r="I12" s="23"/>
      <c r="J12" s="23">
        <f>J10*J8</f>
        <v>739.91051620426731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12181</v>
      </c>
      <c r="C26" s="36"/>
      <c r="D26" s="227"/>
    </row>
    <row r="27" spans="1:5" s="15" customFormat="1">
      <c r="A27" s="229" t="s">
        <v>722</v>
      </c>
      <c r="B27" s="37">
        <f>SUM(HH_hh_gas_aantal,HH_rest_gas_aantal)</f>
        <v>6154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5846.3</v>
      </c>
      <c r="C31" s="34" t="s">
        <v>104</v>
      </c>
      <c r="D31" s="173"/>
    </row>
    <row r="32" spans="1:5">
      <c r="A32" s="170" t="s">
        <v>72</v>
      </c>
      <c r="B32" s="33">
        <f>IF((B21*($B$26-($B$27-0.05*$B$27)-$B$60))&lt;0,0,B21*($B$26-($B$27-0.05*$B$27)-$B$60))</f>
        <v>157.05316475042216</v>
      </c>
      <c r="C32" s="34" t="s">
        <v>104</v>
      </c>
      <c r="D32" s="173"/>
    </row>
    <row r="33" spans="1:6">
      <c r="A33" s="170" t="s">
        <v>73</v>
      </c>
      <c r="B33" s="33">
        <f>IF((B22*($B$26-($B$27-0.05*$B$27)-$B$60))&lt;0,0,B22*($B$26-($B$27-0.05*$B$27)-$B$60))</f>
        <v>1057.1519969265303</v>
      </c>
      <c r="C33" s="34" t="s">
        <v>104</v>
      </c>
      <c r="D33" s="173"/>
    </row>
    <row r="34" spans="1:6">
      <c r="A34" s="170" t="s">
        <v>74</v>
      </c>
      <c r="B34" s="33">
        <f>IF((B24*($B$26-($B$27-0.05*$B$27)-$B$60))&lt;0,0,B24*($B$26-($B$27-0.05*$B$27)-$B$60))</f>
        <v>268.21379080585388</v>
      </c>
      <c r="C34" s="33">
        <f>B26*C24</f>
        <v>2491.7461837861556</v>
      </c>
      <c r="D34" s="232"/>
    </row>
    <row r="35" spans="1:6">
      <c r="A35" s="170" t="s">
        <v>76</v>
      </c>
      <c r="B35" s="33">
        <f>IF((B19*($B$26-($B$27-0.05*$B$27)-$B$60))&lt;0,0,B19*($B$26-($B$27-0.05*$B$27)-$B$60))</f>
        <v>99.677054870921225</v>
      </c>
      <c r="C35" s="33">
        <f>B35/2</f>
        <v>49.838527435460612</v>
      </c>
      <c r="D35" s="232"/>
    </row>
    <row r="36" spans="1:6">
      <c r="A36" s="170" t="s">
        <v>77</v>
      </c>
      <c r="B36" s="33">
        <f>IF((B18*($B$26-($B$27-0.05*$B$27)-$B$60))&lt;0,0,B18*($B$26-($B$27-0.05*$B$27)-$B$60))</f>
        <v>4689.6039926462727</v>
      </c>
      <c r="C36" s="34" t="s">
        <v>104</v>
      </c>
      <c r="D36" s="173"/>
    </row>
    <row r="37" spans="1:6">
      <c r="A37" s="170" t="s">
        <v>78</v>
      </c>
      <c r="B37" s="33">
        <f>B60</f>
        <v>63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358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41066.745000000003</v>
      </c>
      <c r="C5" s="17">
        <f>IF(ISERROR('Eigen informatie GS &amp; warmtenet'!B58),0,'Eigen informatie GS &amp; warmtenet'!B58)</f>
        <v>0</v>
      </c>
      <c r="D5" s="30">
        <f>SUM(D6:D12)</f>
        <v>33049.404475999996</v>
      </c>
      <c r="E5" s="17">
        <f>SUM(E6:E12)</f>
        <v>491.03829117148655</v>
      </c>
      <c r="F5" s="17">
        <f>SUM(F6:F12)</f>
        <v>8442.8585667207626</v>
      </c>
      <c r="G5" s="18"/>
      <c r="H5" s="17"/>
      <c r="I5" s="17"/>
      <c r="J5" s="17">
        <f>SUM(J6:J12)</f>
        <v>0</v>
      </c>
      <c r="K5" s="17"/>
      <c r="L5" s="17"/>
      <c r="M5" s="17"/>
      <c r="N5" s="17">
        <f>SUM(N6:N12)</f>
        <v>5432.1263970360751</v>
      </c>
      <c r="O5" s="17">
        <f>B38*B39*B40</f>
        <v>3.1266666666666669</v>
      </c>
      <c r="P5" s="17">
        <f>B46*B47*B48/1000-B46*B47*B48/1000/B49</f>
        <v>152.53333333333333</v>
      </c>
      <c r="R5" s="32"/>
    </row>
    <row r="6" spans="1:18">
      <c r="A6" s="32" t="s">
        <v>53</v>
      </c>
      <c r="B6" s="37">
        <f>B26</f>
        <v>6581.87</v>
      </c>
      <c r="C6" s="33"/>
      <c r="D6" s="37">
        <f>IF(ISERROR(TER_kantoor_gas_kWh/1000),0,TER_kantoor_gas_kWh/1000)*0.902</f>
        <v>7184.7150320000001</v>
      </c>
      <c r="E6" s="33">
        <f>$C$26*'E Balans VL '!I12/100/3.6*1000000</f>
        <v>25.571958413068906</v>
      </c>
      <c r="F6" s="33">
        <f>$C$26*('E Balans VL '!L12+'E Balans VL '!N12)/100/3.6*1000000</f>
        <v>1001.0425367578645</v>
      </c>
      <c r="G6" s="34"/>
      <c r="H6" s="33"/>
      <c r="I6" s="33"/>
      <c r="J6" s="33">
        <f>$C$26*('E Balans VL '!D12+'E Balans VL '!E12)/100/3.6*1000000</f>
        <v>0</v>
      </c>
      <c r="K6" s="33"/>
      <c r="L6" s="33"/>
      <c r="M6" s="33"/>
      <c r="N6" s="33">
        <f>$C$26*'E Balans VL '!Y12/100/3.6*1000000</f>
        <v>3.6273988586079358</v>
      </c>
      <c r="O6" s="33"/>
      <c r="P6" s="33"/>
      <c r="R6" s="32"/>
    </row>
    <row r="7" spans="1:18">
      <c r="A7" s="32" t="s">
        <v>52</v>
      </c>
      <c r="B7" s="37">
        <f t="shared" ref="B7:B12" si="0">B27</f>
        <v>3791.6570000000002</v>
      </c>
      <c r="C7" s="33"/>
      <c r="D7" s="37">
        <f>IF(ISERROR(TER_horeca_gas_kWh/1000),0,TER_horeca_gas_kWh/1000)*0.902</f>
        <v>3252.5326239999999</v>
      </c>
      <c r="E7" s="33">
        <f>$C$27*'E Balans VL '!I9/100/3.6*1000000</f>
        <v>213.585052531126</v>
      </c>
      <c r="F7" s="33">
        <f>$C$27*('E Balans VL '!L9+'E Balans VL '!N9)/100/3.6*1000000</f>
        <v>1093.2868769294257</v>
      </c>
      <c r="G7" s="34"/>
      <c r="H7" s="33"/>
      <c r="I7" s="33"/>
      <c r="J7" s="33">
        <f>$C$27*('E Balans VL '!D9+'E Balans VL '!E9)/100/3.6*1000000</f>
        <v>0</v>
      </c>
      <c r="K7" s="33"/>
      <c r="L7" s="33"/>
      <c r="M7" s="33"/>
      <c r="N7" s="33">
        <f>$C$27*'E Balans VL '!Y9/100/3.6*1000000</f>
        <v>1.0468567943964047</v>
      </c>
      <c r="O7" s="33"/>
      <c r="P7" s="33"/>
      <c r="R7" s="32"/>
    </row>
    <row r="8" spans="1:18">
      <c r="A8" s="6" t="s">
        <v>51</v>
      </c>
      <c r="B8" s="37">
        <f t="shared" si="0"/>
        <v>14410.11</v>
      </c>
      <c r="C8" s="33"/>
      <c r="D8" s="37">
        <f>IF(ISERROR(TER_handel_gas_kWh/1000),0,TER_handel_gas_kWh/1000)*0.902</f>
        <v>9316.075186</v>
      </c>
      <c r="E8" s="33">
        <f>$C$28*'E Balans VL '!I13/100/3.6*1000000</f>
        <v>207.69857373999946</v>
      </c>
      <c r="F8" s="33">
        <f>$C$28*('E Balans VL '!L13+'E Balans VL '!N13)/100/3.6*1000000</f>
        <v>2503.3716958167511</v>
      </c>
      <c r="G8" s="34"/>
      <c r="H8" s="33"/>
      <c r="I8" s="33"/>
      <c r="J8" s="33">
        <f>$C$28*('E Balans VL '!D13+'E Balans VL '!E13)/100/3.6*1000000</f>
        <v>0</v>
      </c>
      <c r="K8" s="33"/>
      <c r="L8" s="33"/>
      <c r="M8" s="33"/>
      <c r="N8" s="33">
        <f>$C$28*'E Balans VL '!Y13/100/3.6*1000000</f>
        <v>43.174293726491271</v>
      </c>
      <c r="O8" s="33"/>
      <c r="P8" s="33"/>
      <c r="R8" s="32"/>
    </row>
    <row r="9" spans="1:18">
      <c r="A9" s="32" t="s">
        <v>50</v>
      </c>
      <c r="B9" s="37">
        <f t="shared" si="0"/>
        <v>7876.8850000000002</v>
      </c>
      <c r="C9" s="33"/>
      <c r="D9" s="37">
        <f>IF(ISERROR(TER_gezond_gas_kWh/1000),0,TER_gezond_gas_kWh/1000)*0.902</f>
        <v>3095.7442780000001</v>
      </c>
      <c r="E9" s="33">
        <f>$C$29*'E Balans VL '!I10/100/3.6*1000000</f>
        <v>8.4145547936161158</v>
      </c>
      <c r="F9" s="33">
        <f>$C$29*('E Balans VL '!L10+'E Balans VL '!N10)/100/3.6*1000000</f>
        <v>1284.959331018224</v>
      </c>
      <c r="G9" s="34"/>
      <c r="H9" s="33"/>
      <c r="I9" s="33"/>
      <c r="J9" s="33">
        <f>$C$29*('E Balans VL '!D10+'E Balans VL '!E10)/100/3.6*1000000</f>
        <v>0</v>
      </c>
      <c r="K9" s="33"/>
      <c r="L9" s="33"/>
      <c r="M9" s="33"/>
      <c r="N9" s="33">
        <f>$C$29*'E Balans VL '!Y10/100/3.6*1000000</f>
        <v>81.088036614084871</v>
      </c>
      <c r="O9" s="33"/>
      <c r="P9" s="33"/>
      <c r="R9" s="32"/>
    </row>
    <row r="10" spans="1:18">
      <c r="A10" s="32" t="s">
        <v>49</v>
      </c>
      <c r="B10" s="37">
        <f t="shared" si="0"/>
        <v>7618.8029999999999</v>
      </c>
      <c r="C10" s="33"/>
      <c r="D10" s="37">
        <f>IF(ISERROR(TER_ander_gas_kWh/1000),0,TER_ander_gas_kWh/1000)*0.902</f>
        <v>8639.7573900000007</v>
      </c>
      <c r="E10" s="33">
        <f>$C$30*'E Balans VL '!I14/100/3.6*1000000</f>
        <v>35.0377160910339</v>
      </c>
      <c r="F10" s="33">
        <f>$C$30*('E Balans VL '!L14+'E Balans VL '!N14)/100/3.6*1000000</f>
        <v>2283.5955777460508</v>
      </c>
      <c r="G10" s="34"/>
      <c r="H10" s="33"/>
      <c r="I10" s="33"/>
      <c r="J10" s="33">
        <f>$C$30*('E Balans VL '!D14+'E Balans VL '!E14)/100/3.6*1000000</f>
        <v>0</v>
      </c>
      <c r="K10" s="33"/>
      <c r="L10" s="33"/>
      <c r="M10" s="33"/>
      <c r="N10" s="33">
        <f>$C$30*'E Balans VL '!Y14/100/3.6*1000000</f>
        <v>5303.1898110424945</v>
      </c>
      <c r="O10" s="33"/>
      <c r="P10" s="33"/>
      <c r="R10" s="32"/>
    </row>
    <row r="11" spans="1:18">
      <c r="A11" s="32" t="s">
        <v>54</v>
      </c>
      <c r="B11" s="37">
        <f t="shared" si="0"/>
        <v>787.42</v>
      </c>
      <c r="C11" s="33"/>
      <c r="D11" s="37">
        <f>IF(ISERROR(TER_onderwijs_gas_kWh/1000),0,TER_onderwijs_gas_kWh/1000)*0.902</f>
        <v>1560.579966</v>
      </c>
      <c r="E11" s="33">
        <f>$C$31*'E Balans VL '!I11/100/3.6*1000000</f>
        <v>0.7304356026421488</v>
      </c>
      <c r="F11" s="33">
        <f>$C$31*('E Balans VL '!L11+'E Balans VL '!N11)/100/3.6*1000000</f>
        <v>276.60254845244509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41066.745000000003</v>
      </c>
      <c r="C16" s="21">
        <f t="shared" ca="1" si="1"/>
        <v>0</v>
      </c>
      <c r="D16" s="21">
        <f t="shared" ca="1" si="1"/>
        <v>33049.404475999996</v>
      </c>
      <c r="E16" s="21">
        <f t="shared" si="1"/>
        <v>491.03829117148655</v>
      </c>
      <c r="F16" s="21">
        <f t="shared" ca="1" si="1"/>
        <v>8442.8585667207626</v>
      </c>
      <c r="G16" s="21">
        <f t="shared" si="1"/>
        <v>0</v>
      </c>
      <c r="H16" s="21">
        <f t="shared" si="1"/>
        <v>0</v>
      </c>
      <c r="I16" s="21">
        <f t="shared" si="1"/>
        <v>0</v>
      </c>
      <c r="J16" s="21">
        <f t="shared" si="1"/>
        <v>0</v>
      </c>
      <c r="K16" s="21">
        <f t="shared" si="1"/>
        <v>0</v>
      </c>
      <c r="L16" s="21">
        <f t="shared" ca="1" si="1"/>
        <v>0</v>
      </c>
      <c r="M16" s="21">
        <f t="shared" si="1"/>
        <v>0</v>
      </c>
      <c r="N16" s="21">
        <f t="shared" ca="1" si="1"/>
        <v>5432.1263970360751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0.18498131893515332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7596.5806544736133</v>
      </c>
      <c r="C20" s="23">
        <f t="shared" ref="C20:P20" ca="1" si="2">C16*C18</f>
        <v>0</v>
      </c>
      <c r="D20" s="23">
        <f t="shared" ca="1" si="2"/>
        <v>6675.9797041519996</v>
      </c>
      <c r="E20" s="23">
        <f t="shared" si="2"/>
        <v>111.46569209592745</v>
      </c>
      <c r="F20" s="23">
        <f t="shared" ca="1" si="2"/>
        <v>2254.2432373144438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6581.87</v>
      </c>
      <c r="C26" s="39">
        <f>IF(ISERROR(B26*3.6/1000000/'E Balans VL '!Z12*100),0,B26*3.6/1000000/'E Balans VL '!Z12*100)</f>
        <v>0.13980217903457329</v>
      </c>
      <c r="D26" s="235" t="s">
        <v>672</v>
      </c>
      <c r="F26" s="6"/>
    </row>
    <row r="27" spans="1:18">
      <c r="A27" s="230" t="s">
        <v>52</v>
      </c>
      <c r="B27" s="33">
        <f>IF(ISERROR(TER_horeca_ele_kWh/1000),0,TER_horeca_ele_kWh/1000)</f>
        <v>3791.6570000000002</v>
      </c>
      <c r="C27" s="39">
        <f>IF(ISERROR(B27*3.6/1000000/'E Balans VL '!Z9*100),0,B27*3.6/1000000/'E Balans VL '!Z9*100)</f>
        <v>0.29482442323800079</v>
      </c>
      <c r="D27" s="235" t="s">
        <v>672</v>
      </c>
      <c r="F27" s="6"/>
    </row>
    <row r="28" spans="1:18">
      <c r="A28" s="170" t="s">
        <v>51</v>
      </c>
      <c r="B28" s="33">
        <f>IF(ISERROR(TER_handel_ele_kWh/1000),0,TER_handel_ele_kWh/1000)</f>
        <v>14410.11</v>
      </c>
      <c r="C28" s="39">
        <f>IF(ISERROR(B28*3.6/1000000/'E Balans VL '!Z13*100),0,B28*3.6/1000000/'E Balans VL '!Z13*100)</f>
        <v>0.41229020610297473</v>
      </c>
      <c r="D28" s="235" t="s">
        <v>672</v>
      </c>
      <c r="F28" s="6"/>
    </row>
    <row r="29" spans="1:18">
      <c r="A29" s="230" t="s">
        <v>50</v>
      </c>
      <c r="B29" s="33">
        <f>IF(ISERROR(TER_gezond_ele_kWh/1000),0,TER_gezond_ele_kWh/1000)</f>
        <v>7876.8850000000002</v>
      </c>
      <c r="C29" s="39">
        <f>IF(ISERROR(B29*3.6/1000000/'E Balans VL '!Z10*100),0,B29*3.6/1000000/'E Balans VL '!Z10*100)</f>
        <v>0.85876350185545569</v>
      </c>
      <c r="D29" s="235" t="s">
        <v>672</v>
      </c>
      <c r="F29" s="6"/>
    </row>
    <row r="30" spans="1:18">
      <c r="A30" s="230" t="s">
        <v>49</v>
      </c>
      <c r="B30" s="33">
        <f>IF(ISERROR(TER_ander_ele_kWh/1000),0,TER_ander_ele_kWh/1000)</f>
        <v>7618.8029999999999</v>
      </c>
      <c r="C30" s="39">
        <f>IF(ISERROR(B30*3.6/1000000/'E Balans VL '!Z14*100),0,B30*3.6/1000000/'E Balans VL '!Z14*100)</f>
        <v>0.55752672069509213</v>
      </c>
      <c r="D30" s="235" t="s">
        <v>672</v>
      </c>
      <c r="F30" s="6"/>
    </row>
    <row r="31" spans="1:18">
      <c r="A31" s="230" t="s">
        <v>54</v>
      </c>
      <c r="B31" s="33">
        <f>IF(ISERROR(TER_onderwijs_ele_kWh/1000),0,TER_onderwijs_ele_kWh/1000)</f>
        <v>787.42</v>
      </c>
      <c r="C31" s="39">
        <f>IF(ISERROR(B31*3.6/1000000/'E Balans VL '!Z11*100),0,B31*3.6/1000000/'E Balans VL '!Z11*100)</f>
        <v>0.15815389172196834</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8</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33966.648000000001</v>
      </c>
      <c r="C5" s="17">
        <f>IF(ISERROR('Eigen informatie GS &amp; warmtenet'!B59),0,'Eigen informatie GS &amp; warmtenet'!B59)</f>
        <v>0</v>
      </c>
      <c r="D5" s="30">
        <f>SUM(D6:D15)</f>
        <v>24551.076175999999</v>
      </c>
      <c r="E5" s="17">
        <f>SUM(E6:E15)</f>
        <v>3321.0397331760691</v>
      </c>
      <c r="F5" s="17">
        <f>SUM(F6:F15)</f>
        <v>16582.291314831764</v>
      </c>
      <c r="G5" s="18"/>
      <c r="H5" s="17"/>
      <c r="I5" s="17"/>
      <c r="J5" s="17">
        <f>SUM(J6:J15)</f>
        <v>61.252624442993351</v>
      </c>
      <c r="K5" s="17"/>
      <c r="L5" s="17"/>
      <c r="M5" s="17"/>
      <c r="N5" s="17">
        <f>SUM(N6:N15)</f>
        <v>2505.0472424499017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3057.6289999999999</v>
      </c>
      <c r="C8" s="33"/>
      <c r="D8" s="37">
        <f>IF( ISERROR(IND_metaal_Gas_kWH/1000),0,IND_metaal_Gas_kWH/1000)*0.902</f>
        <v>11058.018488</v>
      </c>
      <c r="E8" s="33">
        <f>C30*'E Balans VL '!I18/100/3.6*1000000</f>
        <v>87.826581811292641</v>
      </c>
      <c r="F8" s="33">
        <f>C30*'E Balans VL '!L18/100/3.6*1000000+C30*'E Balans VL '!N18/100/3.6*1000000</f>
        <v>784.22303184314978</v>
      </c>
      <c r="G8" s="34"/>
      <c r="H8" s="33"/>
      <c r="I8" s="33"/>
      <c r="J8" s="40">
        <f>C30*'E Balans VL '!D18/100/3.6*1000000+C30*'E Balans VL '!E18/100/3.6*1000000</f>
        <v>0</v>
      </c>
      <c r="K8" s="33"/>
      <c r="L8" s="33"/>
      <c r="M8" s="33"/>
      <c r="N8" s="33">
        <f>C30*'E Balans VL '!Y18/100/3.6*1000000</f>
        <v>83.020868855071228</v>
      </c>
      <c r="O8" s="33"/>
      <c r="P8" s="33"/>
      <c r="R8" s="32"/>
    </row>
    <row r="9" spans="1:18">
      <c r="A9" s="6" t="s">
        <v>32</v>
      </c>
      <c r="B9" s="37">
        <f t="shared" si="0"/>
        <v>7848.6270000000004</v>
      </c>
      <c r="C9" s="33"/>
      <c r="D9" s="37">
        <f>IF( ISERROR(IND_andere_gas_kWh/1000),0,IND_andere_gas_kWh/1000)*0.902</f>
        <v>4311.0648019999999</v>
      </c>
      <c r="E9" s="33">
        <f>C31*'E Balans VL '!I19/100/3.6*1000000</f>
        <v>2124.4303543905075</v>
      </c>
      <c r="F9" s="33">
        <f>C31*'E Balans VL '!L19/100/3.6*1000000+C31*'E Balans VL '!N19/100/3.6*1000000</f>
        <v>5228.0161402321173</v>
      </c>
      <c r="G9" s="34"/>
      <c r="H9" s="33"/>
      <c r="I9" s="33"/>
      <c r="J9" s="40">
        <f>C31*'E Balans VL '!D19/100/3.6*1000000+C31*'E Balans VL '!E19/100/3.6*1000000</f>
        <v>0</v>
      </c>
      <c r="K9" s="33"/>
      <c r="L9" s="33"/>
      <c r="M9" s="33"/>
      <c r="N9" s="33">
        <f>C31*'E Balans VL '!Y19/100/3.6*1000000</f>
        <v>663.54942163319834</v>
      </c>
      <c r="O9" s="33"/>
      <c r="P9" s="33"/>
      <c r="R9" s="32"/>
    </row>
    <row r="10" spans="1:18">
      <c r="A10" s="6" t="s">
        <v>40</v>
      </c>
      <c r="B10" s="37">
        <f t="shared" si="0"/>
        <v>3715.5940000000001</v>
      </c>
      <c r="C10" s="33"/>
      <c r="D10" s="37">
        <f>IF( ISERROR(IND_voed_gas_kWh/1000),0,IND_voed_gas_kWh/1000)*0.902</f>
        <v>7585.1678540000003</v>
      </c>
      <c r="E10" s="33">
        <f>C32*'E Balans VL '!I20/100/3.6*1000000</f>
        <v>303.0523829950875</v>
      </c>
      <c r="F10" s="33">
        <f>C32*'E Balans VL '!L20/100/3.6*1000000+C32*'E Balans VL '!N20/100/3.6*1000000</f>
        <v>5540.2877622255364</v>
      </c>
      <c r="G10" s="34"/>
      <c r="H10" s="33"/>
      <c r="I10" s="33"/>
      <c r="J10" s="40">
        <f>C32*'E Balans VL '!D20/100/3.6*1000000+C32*'E Balans VL '!E20/100/3.6*1000000</f>
        <v>4.9152798493920166E-2</v>
      </c>
      <c r="K10" s="33"/>
      <c r="L10" s="33"/>
      <c r="M10" s="33"/>
      <c r="N10" s="33">
        <f>C32*'E Balans VL '!Y20/100/3.6*1000000</f>
        <v>1091.5104080249616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4744.7020000000002</v>
      </c>
      <c r="C12" s="33"/>
      <c r="D12" s="37">
        <f>IF( ISERROR(IND_min_gas_kWh/1000),0,IND_min_gas_kWh/1000)*0.902</f>
        <v>0</v>
      </c>
      <c r="E12" s="33">
        <f>C34*'E Balans VL '!I22/100/3.6*1000000</f>
        <v>36.960194753439588</v>
      </c>
      <c r="F12" s="33">
        <f>C34*'E Balans VL '!L22/100/3.6*1000000+C34*'E Balans VL '!N22/100/3.6*1000000</f>
        <v>1789.4100235568724</v>
      </c>
      <c r="G12" s="34"/>
      <c r="H12" s="33"/>
      <c r="I12" s="33"/>
      <c r="J12" s="40">
        <f>C34*'E Balans VL '!D22/100/3.6*1000000+C34*'E Balans VL '!E22/100/3.6*1000000</f>
        <v>26.095446156814337</v>
      </c>
      <c r="K12" s="33"/>
      <c r="L12" s="33"/>
      <c r="M12" s="33"/>
      <c r="N12" s="33">
        <f>C34*'E Balans VL '!Y22/100/3.6*1000000</f>
        <v>0</v>
      </c>
      <c r="O12" s="33"/>
      <c r="P12" s="33"/>
      <c r="R12" s="32"/>
    </row>
    <row r="13" spans="1:18">
      <c r="A13" s="6" t="s">
        <v>38</v>
      </c>
      <c r="B13" s="37">
        <f t="shared" si="0"/>
        <v>58.378</v>
      </c>
      <c r="C13" s="33"/>
      <c r="D13" s="37">
        <f>IF( ISERROR(IND_papier_gas_kWh/1000),0,IND_papier_gas_kWh/1000)*0.902</f>
        <v>0</v>
      </c>
      <c r="E13" s="33">
        <f>C35*'E Balans VL '!I23/100/3.6*1000000</f>
        <v>0.6116159017368068</v>
      </c>
      <c r="F13" s="33">
        <f>C35*'E Balans VL '!L23/100/3.6*1000000+C35*'E Balans VL '!N23/100/3.6*1000000</f>
        <v>4.3561767072689133</v>
      </c>
      <c r="G13" s="34"/>
      <c r="H13" s="33"/>
      <c r="I13" s="33"/>
      <c r="J13" s="40">
        <f>C35*'E Balans VL '!D23/100/3.6*1000000+C35*'E Balans VL '!E23/100/3.6*1000000</f>
        <v>0</v>
      </c>
      <c r="K13" s="33"/>
      <c r="L13" s="33"/>
      <c r="M13" s="33"/>
      <c r="N13" s="33">
        <f>C35*'E Balans VL '!Y23/100/3.6*1000000</f>
        <v>10.769478722777482</v>
      </c>
      <c r="O13" s="33"/>
      <c r="P13" s="33"/>
      <c r="R13" s="32"/>
    </row>
    <row r="14" spans="1:18">
      <c r="A14" s="6" t="s">
        <v>33</v>
      </c>
      <c r="B14" s="37">
        <f t="shared" si="0"/>
        <v>844.03399999999999</v>
      </c>
      <c r="C14" s="33"/>
      <c r="D14" s="37">
        <f>IF( ISERROR(IND_chemie_gas_kWh/1000),0,IND_chemie_gas_kWh/1000)*0.902</f>
        <v>0</v>
      </c>
      <c r="E14" s="33">
        <f>C36*'E Balans VL '!I24/100/3.6*1000000</f>
        <v>3.9899469226970448</v>
      </c>
      <c r="F14" s="33">
        <f>C36*'E Balans VL '!L24/100/3.6*1000000+C36*'E Balans VL '!N24/100/3.6*1000000</f>
        <v>15.951789555420262</v>
      </c>
      <c r="G14" s="34"/>
      <c r="H14" s="33"/>
      <c r="I14" s="33"/>
      <c r="J14" s="40">
        <f>C36*'E Balans VL '!D24/100/3.6*1000000+C36*'E Balans VL '!E24/100/3.6*1000000</f>
        <v>0</v>
      </c>
      <c r="K14" s="33"/>
      <c r="L14" s="33"/>
      <c r="M14" s="33"/>
      <c r="N14" s="33">
        <f>C36*'E Balans VL '!Y24/100/3.6*1000000</f>
        <v>20.49029012668138</v>
      </c>
      <c r="O14" s="33"/>
      <c r="P14" s="33"/>
      <c r="R14" s="32"/>
    </row>
    <row r="15" spans="1:18">
      <c r="A15" s="6" t="s">
        <v>259</v>
      </c>
      <c r="B15" s="37">
        <f t="shared" si="0"/>
        <v>13697.683999999999</v>
      </c>
      <c r="C15" s="33"/>
      <c r="D15" s="37">
        <f>IF( ISERROR(IND_rest_gas_kWh/1000),0,IND_rest_gas_kWh/1000)*0.902</f>
        <v>1596.825032</v>
      </c>
      <c r="E15" s="33">
        <f>C37*'E Balans VL '!I15/100/3.6*1000000</f>
        <v>764.16865640130766</v>
      </c>
      <c r="F15" s="33">
        <f>C37*'E Balans VL '!L15/100/3.6*1000000+C37*'E Balans VL '!N15/100/3.6*1000000</f>
        <v>3220.0463907113976</v>
      </c>
      <c r="G15" s="34"/>
      <c r="H15" s="33"/>
      <c r="I15" s="33"/>
      <c r="J15" s="40">
        <f>C37*'E Balans VL '!D15/100/3.6*1000000+C37*'E Balans VL '!E15/100/3.6*1000000</f>
        <v>35.10802548768509</v>
      </c>
      <c r="K15" s="33"/>
      <c r="L15" s="33"/>
      <c r="M15" s="33"/>
      <c r="N15" s="33">
        <f>C37*'E Balans VL '!Y15/100/3.6*1000000</f>
        <v>635.70677508721155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33966.648000000001</v>
      </c>
      <c r="C18" s="21">
        <f>C5+C16</f>
        <v>0</v>
      </c>
      <c r="D18" s="21">
        <f>MAX((D5+D16),0)</f>
        <v>24551.076175999999</v>
      </c>
      <c r="E18" s="21">
        <f>MAX((E5+E16),0)</f>
        <v>3321.0397331760691</v>
      </c>
      <c r="F18" s="21">
        <f>MAX((F5+F16),0)</f>
        <v>16582.291314831764</v>
      </c>
      <c r="G18" s="21"/>
      <c r="H18" s="21"/>
      <c r="I18" s="21"/>
      <c r="J18" s="21">
        <f>MAX((J5+J16),0)</f>
        <v>61.252624442993351</v>
      </c>
      <c r="K18" s="21"/>
      <c r="L18" s="21">
        <f>MAX((L5+L16),0)</f>
        <v>0</v>
      </c>
      <c r="M18" s="21"/>
      <c r="N18" s="21">
        <f>MAX((N5+N16),0)</f>
        <v>2505.0472424499017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0.18498131893515332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6283.1953468460879</v>
      </c>
      <c r="C22" s="23">
        <f ca="1">C18*C20</f>
        <v>0</v>
      </c>
      <c r="D22" s="23">
        <f>D18*D20</f>
        <v>4959.3173875519997</v>
      </c>
      <c r="E22" s="23">
        <f>E18*E20</f>
        <v>753.87601943096774</v>
      </c>
      <c r="F22" s="23">
        <f>F18*F20</f>
        <v>4427.4717810600814</v>
      </c>
      <c r="G22" s="23"/>
      <c r="H22" s="23"/>
      <c r="I22" s="23"/>
      <c r="J22" s="23">
        <f>J18*J20</f>
        <v>21.683429052819644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3057.6289999999999</v>
      </c>
      <c r="C30" s="39">
        <f>IF(ISERROR(B30*3.6/1000000/'E Balans VL '!Z18*100),0,B30*3.6/1000000/'E Balans VL '!Z18*100)</f>
        <v>0.30086288830462254</v>
      </c>
      <c r="D30" s="235" t="s">
        <v>672</v>
      </c>
    </row>
    <row r="31" spans="1:18">
      <c r="A31" s="6" t="s">
        <v>32</v>
      </c>
      <c r="B31" s="37">
        <f>IF( ISERROR(IND_ander_ele_kWh/1000),0,IND_ander_ele_kWh/1000)</f>
        <v>7848.6270000000004</v>
      </c>
      <c r="C31" s="39">
        <f>IF(ISERROR(B31*3.6/1000000/'E Balans VL '!Z19*100),0,B31*3.6/1000000/'E Balans VL '!Z19*100)</f>
        <v>0.34180144506191495</v>
      </c>
      <c r="D31" s="235" t="s">
        <v>672</v>
      </c>
    </row>
    <row r="32" spans="1:18">
      <c r="A32" s="170" t="s">
        <v>40</v>
      </c>
      <c r="B32" s="37">
        <f>IF( ISERROR(IND_voed_ele_kWh/1000),0,IND_voed_ele_kWh/1000)</f>
        <v>3715.5940000000001</v>
      </c>
      <c r="C32" s="39">
        <f>IF(ISERROR(B32*3.6/1000000/'E Balans VL '!Z20*100),0,B32*3.6/1000000/'E Balans VL '!Z20*100)</f>
        <v>0.70498037680520176</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4744.7020000000002</v>
      </c>
      <c r="C34" s="39">
        <f>IF(ISERROR(B34*3.6/1000000/'E Balans VL '!Z22*100),0,B34*3.6/1000000/'E Balans VL '!Z22*100)</f>
        <v>0.66715274601241281</v>
      </c>
      <c r="D34" s="235" t="s">
        <v>672</v>
      </c>
    </row>
    <row r="35" spans="1:5">
      <c r="A35" s="170" t="s">
        <v>38</v>
      </c>
      <c r="B35" s="37">
        <f>IF( ISERROR(IND_papier_ele_kWh/1000),0,IND_papier_ele_kWh/1000)</f>
        <v>58.378</v>
      </c>
      <c r="C35" s="39">
        <f>IF(ISERROR(B35*3.6/1000000/'E Balans VL '!Z22*100),0,B35*3.6/1000000/'E Balans VL '!Z22*100)</f>
        <v>8.2085330136039362E-3</v>
      </c>
      <c r="D35" s="235" t="s">
        <v>672</v>
      </c>
    </row>
    <row r="36" spans="1:5">
      <c r="A36" s="170" t="s">
        <v>33</v>
      </c>
      <c r="B36" s="37">
        <f>IF( ISERROR(IND_chemie_ele_kWh/1000),0,IND_chemie_ele_kWh/1000)</f>
        <v>844.03399999999999</v>
      </c>
      <c r="C36" s="39">
        <f>IF(ISERROR(B36*3.6/1000000/'E Balans VL '!Z24*100),0,B36*3.6/1000000/'E Balans VL '!Z24*100)</f>
        <v>2.4597644831881867E-2</v>
      </c>
      <c r="D36" s="235" t="s">
        <v>672</v>
      </c>
    </row>
    <row r="37" spans="1:5">
      <c r="A37" s="170" t="s">
        <v>259</v>
      </c>
      <c r="B37" s="37">
        <f>IF( ISERROR(IND_rest_ele_kWh/1000),0,IND_rest_ele_kWh/1000)</f>
        <v>13697.683999999999</v>
      </c>
      <c r="C37" s="39">
        <f>IF(ISERROR(B37*3.6/1000000/'E Balans VL '!Z15*100),0,B37*3.6/1000000/'E Balans VL '!Z15*100)</f>
        <v>0.10555747944390483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3585.8240000000001</v>
      </c>
      <c r="C5" s="17">
        <f>'Eigen informatie GS &amp; warmtenet'!B60</f>
        <v>0</v>
      </c>
      <c r="D5" s="30">
        <f>IF(ISERROR(SUM(LB_lb_gas_kWh,LB_rest_gas_kWh)/1000),0,SUM(LB_lb_gas_kWh,LB_rest_gas_kWh)/1000)*0.902</f>
        <v>342.60575800000004</v>
      </c>
      <c r="E5" s="17">
        <f>B17*'E Balans VL '!I25/3.6*1000000/100</f>
        <v>45.186001880547444</v>
      </c>
      <c r="F5" s="17">
        <f>B17*('E Balans VL '!L25/3.6*1000000+'E Balans VL '!N25/3.6*1000000)/100</f>
        <v>12371.991102587781</v>
      </c>
      <c r="G5" s="18"/>
      <c r="H5" s="17"/>
      <c r="I5" s="17"/>
      <c r="J5" s="17">
        <f>('E Balans VL '!D25+'E Balans VL '!E25)/3.6*1000000*landbouw!B17/100</f>
        <v>539.26716739140033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3585.8240000000001</v>
      </c>
      <c r="C8" s="21">
        <f>C5+C6</f>
        <v>0</v>
      </c>
      <c r="D8" s="21">
        <f>MAX((D5+D6),0)</f>
        <v>342.60575800000004</v>
      </c>
      <c r="E8" s="21">
        <f>MAX((E5+E6),0)</f>
        <v>45.186001880547444</v>
      </c>
      <c r="F8" s="21">
        <f>MAX((F5+F6),0)</f>
        <v>12371.991102587781</v>
      </c>
      <c r="G8" s="21"/>
      <c r="H8" s="21"/>
      <c r="I8" s="21"/>
      <c r="J8" s="21">
        <f>MAX((J5+J6),0)</f>
        <v>539.26716739140033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0.18498131893515332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663.31045298932725</v>
      </c>
      <c r="C12" s="23">
        <f ca="1">C8*C10</f>
        <v>0</v>
      </c>
      <c r="D12" s="23">
        <f>D8*D10</f>
        <v>69.206363116000006</v>
      </c>
      <c r="E12" s="23">
        <f>E8*E10</f>
        <v>10.257222426884271</v>
      </c>
      <c r="F12" s="23">
        <f>F8*F10</f>
        <v>3303.3216243909378</v>
      </c>
      <c r="G12" s="23"/>
      <c r="H12" s="23"/>
      <c r="I12" s="23"/>
      <c r="J12" s="23">
        <f>J8*J10</f>
        <v>190.90057725655572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0.50010942938783232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22.975669308962562</v>
      </c>
      <c r="C26" s="245">
        <f>B26*'GWP N2O_CH4'!B5</f>
        <v>482.48905548821381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2.8593255124752877</v>
      </c>
      <c r="C27" s="245">
        <f>B27*'GWP N2O_CH4'!B5</f>
        <v>60.045835761981039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0.36546069213513577</v>
      </c>
      <c r="C28" s="245">
        <f>B28*'GWP N2O_CH4'!B4</f>
        <v>113.29281456189209</v>
      </c>
      <c r="D28" s="50"/>
    </row>
    <row r="29" spans="1:4">
      <c r="A29" s="41" t="s">
        <v>266</v>
      </c>
      <c r="B29" s="245">
        <f>B34*'ha_N2O bodem landbouw'!B4</f>
        <v>5.188219639595963</v>
      </c>
      <c r="C29" s="245">
        <f>B29*'GWP N2O_CH4'!B4</f>
        <v>1608.3480882747485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1.2954466018695481E-3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7.8303530063611275E-5</v>
      </c>
      <c r="C5" s="434" t="s">
        <v>204</v>
      </c>
      <c r="D5" s="419">
        <f>SUM(D6:D11)</f>
        <v>7.2601970085796162E-5</v>
      </c>
      <c r="E5" s="419">
        <f>SUM(E6:E11)</f>
        <v>2.8731568249949655E-3</v>
      </c>
      <c r="F5" s="432" t="s">
        <v>204</v>
      </c>
      <c r="G5" s="419">
        <f>SUM(G6:G11)</f>
        <v>0.82013770174873457</v>
      </c>
      <c r="H5" s="419">
        <f>SUM(H6:H11)</f>
        <v>0.1274295535969461</v>
      </c>
      <c r="I5" s="434" t="s">
        <v>204</v>
      </c>
      <c r="J5" s="434" t="s">
        <v>204</v>
      </c>
      <c r="K5" s="434" t="s">
        <v>204</v>
      </c>
      <c r="L5" s="434" t="s">
        <v>204</v>
      </c>
      <c r="M5" s="419">
        <f>SUM(M6:M11)</f>
        <v>4.2838838771332578E-2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1.9280889226273783E-5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1.7176984260516517E-5</v>
      </c>
      <c r="E6" s="873">
        <f>vkm_GW_PW*SUMIFS(TableVerdeelsleutelVkm[LPG],TableVerdeelsleutelVkm[Voertuigtype],"Lichte voertuigen")*SUMIFS(TableECFTransport[EnergieConsumptieFactor (PJ per km)],TableECFTransport[Index],CONCATENATE($A6,"_LPG_LPG"))</f>
        <v>6.1823974124521205E-4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0.12117832674719119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2.970788212147837E-2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6.8255738928035773E-3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1.4312356367139093E-7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2.239683220080127E-2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5.1052978099096105E-7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1.0112514835729531E-3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1.3956320342579379E-5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1.9603991449812258E-5</v>
      </c>
      <c r="E8" s="422">
        <f>vkm_NGW_PW*SUMIFS(TableVerdeelsleutelVkm[LPG],TableVerdeelsleutelVkm[Voertuigtype],"Lichte voertuigen")*SUMIFS(TableECFTransport[EnergieConsumptieFactor (PJ per km)],TableECFTransport[Index],CONCATENATE($A8,"_LPG_LPG"))</f>
        <v>6.7151917260031542E-4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0.12363905280785588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3.2547823964754807E-2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7.0661430991828334E-3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2.744482483623316E-8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5.5166568275744664E-3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1.1816445310797275E-7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2.4908521015479408E-4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4.3153579155163692E-5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3.5820994375467396E-5</v>
      </c>
      <c r="E10" s="422">
        <f>vkm_SW_PW*SUMIFS(TableVerdeelsleutelVkm[LPG],TableVerdeelsleutelVkm[Voertuigtype],"Lichte voertuigen")*SUMIFS(TableECFTransport[EnergieConsumptieFactor (PJ per km)],TableECFTransport[Index],CONCATENATE($A10,"_LPG_LPG"))</f>
        <v>1.5833979111494379E-3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0.28765165285009353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6.5166822474932953E-2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1.595841678843361E-2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1.7421729510867985E-6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0.25975518031521827</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6.3963415458729592E-6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1.1728368297184809E-2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21.750980573225355</v>
      </c>
      <c r="C14" s="21"/>
      <c r="D14" s="21">
        <f t="shared" ref="D14:M14" si="0">((D5)*10^9/3600)+D12</f>
        <v>20.167213912721156</v>
      </c>
      <c r="E14" s="21">
        <f t="shared" si="0"/>
        <v>798.09911805415709</v>
      </c>
      <c r="F14" s="21"/>
      <c r="G14" s="21">
        <f t="shared" si="0"/>
        <v>227816.02826353739</v>
      </c>
      <c r="H14" s="21">
        <f t="shared" si="0"/>
        <v>35397.098221373919</v>
      </c>
      <c r="I14" s="21"/>
      <c r="J14" s="21"/>
      <c r="K14" s="21"/>
      <c r="L14" s="21"/>
      <c r="M14" s="21">
        <f t="shared" si="0"/>
        <v>11899.677436481272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0.18498131893515332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4.0235250745681235</v>
      </c>
      <c r="C18" s="23"/>
      <c r="D18" s="23">
        <f t="shared" ref="D18:M18" si="1">D14*D16</f>
        <v>4.0737772103696734</v>
      </c>
      <c r="E18" s="23">
        <f t="shared" si="1"/>
        <v>181.16849979829365</v>
      </c>
      <c r="F18" s="23"/>
      <c r="G18" s="23">
        <f t="shared" si="1"/>
        <v>60826.879546364486</v>
      </c>
      <c r="H18" s="23">
        <f t="shared" si="1"/>
        <v>8813.8774571221056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6.3636027871920075E-5</v>
      </c>
      <c r="C50" s="316">
        <f t="shared" ref="C50:P50" si="2">SUM(C51:C52)</f>
        <v>0</v>
      </c>
      <c r="D50" s="316">
        <f t="shared" si="2"/>
        <v>0</v>
      </c>
      <c r="E50" s="316">
        <f t="shared" si="2"/>
        <v>0</v>
      </c>
      <c r="F50" s="316">
        <f t="shared" si="2"/>
        <v>0</v>
      </c>
      <c r="G50" s="316">
        <f t="shared" si="2"/>
        <v>1.2386392447711159E-2</v>
      </c>
      <c r="H50" s="316">
        <f t="shared" si="2"/>
        <v>0</v>
      </c>
      <c r="I50" s="316">
        <f t="shared" si="2"/>
        <v>0</v>
      </c>
      <c r="J50" s="316">
        <f t="shared" si="2"/>
        <v>0</v>
      </c>
      <c r="K50" s="316">
        <f t="shared" si="2"/>
        <v>0</v>
      </c>
      <c r="L50" s="316">
        <f t="shared" si="2"/>
        <v>0</v>
      </c>
      <c r="M50" s="316">
        <f t="shared" si="2"/>
        <v>5.5541624502142457E-4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6.3636027871920075E-5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1.2386392447711159E-2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5.5541624502142457E-4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17.676674408866688</v>
      </c>
      <c r="C54" s="21">
        <f t="shared" ref="C54:P54" si="3">(C50)*10^9/3600</f>
        <v>0</v>
      </c>
      <c r="D54" s="21">
        <f t="shared" si="3"/>
        <v>0</v>
      </c>
      <c r="E54" s="21">
        <f t="shared" si="3"/>
        <v>0</v>
      </c>
      <c r="F54" s="21">
        <f t="shared" si="3"/>
        <v>0</v>
      </c>
      <c r="G54" s="21">
        <f t="shared" si="3"/>
        <v>3440.6645688086551</v>
      </c>
      <c r="H54" s="21">
        <f t="shared" si="3"/>
        <v>0</v>
      </c>
      <c r="I54" s="21">
        <f t="shared" si="3"/>
        <v>0</v>
      </c>
      <c r="J54" s="21">
        <f t="shared" si="3"/>
        <v>0</v>
      </c>
      <c r="K54" s="21">
        <f t="shared" si="3"/>
        <v>0</v>
      </c>
      <c r="L54" s="21">
        <f t="shared" si="3"/>
        <v>0</v>
      </c>
      <c r="M54" s="21">
        <f t="shared" si="3"/>
        <v>154.28229028372905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0.18498131893515332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3.2698545465394315</v>
      </c>
      <c r="C58" s="23">
        <f t="shared" ref="C58:P58" ca="1" si="4">C54*C56</f>
        <v>0</v>
      </c>
      <c r="D58" s="23">
        <f t="shared" si="4"/>
        <v>0</v>
      </c>
      <c r="E58" s="23">
        <f t="shared" si="4"/>
        <v>0</v>
      </c>
      <c r="F58" s="23">
        <f t="shared" si="4"/>
        <v>0</v>
      </c>
      <c r="G58" s="23">
        <f t="shared" si="4"/>
        <v>918.65743987191092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22546.945740557359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22546.945740557359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2021-11-11T13:27:46Z</dcterms:modified>
</cp:coreProperties>
</file>