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3E24742-C9D4-4039-9B88-84171BCE777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D10" i="18"/>
  <c r="B6" i="18"/>
  <c r="B5" i="18"/>
  <c r="B4" i="18"/>
  <c r="J9" i="18" l="1"/>
  <c r="F20" i="18"/>
  <c r="I9" i="18"/>
  <c r="O9" i="18" s="1"/>
  <c r="B17" i="18"/>
  <c r="B20" i="18" s="1"/>
  <c r="I49" i="18"/>
  <c r="H17" i="18" s="1"/>
  <c r="G49" i="18"/>
  <c r="F49" i="18"/>
  <c r="C49" i="18"/>
  <c r="B49" i="18"/>
  <c r="C17" i="18" s="1"/>
  <c r="C20" i="18" s="1"/>
  <c r="C45" i="18"/>
  <c r="E48" i="18" s="1"/>
  <c r="E8" i="18" s="1"/>
  <c r="E10" i="18" s="1"/>
  <c r="O18" i="18"/>
  <c r="H20" i="18"/>
  <c r="G20" i="18"/>
  <c r="K20" i="18"/>
  <c r="B10" i="18"/>
  <c r="O19" i="18"/>
  <c r="D49" i="18"/>
  <c r="H49" i="18"/>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<sst xmlns="http://schemas.openxmlformats.org/spreadsheetml/2006/main" count="2516" uniqueCount="929">
  <si>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</si>
  <si>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</si>
  <si>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</si>
  <si>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</si>
  <si>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</si>
  <si>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</si>
  <si>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</si>
  <si>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</si>
  <si>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</si>
  <si>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</si>
  <si>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</si>
  <si>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</si>
  <si>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</si>
  <si>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</si>
  <si>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</si>
  <si>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</si>
  <si>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</si>
  <si>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</si>
  <si>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</si>
  <si>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</si>
  <si>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</si>
  <si>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</si>
  <si>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</si>
  <si>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</si>
  <si>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</si>
  <si>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</si>
  <si>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</si>
  <si>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</si>
  <si>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</si>
  <si>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</si>
  <si>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</si>
  <si>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</si>
  <si>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</si>
  <si>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</si>
  <si>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</si>
  <si>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</si>
  <si>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</si>
  <si>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</si>
  <si>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</si>
  <si>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</si>
  <si>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</si>
  <si>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</si>
  <si>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</si>
  <si>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</si>
  <si>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</si>
  <si>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</si>
  <si>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</si>
  <si>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</si>
  <si>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</si>
  <si>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</si>
  <si>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</si>
  <si>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</si>
  <si>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</si>
  <si>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</si>
  <si>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</si>
  <si>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</si>
  <si>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</si>
  <si>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</si>
  <si>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</si>
  <si>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</si>
  <si>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</si>
  <si>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</si>
  <si>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</si>
  <si>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</si>
  <si>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</si>
  <si>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</si>
  <si>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</si>
  <si>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</si>
  <si>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</si>
  <si>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</si>
  <si>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</si>
  <si>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</si>
  <si>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</si>
  <si>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</si>
  <si>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</si>
  <si>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</si>
  <si>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</si>
  <si>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</si>
  <si>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</si>
  <si>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</si>
  <si>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</si>
  <si>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</si>
  <si>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</si>
  <si>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</si>
  <si>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</si>
  <si>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</si>
  <si>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</si>
  <si>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</si>
  <si>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</si>
  <si>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</si>
  <si>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</si>
  <si>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</si>
  <si>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</si>
  <si>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</si>
  <si>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</si>
  <si>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</si>
  <si>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</si>
  <si>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</si>
  <si>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</si>
  <si>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</si>
  <si>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</si>
  <si>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</si>
  <si>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</si>
  <si>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</si>
  <si>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</si>
  <si>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</si>
  <si>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</si>
  <si>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</si>
  <si>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</si>
  <si>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</si>
  <si>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</si>
  <si>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</si>
  <si>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</si>
  <si>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</si>
  <si>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</si>
  <si>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</si>
  <si>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</si>
  <si>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</si>
  <si>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</si>
  <si>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</si>
  <si>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</si>
  <si>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</si>
  <si>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</si>
  <si>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</si>
  <si>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</si>
  <si>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</si>
  <si>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</si>
  <si>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</si>
  <si>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</si>
  <si>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</si>
  <si>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</si>
  <si>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</si>
  <si>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</si>
  <si>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</si>
  <si>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</si>
  <si>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</si>
  <si>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</si>
  <si>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</si>
  <si>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</si>
  <si>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</si>
  <si>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</si>
  <si>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</si>
  <si>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</si>
  <si>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</si>
  <si>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</si>
  <si>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</si>
  <si>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</si>
  <si>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</si>
  <si>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</si>
  <si>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</si>
  <si>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</si>
  <si>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</si>
  <si>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</si>
  <si>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</si>
  <si>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</si>
  <si>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</si>
  <si>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</si>
  <si>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</si>
  <si>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</si>
  <si>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</si>
  <si>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</si>
  <si>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</si>
  <si>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</si>
  <si>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</si>
  <si>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</si>
  <si>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</si>
  <si>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</si>
  <si>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</si>
  <si>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</si>
  <si>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</si>
  <si>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</si>
  <si>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</si>
  <si>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</si>
  <si>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</si>
  <si>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</si>
  <si>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</si>
  <si>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</si>
  <si>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</si>
  <si>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</si>
  <si>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</si>
  <si>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</si>
  <si>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</si>
  <si>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</si>
  <si>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</si>
  <si>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</si>
  <si>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</si>
  <si>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</si>
  <si>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</si>
  <si>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</si>
  <si>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</si>
  <si>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</si>
  <si>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</si>
  <si>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</si>
  <si>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</si>
  <si>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</si>
  <si>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</si>
  <si>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</si>
  <si>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</si>
  <si>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</si>
  <si>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</si>
  <si>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</si>
  <si>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</si>
  <si>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</si>
  <si>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</si>
  <si>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</si>
  <si>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</si>
  <si>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</si>
  <si>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</si>
  <si>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</si>
  <si>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</si>
  <si>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</si>
  <si>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</si>
  <si>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</si>
  <si>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</si>
  <si>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</si>
  <si>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</si>
  <si>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</si>
  <si>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</si>
  <si>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</si>
  <si>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</si>
  <si>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</si>
  <si>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</si>
  <si>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</si>
  <si>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</si>
  <si>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</si>
  <si>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</si>
  <si>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</si>
  <si>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</si>
  <si>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</si>
  <si>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</si>
  <si>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</si>
  <si>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</si>
  <si>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</si>
  <si>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</si>
  <si>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</si>
  <si>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</si>
  <si>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</si>
  <si>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</si>
  <si>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</si>
  <si>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</si>
  <si>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</si>
  <si>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</si>
  <si>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</si>
  <si>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</si>
  <si>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</si>
  <si>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</si>
  <si>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</si>
  <si>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</si>
  <si>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</si>
  <si>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</si>
  <si>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</si>
  <si>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</si>
  <si>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</si>
  <si>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</si>
  <si>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</si>
  <si>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</si>
  <si>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</si>
  <si>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</si>
  <si>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</si>
  <si>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</si>
  <si>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</si>
  <si>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</si>
  <si>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</si>
  <si>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</si>
  <si>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</si>
  <si>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</si>
  <si>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</si>
  <si>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</si>
  <si>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</si>
  <si>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</si>
  <si>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</si>
  <si>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</si>
  <si>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</si>
  <si>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</si>
  <si>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</si>
  <si>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</si>
  <si>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</si>
  <si>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</si>
  <si>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</si>
  <si>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</si>
  <si>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</si>
  <si>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</si>
  <si>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</si>
  <si>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</si>
  <si>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</si>
  <si>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</si>
  <si>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</si>
  <si>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</si>
  <si>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</si>
  <si>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</si>
  <si>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</si>
  <si>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</si>
  <si>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</si>
  <si>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</si>
  <si>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</si>
  <si>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</si>
  <si>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</si>
  <si>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</si>
  <si>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</si>
  <si>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</si>
  <si>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</si>
  <si>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</si>
  <si>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</si>
  <si>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</si>
  <si>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</si>
  <si>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</si>
  <si>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</si>
  <si>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</si>
  <si>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</si>
  <si>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</si>
  <si>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</si>
  <si>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</si>
  <si>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</si>
  <si>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</si>
  <si>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</si>
  <si>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</si>
  <si>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</si>
  <si>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</si>
  <si>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</si>
  <si>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</si>
  <si>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</si>
  <si>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</si>
  <si>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</si>
  <si>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</si>
  <si>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</si>
  <si>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</si>
  <si>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</si>
  <si>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</si>
  <si>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</si>
  <si>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</si>
  <si>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</si>
  <si>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</si>
  <si>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</si>
  <si>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</si>
  <si>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</si>
  <si>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</si>
  <si>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</si>
  <si>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</si>
  <si>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</si>
  <si>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</si>
  <si>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</si>
  <si>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</si>
  <si>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</si>
  <si>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</si>
  <si>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</si>
  <si>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</si>
  <si>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</si>
  <si>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</si>
  <si>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</si>
  <si>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</si>
  <si>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</si>
  <si>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</si>
  <si>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</si>
  <si>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</si>
  <si>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</si>
  <si>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</si>
  <si>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</si>
  <si>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</si>
  <si>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</si>
  <si>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</si>
  <si>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</si>
  <si>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</si>
  <si>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</si>
  <si>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</si>
  <si>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</si>
  <si>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</si>
  <si>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</si>
  <si>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</si>
  <si>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</si>
  <si>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</si>
  <si>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</si>
  <si>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</si>
  <si>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</si>
  <si>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</si>
  <si>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</si>
  <si>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</si>
  <si>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</si>
  <si>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</si>
  <si>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</si>
  <si>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</si>
  <si>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</si>
  <si>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</si>
  <si>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</si>
  <si>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</si>
  <si>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</si>
  <si>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</si>
  <si>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</si>
  <si>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</si>
  <si>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</si>
  <si>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</si>
  <si>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</si>
  <si>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</si>
  <si>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</si>
  <si>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</si>
  <si>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</si>
  <si>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</si>
  <si>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</si>
  <si>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</si>
  <si>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</si>
  <si>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</si>
  <si>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</si>
  <si>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</si>
  <si>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</si>
  <si>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</si>
  <si>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</si>
  <si>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</si>
  <si>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</si>
  <si>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</si>
  <si>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</si>
  <si>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</si>
  <si>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</si>
  <si>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</si>
  <si>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</si>
  <si>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</si>
  <si>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</si>
  <si>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</si>
  <si>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</si>
  <si>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</si>
  <si>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</si>
  <si>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</si>
  <si>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</si>
  <si>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</si>
  <si>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</si>
  <si>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</si>
  <si>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</si>
  <si>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</si>
  <si>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</si>
  <si>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</si>
  <si>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</si>
  <si>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</si>
  <si>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</si>
  <si>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</si>
  <si>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</si>
  <si>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</si>
  <si>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</si>
  <si>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</si>
  <si>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</si>
  <si>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</si>
  <si>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</si>
  <si>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</si>
  <si>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</si>
  <si>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</si>
  <si>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</si>
  <si>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</si>
  <si>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</si>
  <si>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</si>
  <si>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</si>
  <si>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</si>
  <si>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</si>
  <si>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</si>
  <si>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</si>
  <si>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</si>
  <si>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</si>
  <si>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</si>
  <si>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</si>
  <si>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</si>
  <si>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</si>
  <si>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</si>
  <si>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</si>
  <si>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</si>
  <si>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</si>
  <si>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</si>
  <si>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</si>
  <si>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</si>
  <si>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</si>
  <si>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</si>
  <si>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</si>
  <si>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</si>
  <si>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</si>
  <si>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</si>
  <si>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</si>
  <si>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</si>
  <si>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</si>
  <si>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</si>
  <si>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</si>
  <si>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</si>
  <si>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</si>
  <si>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</si>
  <si>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</si>
  <si>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</si>
  <si>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</si>
  <si>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</si>
  <si>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</si>
  <si>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</si>
  <si>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</si>
  <si>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</si>
  <si>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</si>
  <si>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</si>
  <si>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</si>
  <si>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</si>
  <si>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</si>
  <si>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</si>
  <si>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</si>
  <si>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</si>
  <si>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</si>
  <si>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</si>
  <si>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</si>
  <si>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</si>
  <si>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</si>
  <si>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</si>
  <si>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</si>
  <si>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</si>
  <si>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</si>
  <si>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</si>
  <si>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</si>
  <si>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</si>
  <si>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</si>
  <si>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</si>
  <si>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</si>
  <si>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</si>
  <si>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</si>
  <si>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</si>
  <si>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</si>
  <si>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</si>
  <si>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</si>
  <si>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</si>
  <si>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</si>
  <si>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</si>
  <si>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</si>
  <si>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</si>
  <si>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</si>
  <si>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</si>
  <si>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</si>
  <si>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</si>
  <si>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</si>
  <si>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</si>
  <si>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</si>
  <si>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</si>
  <si>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</si>
  <si>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</si>
  <si>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</si>
  <si>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</si>
  <si>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</si>
  <si>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</si>
  <si>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</si>
  <si>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</si>
  <si>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</si>
  <si>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</si>
  <si>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</si>
  <si>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</si>
  <si>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</si>
  <si>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</si>
  <si>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</si>
  <si>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</si>
  <si>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</si>
  <si>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</si>
  <si>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</si>
  <si>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</si>
  <si>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</si>
  <si>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</si>
  <si>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</si>
  <si>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</si>
  <si>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</si>
  <si>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</si>
  <si>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</si>
  <si>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</si>
  <si>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</si>
  <si>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</si>
  <si>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</si>
  <si>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</si>
  <si>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</si>
  <si>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</si>
  <si>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</si>
  <si>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</si>
  <si>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</si>
  <si>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</si>
  <si>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</si>
  <si>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</si>
  <si>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</si>
  <si>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</si>
  <si>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</si>
  <si>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</si>
  <si>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</si>
  <si>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</si>
  <si>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</si>
  <si>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</si>
  <si>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</si>
  <si>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</si>
  <si>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</si>
  <si>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</si>
  <si>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</si>
  <si>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</si>
  <si>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</si>
  <si>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</si>
  <si>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</si>
  <si>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</si>
  <si>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</si>
  <si>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</si>
  <si>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</si>
  <si>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</si>
  <si>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</si>
  <si>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</si>
  <si>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</si>
  <si>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</si>
  <si>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</si>
  <si>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</si>
  <si>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</si>
  <si>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</si>
  <si>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</si>
  <si>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</si>
  <si>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</si>
  <si>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</si>
  <si>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</si>
  <si>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</si>
  <si>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</si>
  <si>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</si>
  <si>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</si>
  <si>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</si>
  <si>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</si>
  <si>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</si>
  <si>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</si>
  <si>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</si>
  <si>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</si>
  <si>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</si>
  <si>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</si>
  <si>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</si>
  <si>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</si>
  <si>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</si>
  <si>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</si>
  <si>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</si>
  <si>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</si>
  <si>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</si>
  <si>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</si>
  <si>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</si>
  <si>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</si>
  <si>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</si>
  <si>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</si>
  <si>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</si>
  <si>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</si>
  <si>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</si>
  <si>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</si>
  <si>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</si>
  <si>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</si>
  <si>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</si>
  <si>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</si>
  <si>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</si>
  <si>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</si>
  <si>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</si>
  <si>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</si>
  <si>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</si>
  <si>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</si>
  <si>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</si>
  <si>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</si>
  <si>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</si>
  <si>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</si>
  <si>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</si>
  <si>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</si>
  <si>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</si>
  <si>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</si>
  <si>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</si>
  <si>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</si>
  <si>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</si>
  <si>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</si>
  <si>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</si>
  <si>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</si>
  <si>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</si>
  <si>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</si>
  <si>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</si>
  <si>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</si>
  <si>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</si>
  <si>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</si>
  <si>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</si>
  <si>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</si>
  <si>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</si>
  <si>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</si>
  <si>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</si>
  <si>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</si>
  <si>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</si>
  <si>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</si>
  <si>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</si>
  <si>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</si>
  <si>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</si>
  <si>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</si>
  <si>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</si>
  <si>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</si>
  <si>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</si>
  <si>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</si>
  <si>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</si>
  <si>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</si>
  <si>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</si>
  <si>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</si>
  <si>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</si>
  <si>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</si>
  <si>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</si>
  <si>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</si>
  <si>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</si>
  <si>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</si>
  <si>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</si>
  <si>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</si>
  <si>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</si>
  <si>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</si>
  <si>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</si>
  <si>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</si>
  <si>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</si>
  <si>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</si>
  <si>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</si>
  <si>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</si>
  <si>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</si>
  <si>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</si>
  <si>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</si>
  <si>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</si>
  <si>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</si>
  <si>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</si>
  <si>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</si>
  <si>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</si>
  <si>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</si>
  <si>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</si>
  <si>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</si>
  <si>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</si>
  <si>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</si>
  <si>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</si>
  <si>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</si>
  <si>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</si>
  <si>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</si>
  <si>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</si>
  <si>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</si>
  <si>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</si>
  <si>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</si>
  <si>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</si>
  <si>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</si>
  <si>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</si>
  <si>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</si>
  <si>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</si>
  <si>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</si>
  <si>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</si>
  <si>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</si>
  <si>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</si>
  <si>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</si>
  <si>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</si>
  <si>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</si>
  <si>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</si>
  <si>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</si>
  <si>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</si>
  <si>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</si>
  <si>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</si>
  <si>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</si>
  <si>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</si>
  <si>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</si>
  <si>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</si>
  <si>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</si>
  <si>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</si>
  <si>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</si>
  <si>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</si>
  <si>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</si>
  <si>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</si>
  <si>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</si>
  <si>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</si>
  <si>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</si>
  <si>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</si>
  <si>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</si>
  <si>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</si>
  <si>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</si>
  <si>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</si>
  <si>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</si>
  <si>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</si>
  <si>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</si>
  <si>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</si>
  <si>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</si>
  <si>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</si>
  <si>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</si>
  <si>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</si>
  <si>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</si>
  <si>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</si>
  <si>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</si>
  <si>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</si>
  <si>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</si>
  <si>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</si>
  <si>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</si>
  <si>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</si>
  <si>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</si>
  <si>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</si>
  <si>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</si>
  <si>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</si>
  <si>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</si>
  <si>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</si>
  <si>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</si>
  <si>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</si>
  <si>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</si>
  <si>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</si>
  <si>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</si>
  <si>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</si>
  <si>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</si>
  <si>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</si>
  <si>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</si>
  <si>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</si>
  <si>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</si>
  <si>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</si>
  <si>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</si>
  <si>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</si>
  <si>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</si>
  <si>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</si>
  <si>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</si>
  <si>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</si>
  <si>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</si>
  <si>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</si>
  <si>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</si>
  <si>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</si>
  <si>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</si>
  <si>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</si>
  <si>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</si>
  <si>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</si>
  <si>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</si>
  <si>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</si>
  <si>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</si>
  <si>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</si>
  <si>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</si>
  <si>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</si>
  <si>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</si>
  <si>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</si>
  <si>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</si>
  <si>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</si>
  <si>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</si>
  <si>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</si>
  <si>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</si>
  <si>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</si>
  <si>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</si>
  <si>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</si>
  <si>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</si>
  <si>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</si>
  <si>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</si>
  <si>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</si>
  <si>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</si>
  <si>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</si>
  <si>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</si>
  <si>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</si>
  <si>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</si>
  <si>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</si>
  <si>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</si>
  <si>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</si>
  <si>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</si>
  <si>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</si>
  <si>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</si>
  <si>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</si>
  <si>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</si>
  <si>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</si>
  <si>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</si>
  <si>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</si>
  <si>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</si>
  <si>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</si>
  <si>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</si>
  <si>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</si>
  <si>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</si>
  <si>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</si>
  <si>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</si>
  <si>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</si>
  <si>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</si>
  <si>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</si>
  <si>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</si>
  <si>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</si>
  <si>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</si>
  <si>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</si>
  <si>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</si>
  <si>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</si>
  <si>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</si>
  <si>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</si>
  <si>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</si>
  <si>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</si>
  <si>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</si>
  <si>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</si>
  <si>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</si>
  <si>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</si>
  <si>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</si>
  <si>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</si>
  <si>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</si>
  <si>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</si>
  <si>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</si>
  <si>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</si>
  <si>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</si>
  <si>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</si>
  <si>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</si>
  <si>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</si>
  <si>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</si>
  <si>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</si>
  <si>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</si>
  <si>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</si>
  <si>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</si>
  <si>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</si>
  <si>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</si>
  <si>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</si>
  <si>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</si>
  <si>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</si>
  <si>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</si>
  <si>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</si>
  <si>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</si>
  <si>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</si>
  <si>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</si>
  <si>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</si>
  <si>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</si>
  <si>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</si>
  <si>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</si>
  <si>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</si>
  <si>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</si>
  <si>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</si>
  <si>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</si>
  <si>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</si>
  <si>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</si>
  <si>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</si>
  <si>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</si>
  <si>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</si>
  <si>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</si>
  <si>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</si>
  <si>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</si>
  <si>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</si>
  <si>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</si>
  <si>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</si>
  <si>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</si>
  <si>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</si>
  <si>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</si>
  <si>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</si>
  <si>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</si>
  <si>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</si>
  <si>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</si>
  <si>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</si>
  <si>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</si>
  <si>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</si>
  <si>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</si>
  <si>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</si>
  <si>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</si>
  <si>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</si>
  <si>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71057</t>
  </si>
  <si>
    <t>TESSENDERLO</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</si>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</sst>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70C7C02-DC5F-4D77-AAC5-C37435856A8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175772.33074844079</c:v>
                </c:pt>
                <c:pt idx="1">
                  <c:v>51404.39872038555</c:v>
                </c:pt>
                <c:pt idx="2">
                  <c:v>1450.7</c:v>
                </c:pt>
                <c:pt idx="3">
                  <c:v>3861.0018299191729</c:v>
                </c:pt>
                <c:pt idx="4">
                  <c:v>204973.11087522932</c:v>
                </c:pt>
                <c:pt idx="5">
                  <c:v>135444.29077847372</c:v>
                </c:pt>
                <c:pt idx="6">
                  <c:v>2124.9757411764117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175772.33074844079</c:v>
                </c:pt>
                <c:pt idx="1">
                  <c:v>51404.39872038555</c:v>
                </c:pt>
                <c:pt idx="2">
                  <c:v>1450.7</c:v>
                </c:pt>
                <c:pt idx="3">
                  <c:v>3861.0018299191729</c:v>
                </c:pt>
                <c:pt idx="4">
                  <c:v>204973.11087522932</c:v>
                </c:pt>
                <c:pt idx="5">
                  <c:v>135444.29077847372</c:v>
                </c:pt>
                <c:pt idx="6">
                  <c:v>2124.9757411764117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37938.074082582854</c:v>
                </c:pt>
                <c:pt idx="2">
                  <c:v>10375.684980948197</c:v>
                </c:pt>
                <c:pt idx="3">
                  <c:v>301.05045485308642</c:v>
                </c:pt>
                <c:pt idx="4">
                  <c:v>987.10721208360974</c:v>
                </c:pt>
                <c:pt idx="5">
                  <c:v>44932.80420307046</c:v>
                </c:pt>
                <c:pt idx="6">
                  <c:v>34261.327005574574</c:v>
                </c:pt>
                <c:pt idx="7">
                  <c:v>542.51979419703855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37938.074082582854</c:v>
                </c:pt>
                <c:pt idx="2">
                  <c:v>10375.684980948197</c:v>
                </c:pt>
                <c:pt idx="3">
                  <c:v>301.05045485308642</c:v>
                </c:pt>
                <c:pt idx="4">
                  <c:v>987.10721208360974</c:v>
                </c:pt>
                <c:pt idx="5">
                  <c:v>44932.80420307046</c:v>
                </c:pt>
                <c:pt idx="6">
                  <c:v>34261.327005574574</c:v>
                </c:pt>
                <c:pt idx="7">
                  <c:v>542.51979419703855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71057</v>
      </c>
      <c r="B6" s="385"/>
      <c r="C6" s="386"/>
    </row>
    <row r="7" spans="1:7" s="383" customFormat="1" ht="15.75" customHeight="1">
      <c r="A7" s="387" t="str">
        <f>txtMunicipality</f>
        <v>TESSENDERLO</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28414.046999999995</v>
      </c>
      <c r="D10" s="676">
        <f ca="1">tertiair!C16</f>
        <v>34.071428571428577</v>
      </c>
      <c r="E10" s="676">
        <f ca="1">tertiair!D16</f>
        <v>16318.696798857143</v>
      </c>
      <c r="F10" s="676">
        <f>tertiair!E16</f>
        <v>323.43589351933946</v>
      </c>
      <c r="G10" s="676">
        <f ca="1">tertiair!F16</f>
        <v>5252.1925161125346</v>
      </c>
      <c r="H10" s="676">
        <f>tertiair!G16</f>
        <v>0</v>
      </c>
      <c r="I10" s="676">
        <f>tertiair!H16</f>
        <v>0</v>
      </c>
      <c r="J10" s="676">
        <f>tertiair!I16</f>
        <v>0</v>
      </c>
      <c r="K10" s="676">
        <f>tertiair!J16</f>
        <v>0</v>
      </c>
      <c r="L10" s="676">
        <f>tertiair!K16</f>
        <v>0</v>
      </c>
      <c r="M10" s="676">
        <f ca="1">tertiair!L16</f>
        <v>0</v>
      </c>
      <c r="N10" s="676">
        <f>tertiair!M16</f>
        <v>0</v>
      </c>
      <c r="O10" s="676">
        <f ca="1">tertiair!N16</f>
        <v>2490.4617499917867</v>
      </c>
      <c r="P10" s="676">
        <f>tertiair!O16</f>
        <v>3.1266666666666669</v>
      </c>
      <c r="Q10" s="677">
        <f>tertiair!P16</f>
        <v>19.066666666666666</v>
      </c>
      <c r="R10" s="679">
        <f ca="1">SUM(C10:Q10)</f>
        <v>52855.098720385555</v>
      </c>
      <c r="S10" s="67"/>
    </row>
    <row r="11" spans="1:19" s="444" customFormat="1">
      <c r="A11" s="791" t="s">
        <v>214</v>
      </c>
      <c r="B11" s="796"/>
      <c r="C11" s="676">
        <f>huishoudens!B8</f>
        <v>34083.75762106444</v>
      </c>
      <c r="D11" s="676">
        <f>huishoudens!C8</f>
        <v>0</v>
      </c>
      <c r="E11" s="676">
        <f>huishoudens!D8</f>
        <v>50799.828200000004</v>
      </c>
      <c r="F11" s="676">
        <f>huishoudens!E8</f>
        <v>2391.6333459171183</v>
      </c>
      <c r="G11" s="676">
        <f>huishoudens!F8</f>
        <v>73292.73454606111</v>
      </c>
      <c r="H11" s="676">
        <f>huishoudens!G8</f>
        <v>0</v>
      </c>
      <c r="I11" s="676">
        <f>huishoudens!H8</f>
        <v>0</v>
      </c>
      <c r="J11" s="676">
        <f>huishoudens!I8</f>
        <v>0</v>
      </c>
      <c r="K11" s="676">
        <f>huishoudens!J8</f>
        <v>1388.0184536866095</v>
      </c>
      <c r="L11" s="676">
        <f>huishoudens!K8</f>
        <v>0</v>
      </c>
      <c r="M11" s="676">
        <f>huishoudens!L8</f>
        <v>0</v>
      </c>
      <c r="N11" s="676">
        <f>huishoudens!M8</f>
        <v>0</v>
      </c>
      <c r="O11" s="676">
        <f>huishoudens!N8</f>
        <v>12369.931915044848</v>
      </c>
      <c r="P11" s="676">
        <f>huishoudens!O8</f>
        <v>550.29333333333341</v>
      </c>
      <c r="Q11" s="677">
        <f>huishoudens!P8</f>
        <v>896.13333333333333</v>
      </c>
      <c r="R11" s="679">
        <f>SUM(C11:Q11)</f>
        <v>175772.33074844079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131161.62400000001</v>
      </c>
      <c r="D13" s="676">
        <f>industrie!C18</f>
        <v>0</v>
      </c>
      <c r="E13" s="676">
        <f>industrie!D18</f>
        <v>24448.557561999998</v>
      </c>
      <c r="F13" s="676">
        <f>industrie!E18</f>
        <v>2371.0010532775459</v>
      </c>
      <c r="G13" s="676">
        <f>industrie!F18</f>
        <v>45150.517730043553</v>
      </c>
      <c r="H13" s="676">
        <f>industrie!G18</f>
        <v>0</v>
      </c>
      <c r="I13" s="676">
        <f>industrie!H18</f>
        <v>0</v>
      </c>
      <c r="J13" s="676">
        <f>industrie!I18</f>
        <v>0</v>
      </c>
      <c r="K13" s="676">
        <f>industrie!J18</f>
        <v>514.1870674394246</v>
      </c>
      <c r="L13" s="676">
        <f>industrie!K18</f>
        <v>0</v>
      </c>
      <c r="M13" s="676">
        <f>industrie!L18</f>
        <v>0</v>
      </c>
      <c r="N13" s="676">
        <f>industrie!M18</f>
        <v>0</v>
      </c>
      <c r="O13" s="676">
        <f>industrie!N18</f>
        <v>1327.223462468759</v>
      </c>
      <c r="P13" s="676">
        <f>industrie!O18</f>
        <v>0</v>
      </c>
      <c r="Q13" s="677">
        <f>industrie!P18</f>
        <v>0</v>
      </c>
      <c r="R13" s="679">
        <f>SUM(C13:Q13)</f>
        <v>204973.11087522932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193659.42862106446</v>
      </c>
      <c r="D16" s="711">
        <f t="shared" ref="D16:R16" ca="1" si="0">SUM(D9:D15)</f>
        <v>34.071428571428577</v>
      </c>
      <c r="E16" s="711">
        <f t="shared" ca="1" si="0"/>
        <v>91567.082560857147</v>
      </c>
      <c r="F16" s="711">
        <f t="shared" si="0"/>
        <v>5086.0702927140037</v>
      </c>
      <c r="G16" s="711">
        <f t="shared" ca="1" si="0"/>
        <v>123695.4447922172</v>
      </c>
      <c r="H16" s="711">
        <f t="shared" si="0"/>
        <v>0</v>
      </c>
      <c r="I16" s="711">
        <f t="shared" si="0"/>
        <v>0</v>
      </c>
      <c r="J16" s="711">
        <f t="shared" si="0"/>
        <v>0</v>
      </c>
      <c r="K16" s="711">
        <f t="shared" si="0"/>
        <v>1902.205521126034</v>
      </c>
      <c r="L16" s="711">
        <f t="shared" si="0"/>
        <v>0</v>
      </c>
      <c r="M16" s="711">
        <f t="shared" ca="1" si="0"/>
        <v>0</v>
      </c>
      <c r="N16" s="711">
        <f t="shared" si="0"/>
        <v>0</v>
      </c>
      <c r="O16" s="711">
        <f t="shared" ca="1" si="0"/>
        <v>16187.617127505393</v>
      </c>
      <c r="P16" s="711">
        <f t="shared" si="0"/>
        <v>553.42000000000007</v>
      </c>
      <c r="Q16" s="711">
        <f t="shared" si="0"/>
        <v>915.2</v>
      </c>
      <c r="R16" s="711">
        <f t="shared" ca="1" si="0"/>
        <v>433600.54034405563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10.397569510131351</v>
      </c>
      <c r="D19" s="676">
        <f>transport!C54</f>
        <v>0</v>
      </c>
      <c r="E19" s="676">
        <f>transport!D54</f>
        <v>0</v>
      </c>
      <c r="F19" s="676">
        <f>transport!E54</f>
        <v>0</v>
      </c>
      <c r="G19" s="676">
        <f>transport!F54</f>
        <v>0</v>
      </c>
      <c r="H19" s="676">
        <f>transport!G54</f>
        <v>2023.8280226109421</v>
      </c>
      <c r="I19" s="676">
        <f>transport!H54</f>
        <v>0</v>
      </c>
      <c r="J19" s="676">
        <f>transport!I54</f>
        <v>0</v>
      </c>
      <c r="K19" s="676">
        <f>transport!J54</f>
        <v>0</v>
      </c>
      <c r="L19" s="676">
        <f>transport!K54</f>
        <v>0</v>
      </c>
      <c r="M19" s="676">
        <f>transport!L54</f>
        <v>0</v>
      </c>
      <c r="N19" s="676">
        <f>transport!M54</f>
        <v>90.750149055338298</v>
      </c>
      <c r="O19" s="676">
        <f>transport!N54</f>
        <v>0</v>
      </c>
      <c r="P19" s="676">
        <f>transport!O54</f>
        <v>0</v>
      </c>
      <c r="Q19" s="677">
        <f>transport!P54</f>
        <v>0</v>
      </c>
      <c r="R19" s="679">
        <f>SUM(C19:Q19)</f>
        <v>2124.9757411764117</v>
      </c>
      <c r="S19" s="67"/>
    </row>
    <row r="20" spans="1:19" s="444" customFormat="1">
      <c r="A20" s="791" t="s">
        <v>296</v>
      </c>
      <c r="B20" s="796"/>
      <c r="C20" s="676">
        <f>transport!B14</f>
        <v>10.372099635179273</v>
      </c>
      <c r="D20" s="676">
        <f>transport!C14</f>
        <v>0</v>
      </c>
      <c r="E20" s="676">
        <f>transport!D14</f>
        <v>10.492977520263123</v>
      </c>
      <c r="F20" s="676">
        <f>transport!E14</f>
        <v>394.08417147479065</v>
      </c>
      <c r="G20" s="676">
        <f>transport!F14</f>
        <v>0</v>
      </c>
      <c r="H20" s="676">
        <f>transport!G14</f>
        <v>111092.22371755641</v>
      </c>
      <c r="I20" s="676">
        <f>transport!H14</f>
        <v>18096.281758926023</v>
      </c>
      <c r="J20" s="676">
        <f>transport!I14</f>
        <v>0</v>
      </c>
      <c r="K20" s="676">
        <f>transport!J14</f>
        <v>0</v>
      </c>
      <c r="L20" s="676">
        <f>transport!K14</f>
        <v>0</v>
      </c>
      <c r="M20" s="676">
        <f>transport!L14</f>
        <v>0</v>
      </c>
      <c r="N20" s="676">
        <f>transport!M14</f>
        <v>5840.8360533610621</v>
      </c>
      <c r="O20" s="676">
        <f>transport!N14</f>
        <v>0</v>
      </c>
      <c r="P20" s="676">
        <f>transport!O14</f>
        <v>0</v>
      </c>
      <c r="Q20" s="677">
        <f>transport!P14</f>
        <v>0</v>
      </c>
      <c r="R20" s="679">
        <f>SUM(C20:Q20)</f>
        <v>135444.29077847372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20.769669145310623</v>
      </c>
      <c r="D22" s="794">
        <f t="shared" ref="D22:R22" si="1">SUM(D18:D21)</f>
        <v>0</v>
      </c>
      <c r="E22" s="794">
        <f t="shared" si="1"/>
        <v>10.492977520263123</v>
      </c>
      <c r="F22" s="794">
        <f t="shared" si="1"/>
        <v>394.08417147479065</v>
      </c>
      <c r="G22" s="794">
        <f t="shared" si="1"/>
        <v>0</v>
      </c>
      <c r="H22" s="794">
        <f t="shared" si="1"/>
        <v>113116.05174016736</v>
      </c>
      <c r="I22" s="794">
        <f t="shared" si="1"/>
        <v>18096.281758926023</v>
      </c>
      <c r="J22" s="794">
        <f t="shared" si="1"/>
        <v>0</v>
      </c>
      <c r="K22" s="794">
        <f t="shared" si="1"/>
        <v>0</v>
      </c>
      <c r="L22" s="794">
        <f t="shared" si="1"/>
        <v>0</v>
      </c>
      <c r="M22" s="794">
        <f t="shared" si="1"/>
        <v>0</v>
      </c>
      <c r="N22" s="794">
        <f t="shared" si="1"/>
        <v>5931.5862024164007</v>
      </c>
      <c r="O22" s="794">
        <f t="shared" si="1"/>
        <v>0</v>
      </c>
      <c r="P22" s="794">
        <f t="shared" si="1"/>
        <v>0</v>
      </c>
      <c r="Q22" s="794">
        <f t="shared" si="1"/>
        <v>0</v>
      </c>
      <c r="R22" s="794">
        <f t="shared" si="1"/>
        <v>137569.26651965012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819.03800000000001</v>
      </c>
      <c r="D24" s="676">
        <f>+landbouw!C8</f>
        <v>0</v>
      </c>
      <c r="E24" s="676">
        <f>+landbouw!D8</f>
        <v>82.582610000000003</v>
      </c>
      <c r="F24" s="676">
        <f>+landbouw!E8</f>
        <v>10.320933935474752</v>
      </c>
      <c r="G24" s="676">
        <f>+landbouw!F8</f>
        <v>2825.886281279084</v>
      </c>
      <c r="H24" s="676">
        <f>+landbouw!G8</f>
        <v>0</v>
      </c>
      <c r="I24" s="676">
        <f>+landbouw!H8</f>
        <v>0</v>
      </c>
      <c r="J24" s="676">
        <f>+landbouw!I8</f>
        <v>0</v>
      </c>
      <c r="K24" s="676">
        <f>+landbouw!J8</f>
        <v>123.17400470461396</v>
      </c>
      <c r="L24" s="676">
        <f>+landbouw!K8</f>
        <v>0</v>
      </c>
      <c r="M24" s="676">
        <f>+landbouw!L8</f>
        <v>0</v>
      </c>
      <c r="N24" s="676">
        <f>+landbouw!M8</f>
        <v>0</v>
      </c>
      <c r="O24" s="676">
        <f>+landbouw!N8</f>
        <v>0</v>
      </c>
      <c r="P24" s="676">
        <f>+landbouw!O8</f>
        <v>0</v>
      </c>
      <c r="Q24" s="677">
        <f>+landbouw!P8</f>
        <v>0</v>
      </c>
      <c r="R24" s="679">
        <f>SUM(C24:Q24)</f>
        <v>3861.0018299191729</v>
      </c>
      <c r="S24" s="67"/>
    </row>
    <row r="25" spans="1:19" s="444" customFormat="1" ht="15" thickBot="1">
      <c r="A25" s="813" t="s">
        <v>833</v>
      </c>
      <c r="B25" s="977"/>
      <c r="C25" s="978">
        <f>IF(Onbekend_ele_kWh="---",0,Onbekend_ele_kWh)/1000+IF(REST_rest_ele_kWh="---",0,REST_rest_ele_kWh)/1000</f>
        <v>649.553</v>
      </c>
      <c r="D25" s="978"/>
      <c r="E25" s="978">
        <f>IF(onbekend_gas_kWh="---",0,onbekend_gas_kWh)/1000+IF(REST_rest_gas_kWh="---",0,REST_rest_gas_kWh)/1000</f>
        <v>7667.7780000000002</v>
      </c>
      <c r="F25" s="978"/>
      <c r="G25" s="978"/>
      <c r="H25" s="978"/>
      <c r="I25" s="978"/>
      <c r="J25" s="978"/>
      <c r="K25" s="978"/>
      <c r="L25" s="978"/>
      <c r="M25" s="978"/>
      <c r="N25" s="978"/>
      <c r="O25" s="978"/>
      <c r="P25" s="978"/>
      <c r="Q25" s="979"/>
      <c r="R25" s="679">
        <f>SUM(C25:Q25)</f>
        <v>8317.3310000000001</v>
      </c>
      <c r="S25" s="67"/>
    </row>
    <row r="26" spans="1:19" s="444" customFormat="1" ht="15.75" thickBot="1">
      <c r="A26" s="684" t="s">
        <v>834</v>
      </c>
      <c r="B26" s="799"/>
      <c r="C26" s="794">
        <f>SUM(C24:C25)</f>
        <v>1468.5909999999999</v>
      </c>
      <c r="D26" s="794">
        <f t="shared" ref="D26:R26" si="2">SUM(D24:D25)</f>
        <v>0</v>
      </c>
      <c r="E26" s="794">
        <f t="shared" si="2"/>
        <v>7750.3606100000006</v>
      </c>
      <c r="F26" s="794">
        <f t="shared" si="2"/>
        <v>10.320933935474752</v>
      </c>
      <c r="G26" s="794">
        <f t="shared" si="2"/>
        <v>2825.886281279084</v>
      </c>
      <c r="H26" s="794">
        <f t="shared" si="2"/>
        <v>0</v>
      </c>
      <c r="I26" s="794">
        <f t="shared" si="2"/>
        <v>0</v>
      </c>
      <c r="J26" s="794">
        <f t="shared" si="2"/>
        <v>0</v>
      </c>
      <c r="K26" s="794">
        <f t="shared" si="2"/>
        <v>123.17400470461396</v>
      </c>
      <c r="L26" s="794">
        <f t="shared" si="2"/>
        <v>0</v>
      </c>
      <c r="M26" s="794">
        <f t="shared" si="2"/>
        <v>0</v>
      </c>
      <c r="N26" s="794">
        <f t="shared" si="2"/>
        <v>0</v>
      </c>
      <c r="O26" s="794">
        <f t="shared" si="2"/>
        <v>0</v>
      </c>
      <c r="P26" s="794">
        <f t="shared" si="2"/>
        <v>0</v>
      </c>
      <c r="Q26" s="794">
        <f t="shared" si="2"/>
        <v>0</v>
      </c>
      <c r="R26" s="794">
        <f t="shared" si="2"/>
        <v>12178.332829919173</v>
      </c>
      <c r="S26" s="67"/>
    </row>
    <row r="27" spans="1:19" s="444" customFormat="1" ht="17.25" thickTop="1" thickBot="1">
      <c r="A27" s="685" t="s">
        <v>109</v>
      </c>
      <c r="B27" s="786"/>
      <c r="C27" s="686">
        <f ca="1">C22+C16+C26</f>
        <v>195148.78929020977</v>
      </c>
      <c r="D27" s="686">
        <f t="shared" ref="D27:R27" ca="1" si="3">D22+D16+D26</f>
        <v>34.071428571428577</v>
      </c>
      <c r="E27" s="686">
        <f t="shared" ca="1" si="3"/>
        <v>99327.936148377412</v>
      </c>
      <c r="F27" s="686">
        <f t="shared" si="3"/>
        <v>5490.4753981242684</v>
      </c>
      <c r="G27" s="686">
        <f t="shared" ca="1" si="3"/>
        <v>126521.33107349629</v>
      </c>
      <c r="H27" s="686">
        <f t="shared" si="3"/>
        <v>113116.05174016736</v>
      </c>
      <c r="I27" s="686">
        <f t="shared" si="3"/>
        <v>18096.281758926023</v>
      </c>
      <c r="J27" s="686">
        <f t="shared" si="3"/>
        <v>0</v>
      </c>
      <c r="K27" s="686">
        <f t="shared" si="3"/>
        <v>2025.3795258306479</v>
      </c>
      <c r="L27" s="686">
        <f t="shared" si="3"/>
        <v>0</v>
      </c>
      <c r="M27" s="686">
        <f t="shared" ca="1" si="3"/>
        <v>0</v>
      </c>
      <c r="N27" s="686">
        <f t="shared" si="3"/>
        <v>5931.5862024164007</v>
      </c>
      <c r="O27" s="686">
        <f t="shared" ca="1" si="3"/>
        <v>16187.617127505393</v>
      </c>
      <c r="P27" s="686">
        <f t="shared" si="3"/>
        <v>553.42000000000007</v>
      </c>
      <c r="Q27" s="686">
        <f t="shared" si="3"/>
        <v>915.2</v>
      </c>
      <c r="R27" s="686">
        <f t="shared" ca="1" si="3"/>
        <v>583348.13969362492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5896.5063580112874</v>
      </c>
      <c r="D40" s="676">
        <f ca="1">tertiair!C20</f>
        <v>8.0969747899159685</v>
      </c>
      <c r="E40" s="676">
        <f ca="1">tertiair!D20</f>
        <v>3296.376753369143</v>
      </c>
      <c r="F40" s="676">
        <f>tertiair!E20</f>
        <v>73.419947828890059</v>
      </c>
      <c r="G40" s="676">
        <f ca="1">tertiair!F20</f>
        <v>1402.3354018020468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10676.735435801284</v>
      </c>
    </row>
    <row r="41" spans="1:18">
      <c r="A41" s="804" t="s">
        <v>214</v>
      </c>
      <c r="B41" s="811"/>
      <c r="C41" s="676">
        <f ca="1">huishoudens!B12</f>
        <v>7073.089360256291</v>
      </c>
      <c r="D41" s="676">
        <f ca="1">huishoudens!C12</f>
        <v>0</v>
      </c>
      <c r="E41" s="676">
        <f>huishoudens!D12</f>
        <v>10261.565296400002</v>
      </c>
      <c r="F41" s="676">
        <f>huishoudens!E12</f>
        <v>542.90076952318589</v>
      </c>
      <c r="G41" s="676">
        <f>huishoudens!F12</f>
        <v>19569.160123798316</v>
      </c>
      <c r="H41" s="676">
        <f>huishoudens!G12</f>
        <v>0</v>
      </c>
      <c r="I41" s="676">
        <f>huishoudens!H12</f>
        <v>0</v>
      </c>
      <c r="J41" s="676">
        <f>huishoudens!I12</f>
        <v>0</v>
      </c>
      <c r="K41" s="676">
        <f>huishoudens!J12</f>
        <v>491.35853260505974</v>
      </c>
      <c r="L41" s="676">
        <f>huishoudens!K12</f>
        <v>0</v>
      </c>
      <c r="M41" s="676">
        <f>huishoudens!L12</f>
        <v>0</v>
      </c>
      <c r="N41" s="676">
        <f>huishoudens!M12</f>
        <v>0</v>
      </c>
      <c r="O41" s="676">
        <f>huishoudens!N12</f>
        <v>0</v>
      </c>
      <c r="P41" s="676">
        <f>huishoudens!O12</f>
        <v>0</v>
      </c>
      <c r="Q41" s="753">
        <f>huishoudens!P12</f>
        <v>0</v>
      </c>
      <c r="R41" s="832">
        <f t="shared" ca="1" si="4"/>
        <v>37938.074082582854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27218.767880657269</v>
      </c>
      <c r="D43" s="676">
        <f ca="1">industrie!C22</f>
        <v>0</v>
      </c>
      <c r="E43" s="676">
        <f>industrie!D22</f>
        <v>4938.6086275239995</v>
      </c>
      <c r="F43" s="676">
        <f>industrie!E22</f>
        <v>538.21723909400293</v>
      </c>
      <c r="G43" s="676">
        <f>industrie!F22</f>
        <v>12055.18823392163</v>
      </c>
      <c r="H43" s="676">
        <f>industrie!G22</f>
        <v>0</v>
      </c>
      <c r="I43" s="676">
        <f>industrie!H22</f>
        <v>0</v>
      </c>
      <c r="J43" s="676">
        <f>industrie!I22</f>
        <v>0</v>
      </c>
      <c r="K43" s="676">
        <f>industrie!J22</f>
        <v>182.0222218735563</v>
      </c>
      <c r="L43" s="676">
        <f>industrie!K22</f>
        <v>0</v>
      </c>
      <c r="M43" s="676">
        <f>industrie!L22</f>
        <v>0</v>
      </c>
      <c r="N43" s="676">
        <f>industrie!M22</f>
        <v>0</v>
      </c>
      <c r="O43" s="676">
        <f>industrie!N22</f>
        <v>0</v>
      </c>
      <c r="P43" s="676">
        <f>industrie!O22</f>
        <v>0</v>
      </c>
      <c r="Q43" s="753">
        <f>industrie!P22</f>
        <v>0</v>
      </c>
      <c r="R43" s="831">
        <f t="shared" ca="1" si="4"/>
        <v>44932.80420307046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40188.363598924843</v>
      </c>
      <c r="D46" s="711">
        <f t="shared" ref="D46:Q46" ca="1" si="5">SUM(D39:D45)</f>
        <v>8.0969747899159685</v>
      </c>
      <c r="E46" s="711">
        <f t="shared" ca="1" si="5"/>
        <v>18496.550677293144</v>
      </c>
      <c r="F46" s="711">
        <f t="shared" si="5"/>
        <v>1154.5379564460789</v>
      </c>
      <c r="G46" s="711">
        <f t="shared" ca="1" si="5"/>
        <v>33026.683759521991</v>
      </c>
      <c r="H46" s="711">
        <f t="shared" si="5"/>
        <v>0</v>
      </c>
      <c r="I46" s="711">
        <f t="shared" si="5"/>
        <v>0</v>
      </c>
      <c r="J46" s="711">
        <f t="shared" si="5"/>
        <v>0</v>
      </c>
      <c r="K46" s="711">
        <f t="shared" si="5"/>
        <v>673.38075447861604</v>
      </c>
      <c r="L46" s="711">
        <f t="shared" si="5"/>
        <v>0</v>
      </c>
      <c r="M46" s="711">
        <f t="shared" ca="1" si="5"/>
        <v>0</v>
      </c>
      <c r="N46" s="711">
        <f t="shared" si="5"/>
        <v>0</v>
      </c>
      <c r="O46" s="711">
        <f t="shared" ca="1" si="5"/>
        <v>0</v>
      </c>
      <c r="P46" s="711">
        <f t="shared" si="5"/>
        <v>0</v>
      </c>
      <c r="Q46" s="711">
        <f t="shared" si="5"/>
        <v>0</v>
      </c>
      <c r="R46" s="711">
        <f ca="1">SUM(R39:R45)</f>
        <v>93547.613721454603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2.1577121599170237</v>
      </c>
      <c r="D49" s="676">
        <f ca="1">transport!C58</f>
        <v>0</v>
      </c>
      <c r="E49" s="676">
        <f>transport!D58</f>
        <v>0</v>
      </c>
      <c r="F49" s="676">
        <f>transport!E58</f>
        <v>0</v>
      </c>
      <c r="G49" s="676">
        <f>transport!F58</f>
        <v>0</v>
      </c>
      <c r="H49" s="676">
        <f>transport!G58</f>
        <v>540.36208203712158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542.51979419703855</v>
      </c>
    </row>
    <row r="50" spans="1:18">
      <c r="A50" s="807" t="s">
        <v>296</v>
      </c>
      <c r="B50" s="817"/>
      <c r="C50" s="682">
        <f ca="1">transport!B18</f>
        <v>2.1524266305592143</v>
      </c>
      <c r="D50" s="682">
        <f>transport!C18</f>
        <v>0</v>
      </c>
      <c r="E50" s="682">
        <f>transport!D18</f>
        <v>2.1195814590931508</v>
      </c>
      <c r="F50" s="682">
        <f>transport!E18</f>
        <v>89.457106924777477</v>
      </c>
      <c r="G50" s="682">
        <f>transport!F18</f>
        <v>0</v>
      </c>
      <c r="H50" s="682">
        <f>transport!G18</f>
        <v>29661.623732587563</v>
      </c>
      <c r="I50" s="682">
        <f>transport!H18</f>
        <v>4505.9741579725796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34261.327005574574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4.3101387904762376</v>
      </c>
      <c r="D52" s="711">
        <f t="shared" ref="D52:Q52" ca="1" si="6">SUM(D48:D51)</f>
        <v>0</v>
      </c>
      <c r="E52" s="711">
        <f t="shared" si="6"/>
        <v>2.1195814590931508</v>
      </c>
      <c r="F52" s="711">
        <f t="shared" si="6"/>
        <v>89.457106924777477</v>
      </c>
      <c r="G52" s="711">
        <f t="shared" si="6"/>
        <v>0</v>
      </c>
      <c r="H52" s="711">
        <f t="shared" si="6"/>
        <v>30201.985814624684</v>
      </c>
      <c r="I52" s="711">
        <f t="shared" si="6"/>
        <v>4505.9741579725796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34803.846799771614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169.9674380933082</v>
      </c>
      <c r="D54" s="682">
        <f ca="1">+landbouw!C12</f>
        <v>0</v>
      </c>
      <c r="E54" s="682">
        <f>+landbouw!D12</f>
        <v>16.681687220000001</v>
      </c>
      <c r="F54" s="682">
        <f>+landbouw!E12</f>
        <v>2.3428520033527689</v>
      </c>
      <c r="G54" s="682">
        <f>+landbouw!F12</f>
        <v>754.51163710151548</v>
      </c>
      <c r="H54" s="682">
        <f>+landbouw!G12</f>
        <v>0</v>
      </c>
      <c r="I54" s="682">
        <f>+landbouw!H12</f>
        <v>0</v>
      </c>
      <c r="J54" s="682">
        <f>+landbouw!I12</f>
        <v>0</v>
      </c>
      <c r="K54" s="682">
        <f>+landbouw!J12</f>
        <v>43.603597665433341</v>
      </c>
      <c r="L54" s="682">
        <f>+landbouw!K12</f>
        <v>0</v>
      </c>
      <c r="M54" s="682">
        <f>+landbouw!L12</f>
        <v>0</v>
      </c>
      <c r="N54" s="682">
        <f>+landbouw!M12</f>
        <v>0</v>
      </c>
      <c r="O54" s="682">
        <f>+landbouw!N12</f>
        <v>0</v>
      </c>
      <c r="P54" s="682">
        <f>+landbouw!O12</f>
        <v>0</v>
      </c>
      <c r="Q54" s="683">
        <f>+landbouw!P12</f>
        <v>0</v>
      </c>
      <c r="R54" s="710">
        <f ca="1">SUM(C54:Q54)</f>
        <v>987.10721208360974</v>
      </c>
    </row>
    <row r="55" spans="1:18" ht="15" thickBot="1">
      <c r="A55" s="807" t="s">
        <v>833</v>
      </c>
      <c r="B55" s="817"/>
      <c r="C55" s="682">
        <f ca="1">C25*'EF ele_warmte'!B12</f>
        <v>134.79577176617278</v>
      </c>
      <c r="D55" s="682"/>
      <c r="E55" s="682">
        <f>E25*EF_CO2_aardgas</f>
        <v>1548.8911560000001</v>
      </c>
      <c r="F55" s="682"/>
      <c r="G55" s="682"/>
      <c r="H55" s="682"/>
      <c r="I55" s="682"/>
      <c r="J55" s="682"/>
      <c r="K55" s="682"/>
      <c r="L55" s="682"/>
      <c r="M55" s="682"/>
      <c r="N55" s="682"/>
      <c r="O55" s="682"/>
      <c r="P55" s="682"/>
      <c r="Q55" s="683"/>
      <c r="R55" s="710">
        <f ca="1">SUM(C55:Q55)</f>
        <v>1683.6869277661729</v>
      </c>
    </row>
    <row r="56" spans="1:18" ht="15.75" thickBot="1">
      <c r="A56" s="805" t="s">
        <v>834</v>
      </c>
      <c r="B56" s="818"/>
      <c r="C56" s="711">
        <f ca="1">SUM(C54:C55)</f>
        <v>304.76320985948098</v>
      </c>
      <c r="D56" s="711">
        <f t="shared" ref="D56:Q56" ca="1" si="7">SUM(D54:D55)</f>
        <v>0</v>
      </c>
      <c r="E56" s="711">
        <f t="shared" si="7"/>
        <v>1565.5728432200001</v>
      </c>
      <c r="F56" s="711">
        <f t="shared" si="7"/>
        <v>2.3428520033527689</v>
      </c>
      <c r="G56" s="711">
        <f t="shared" si="7"/>
        <v>754.51163710151548</v>
      </c>
      <c r="H56" s="711">
        <f t="shared" si="7"/>
        <v>0</v>
      </c>
      <c r="I56" s="711">
        <f t="shared" si="7"/>
        <v>0</v>
      </c>
      <c r="J56" s="711">
        <f t="shared" si="7"/>
        <v>0</v>
      </c>
      <c r="K56" s="711">
        <f t="shared" si="7"/>
        <v>43.603597665433341</v>
      </c>
      <c r="L56" s="711">
        <f t="shared" si="7"/>
        <v>0</v>
      </c>
      <c r="M56" s="711">
        <f t="shared" si="7"/>
        <v>0</v>
      </c>
      <c r="N56" s="711">
        <f t="shared" si="7"/>
        <v>0</v>
      </c>
      <c r="O56" s="711">
        <f t="shared" si="7"/>
        <v>0</v>
      </c>
      <c r="P56" s="711">
        <f t="shared" si="7"/>
        <v>0</v>
      </c>
      <c r="Q56" s="712">
        <f t="shared" si="7"/>
        <v>0</v>
      </c>
      <c r="R56" s="713">
        <f ca="1">SUM(R54:R55)</f>
        <v>2670.7941398497824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40497.436947574803</v>
      </c>
      <c r="D61" s="719">
        <f t="shared" ref="D61:Q61" ca="1" si="8">D46+D52+D56</f>
        <v>8.0969747899159685</v>
      </c>
      <c r="E61" s="719">
        <f t="shared" ca="1" si="8"/>
        <v>20064.243101972239</v>
      </c>
      <c r="F61" s="719">
        <f t="shared" si="8"/>
        <v>1246.3379153742092</v>
      </c>
      <c r="G61" s="719">
        <f t="shared" ca="1" si="8"/>
        <v>33781.195396623509</v>
      </c>
      <c r="H61" s="719">
        <f t="shared" si="8"/>
        <v>30201.985814624684</v>
      </c>
      <c r="I61" s="719">
        <f t="shared" si="8"/>
        <v>4505.9741579725796</v>
      </c>
      <c r="J61" s="719">
        <f t="shared" si="8"/>
        <v>0</v>
      </c>
      <c r="K61" s="719">
        <f t="shared" si="8"/>
        <v>716.98435214404935</v>
      </c>
      <c r="L61" s="719">
        <f t="shared" si="8"/>
        <v>0</v>
      </c>
      <c r="M61" s="719">
        <f t="shared" ca="1" si="8"/>
        <v>0</v>
      </c>
      <c r="N61" s="719">
        <f t="shared" si="8"/>
        <v>0</v>
      </c>
      <c r="O61" s="719">
        <f t="shared" ca="1" si="8"/>
        <v>0</v>
      </c>
      <c r="P61" s="719">
        <f t="shared" si="8"/>
        <v>0</v>
      </c>
      <c r="Q61" s="719">
        <f t="shared" si="8"/>
        <v>0</v>
      </c>
      <c r="R61" s="719">
        <f ca="1">R46+R52+R56</f>
        <v>131022.254661076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0.2075208208817029</v>
      </c>
      <c r="D63" s="762">
        <f t="shared" ca="1" si="9"/>
        <v>0.23764705882352943</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3680.3091060000002</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8223.9556809433943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23.85</v>
      </c>
      <c r="D76" s="994">
        <f>'lokale energieproductie'!C8</f>
        <v>28.058823529411768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5.6678823529411773</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11904.264786943395</v>
      </c>
      <c r="C78" s="734">
        <f>SUM(C72:C77)</f>
        <v>23.85</v>
      </c>
      <c r="D78" s="735">
        <f t="shared" ref="D78:H78" si="10">SUM(D76:D77)</f>
        <v>28.058823529411768</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5.6678823529411773</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34.071428571428577</v>
      </c>
      <c r="D87" s="756">
        <f>'lokale energieproductie'!C17</f>
        <v>40.084033613445385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8.0969747899159685</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34.071428571428577</v>
      </c>
      <c r="D90" s="734">
        <f t="shared" ref="D90:H90" si="12">SUM(D87:D89)</f>
        <v>40.084033613445385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8.0969747899159685</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34083.75762106444</v>
      </c>
      <c r="C4" s="448">
        <f>huishoudens!C8</f>
        <v>0</v>
      </c>
      <c r="D4" s="448">
        <f>huishoudens!D8</f>
        <v>50799.828200000004</v>
      </c>
      <c r="E4" s="448">
        <f>huishoudens!E8</f>
        <v>2391.6333459171183</v>
      </c>
      <c r="F4" s="448">
        <f>huishoudens!F8</f>
        <v>73292.73454606111</v>
      </c>
      <c r="G4" s="448">
        <f>huishoudens!G8</f>
        <v>0</v>
      </c>
      <c r="H4" s="448">
        <f>huishoudens!H8</f>
        <v>0</v>
      </c>
      <c r="I4" s="448">
        <f>huishoudens!I8</f>
        <v>0</v>
      </c>
      <c r="J4" s="448">
        <f>huishoudens!J8</f>
        <v>1388.0184536866095</v>
      </c>
      <c r="K4" s="448">
        <f>huishoudens!K8</f>
        <v>0</v>
      </c>
      <c r="L4" s="448">
        <f>huishoudens!L8</f>
        <v>0</v>
      </c>
      <c r="M4" s="448">
        <f>huishoudens!M8</f>
        <v>0</v>
      </c>
      <c r="N4" s="448">
        <f>huishoudens!N8</f>
        <v>12369.931915044848</v>
      </c>
      <c r="O4" s="448">
        <f>huishoudens!O8</f>
        <v>550.29333333333341</v>
      </c>
      <c r="P4" s="449">
        <f>huishoudens!P8</f>
        <v>896.13333333333333</v>
      </c>
      <c r="Q4" s="450">
        <f>SUM(B4:P4)</f>
        <v>175772.33074844079</v>
      </c>
    </row>
    <row r="5" spans="1:17">
      <c r="A5" s="447" t="s">
        <v>149</v>
      </c>
      <c r="B5" s="448">
        <f ca="1">tertiair!B16</f>
        <v>26963.346999999994</v>
      </c>
      <c r="C5" s="448">
        <f ca="1">tertiair!C16</f>
        <v>34.071428571428577</v>
      </c>
      <c r="D5" s="448">
        <f ca="1">tertiair!D16</f>
        <v>16318.696798857143</v>
      </c>
      <c r="E5" s="448">
        <f>tertiair!E16</f>
        <v>323.43589351933946</v>
      </c>
      <c r="F5" s="448">
        <f ca="1">tertiair!F16</f>
        <v>5252.1925161125346</v>
      </c>
      <c r="G5" s="448">
        <f>tertiair!G16</f>
        <v>0</v>
      </c>
      <c r="H5" s="448">
        <f>tertiair!H16</f>
        <v>0</v>
      </c>
      <c r="I5" s="448">
        <f>tertiair!I16</f>
        <v>0</v>
      </c>
      <c r="J5" s="448">
        <f>tertiair!J16</f>
        <v>0</v>
      </c>
      <c r="K5" s="448">
        <f>tertiair!K16</f>
        <v>0</v>
      </c>
      <c r="L5" s="448">
        <f ca="1">tertiair!L16</f>
        <v>0</v>
      </c>
      <c r="M5" s="448">
        <f>tertiair!M16</f>
        <v>0</v>
      </c>
      <c r="N5" s="448">
        <f ca="1">tertiair!N16</f>
        <v>2490.4617499917867</v>
      </c>
      <c r="O5" s="448">
        <f>tertiair!O16</f>
        <v>3.1266666666666669</v>
      </c>
      <c r="P5" s="449">
        <f>tertiair!P16</f>
        <v>19.066666666666666</v>
      </c>
      <c r="Q5" s="447">
        <f t="shared" ref="Q5:Q14" ca="1" si="0">SUM(B5:P5)</f>
        <v>51404.39872038555</v>
      </c>
    </row>
    <row r="6" spans="1:17">
      <c r="A6" s="447" t="s">
        <v>187</v>
      </c>
      <c r="B6" s="448">
        <f>'openbare verlichting'!B8</f>
        <v>1450.7</v>
      </c>
      <c r="C6" s="448"/>
      <c r="D6" s="448"/>
      <c r="E6" s="448"/>
      <c r="F6" s="448"/>
      <c r="G6" s="448"/>
      <c r="H6" s="448"/>
      <c r="I6" s="448"/>
      <c r="J6" s="448"/>
      <c r="K6" s="448"/>
      <c r="L6" s="448"/>
      <c r="M6" s="448"/>
      <c r="N6" s="448"/>
      <c r="O6" s="448"/>
      <c r="P6" s="449"/>
      <c r="Q6" s="447">
        <f t="shared" si="0"/>
        <v>1450.7</v>
      </c>
    </row>
    <row r="7" spans="1:17">
      <c r="A7" s="447" t="s">
        <v>105</v>
      </c>
      <c r="B7" s="448">
        <f>landbouw!B8</f>
        <v>819.03800000000001</v>
      </c>
      <c r="C7" s="448">
        <f>landbouw!C8</f>
        <v>0</v>
      </c>
      <c r="D7" s="448">
        <f>landbouw!D8</f>
        <v>82.582610000000003</v>
      </c>
      <c r="E7" s="448">
        <f>landbouw!E8</f>
        <v>10.320933935474752</v>
      </c>
      <c r="F7" s="448">
        <f>landbouw!F8</f>
        <v>2825.886281279084</v>
      </c>
      <c r="G7" s="448">
        <f>landbouw!G8</f>
        <v>0</v>
      </c>
      <c r="H7" s="448">
        <f>landbouw!H8</f>
        <v>0</v>
      </c>
      <c r="I7" s="448">
        <f>landbouw!I8</f>
        <v>0</v>
      </c>
      <c r="J7" s="448">
        <f>landbouw!J8</f>
        <v>123.17400470461396</v>
      </c>
      <c r="K7" s="448">
        <f>landbouw!K8</f>
        <v>0</v>
      </c>
      <c r="L7" s="448">
        <f>landbouw!L8</f>
        <v>0</v>
      </c>
      <c r="M7" s="448">
        <f>landbouw!M8</f>
        <v>0</v>
      </c>
      <c r="N7" s="448">
        <f>landbouw!N8</f>
        <v>0</v>
      </c>
      <c r="O7" s="448">
        <f>landbouw!O8</f>
        <v>0</v>
      </c>
      <c r="P7" s="449">
        <f>landbouw!P8</f>
        <v>0</v>
      </c>
      <c r="Q7" s="447">
        <f t="shared" si="0"/>
        <v>3861.0018299191729</v>
      </c>
    </row>
    <row r="8" spans="1:17">
      <c r="A8" s="447" t="s">
        <v>639</v>
      </c>
      <c r="B8" s="448">
        <f>industrie!B18</f>
        <v>131161.62400000001</v>
      </c>
      <c r="C8" s="448">
        <f>industrie!C18</f>
        <v>0</v>
      </c>
      <c r="D8" s="448">
        <f>industrie!D18</f>
        <v>24448.557561999998</v>
      </c>
      <c r="E8" s="448">
        <f>industrie!E18</f>
        <v>2371.0010532775459</v>
      </c>
      <c r="F8" s="448">
        <f>industrie!F18</f>
        <v>45150.517730043553</v>
      </c>
      <c r="G8" s="448">
        <f>industrie!G18</f>
        <v>0</v>
      </c>
      <c r="H8" s="448">
        <f>industrie!H18</f>
        <v>0</v>
      </c>
      <c r="I8" s="448">
        <f>industrie!I18</f>
        <v>0</v>
      </c>
      <c r="J8" s="448">
        <f>industrie!J18</f>
        <v>514.1870674394246</v>
      </c>
      <c r="K8" s="448">
        <f>industrie!K18</f>
        <v>0</v>
      </c>
      <c r="L8" s="448">
        <f>industrie!L18</f>
        <v>0</v>
      </c>
      <c r="M8" s="448">
        <f>industrie!M18</f>
        <v>0</v>
      </c>
      <c r="N8" s="448">
        <f>industrie!N18</f>
        <v>1327.223462468759</v>
      </c>
      <c r="O8" s="448">
        <f>industrie!O18</f>
        <v>0</v>
      </c>
      <c r="P8" s="449">
        <f>industrie!P18</f>
        <v>0</v>
      </c>
      <c r="Q8" s="447">
        <f t="shared" si="0"/>
        <v>204973.11087522932</v>
      </c>
    </row>
    <row r="9" spans="1:17" s="453" customFormat="1">
      <c r="A9" s="451" t="s">
        <v>557</v>
      </c>
      <c r="B9" s="452">
        <f>transport!B14</f>
        <v>10.372099635179273</v>
      </c>
      <c r="C9" s="452">
        <f>transport!C14</f>
        <v>0</v>
      </c>
      <c r="D9" s="452">
        <f>transport!D14</f>
        <v>10.492977520263123</v>
      </c>
      <c r="E9" s="452">
        <f>transport!E14</f>
        <v>394.08417147479065</v>
      </c>
      <c r="F9" s="452">
        <f>transport!F14</f>
        <v>0</v>
      </c>
      <c r="G9" s="452">
        <f>transport!G14</f>
        <v>111092.22371755641</v>
      </c>
      <c r="H9" s="452">
        <f>transport!H14</f>
        <v>18096.281758926023</v>
      </c>
      <c r="I9" s="452">
        <f>transport!I14</f>
        <v>0</v>
      </c>
      <c r="J9" s="452">
        <f>transport!J14</f>
        <v>0</v>
      </c>
      <c r="K9" s="452">
        <f>transport!K14</f>
        <v>0</v>
      </c>
      <c r="L9" s="452">
        <f>transport!L14</f>
        <v>0</v>
      </c>
      <c r="M9" s="452">
        <f>transport!M14</f>
        <v>5840.8360533610621</v>
      </c>
      <c r="N9" s="452">
        <f>transport!N14</f>
        <v>0</v>
      </c>
      <c r="O9" s="452">
        <f>transport!O14</f>
        <v>0</v>
      </c>
      <c r="P9" s="452">
        <f>transport!P14</f>
        <v>0</v>
      </c>
      <c r="Q9" s="451">
        <f>SUM(B9:P9)</f>
        <v>135444.29077847372</v>
      </c>
    </row>
    <row r="10" spans="1:17">
      <c r="A10" s="447" t="s">
        <v>547</v>
      </c>
      <c r="B10" s="448">
        <f>transport!B54</f>
        <v>10.397569510131351</v>
      </c>
      <c r="C10" s="448">
        <f>transport!C54</f>
        <v>0</v>
      </c>
      <c r="D10" s="448">
        <f>transport!D54</f>
        <v>0</v>
      </c>
      <c r="E10" s="448">
        <f>transport!E54</f>
        <v>0</v>
      </c>
      <c r="F10" s="448">
        <f>transport!F54</f>
        <v>0</v>
      </c>
      <c r="G10" s="448">
        <f>transport!G54</f>
        <v>2023.8280226109421</v>
      </c>
      <c r="H10" s="448">
        <f>transport!H54</f>
        <v>0</v>
      </c>
      <c r="I10" s="448">
        <f>transport!I54</f>
        <v>0</v>
      </c>
      <c r="J10" s="448">
        <f>transport!J54</f>
        <v>0</v>
      </c>
      <c r="K10" s="448">
        <f>transport!K54</f>
        <v>0</v>
      </c>
      <c r="L10" s="448">
        <f>transport!L54</f>
        <v>0</v>
      </c>
      <c r="M10" s="448">
        <f>transport!M54</f>
        <v>90.750149055338298</v>
      </c>
      <c r="N10" s="448">
        <f>transport!N54</f>
        <v>0</v>
      </c>
      <c r="O10" s="448">
        <f>transport!O54</f>
        <v>0</v>
      </c>
      <c r="P10" s="449">
        <f>transport!P54</f>
        <v>0</v>
      </c>
      <c r="Q10" s="447">
        <f t="shared" si="0"/>
        <v>2124.9757411764117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649.553</v>
      </c>
      <c r="C14" s="455"/>
      <c r="D14" s="455">
        <f>'SEAP template'!E25</f>
        <v>7667.7780000000002</v>
      </c>
      <c r="E14" s="455"/>
      <c r="F14" s="455"/>
      <c r="G14" s="455"/>
      <c r="H14" s="455"/>
      <c r="I14" s="455"/>
      <c r="J14" s="455"/>
      <c r="K14" s="455"/>
      <c r="L14" s="455"/>
      <c r="M14" s="455"/>
      <c r="N14" s="455"/>
      <c r="O14" s="455"/>
      <c r="P14" s="456"/>
      <c r="Q14" s="447">
        <f t="shared" si="0"/>
        <v>8317.3310000000001</v>
      </c>
    </row>
    <row r="15" spans="1:17" s="460" customFormat="1">
      <c r="A15" s="457" t="s">
        <v>551</v>
      </c>
      <c r="B15" s="458">
        <f ca="1">SUM(B4:B14)</f>
        <v>195148.78929020977</v>
      </c>
      <c r="C15" s="458">
        <f t="shared" ref="C15:Q15" ca="1" si="1">SUM(C4:C14)</f>
        <v>34.071428571428577</v>
      </c>
      <c r="D15" s="458">
        <f t="shared" ca="1" si="1"/>
        <v>99327.936148377412</v>
      </c>
      <c r="E15" s="458">
        <f t="shared" si="1"/>
        <v>5490.4753981242693</v>
      </c>
      <c r="F15" s="458">
        <f t="shared" ca="1" si="1"/>
        <v>126521.33107349629</v>
      </c>
      <c r="G15" s="458">
        <f t="shared" si="1"/>
        <v>113116.05174016736</v>
      </c>
      <c r="H15" s="458">
        <f t="shared" si="1"/>
        <v>18096.281758926023</v>
      </c>
      <c r="I15" s="458">
        <f t="shared" si="1"/>
        <v>0</v>
      </c>
      <c r="J15" s="458">
        <f t="shared" si="1"/>
        <v>2025.3795258306482</v>
      </c>
      <c r="K15" s="458">
        <f t="shared" si="1"/>
        <v>0</v>
      </c>
      <c r="L15" s="458">
        <f t="shared" ca="1" si="1"/>
        <v>0</v>
      </c>
      <c r="M15" s="458">
        <f t="shared" si="1"/>
        <v>5931.5862024164007</v>
      </c>
      <c r="N15" s="458">
        <f t="shared" ca="1" si="1"/>
        <v>16187.617127505393</v>
      </c>
      <c r="O15" s="458">
        <f t="shared" si="1"/>
        <v>553.42000000000007</v>
      </c>
      <c r="P15" s="458">
        <f t="shared" si="1"/>
        <v>915.2</v>
      </c>
      <c r="Q15" s="458">
        <f t="shared" ca="1" si="1"/>
        <v>583348.13969362492</v>
      </c>
    </row>
    <row r="17" spans="1:17">
      <c r="A17" s="461" t="s">
        <v>552</v>
      </c>
      <c r="B17" s="767">
        <f ca="1">huishoudens!B10</f>
        <v>0.20752082088170293</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7073.089360256291</v>
      </c>
      <c r="C22" s="448">
        <f t="shared" ref="C22:C32" ca="1" si="3">C4*$C$17</f>
        <v>0</v>
      </c>
      <c r="D22" s="448">
        <f t="shared" ref="D22:D32" si="4">D4*$D$17</f>
        <v>10261.565296400002</v>
      </c>
      <c r="E22" s="448">
        <f t="shared" ref="E22:E32" si="5">E4*$E$17</f>
        <v>542.90076952318589</v>
      </c>
      <c r="F22" s="448">
        <f t="shared" ref="F22:F32" si="6">F4*$F$17</f>
        <v>19569.160123798316</v>
      </c>
      <c r="G22" s="448">
        <f t="shared" ref="G22:G32" si="7">G4*$G$17</f>
        <v>0</v>
      </c>
      <c r="H22" s="448">
        <f t="shared" ref="H22:H32" si="8">H4*$H$17</f>
        <v>0</v>
      </c>
      <c r="I22" s="448">
        <f t="shared" ref="I22:I32" si="9">I4*$I$17</f>
        <v>0</v>
      </c>
      <c r="J22" s="448">
        <f t="shared" ref="J22:J32" si="10">J4*$J$17</f>
        <v>491.35853260505974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37938.074082582854</v>
      </c>
    </row>
    <row r="23" spans="1:17">
      <c r="A23" s="447" t="s">
        <v>149</v>
      </c>
      <c r="B23" s="448">
        <f t="shared" ca="1" si="2"/>
        <v>5595.4559031582012</v>
      </c>
      <c r="C23" s="448">
        <f t="shared" ca="1" si="3"/>
        <v>8.0969747899159685</v>
      </c>
      <c r="D23" s="448">
        <f t="shared" ca="1" si="4"/>
        <v>3296.376753369143</v>
      </c>
      <c r="E23" s="448">
        <f t="shared" si="5"/>
        <v>73.419947828890059</v>
      </c>
      <c r="F23" s="448">
        <f t="shared" ca="1" si="6"/>
        <v>1402.3354018020468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10375.684980948197</v>
      </c>
    </row>
    <row r="24" spans="1:17">
      <c r="A24" s="447" t="s">
        <v>187</v>
      </c>
      <c r="B24" s="448">
        <f t="shared" ca="1" si="2"/>
        <v>301.05045485308642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301.05045485308642</v>
      </c>
    </row>
    <row r="25" spans="1:17">
      <c r="A25" s="447" t="s">
        <v>105</v>
      </c>
      <c r="B25" s="448">
        <f t="shared" ca="1" si="2"/>
        <v>169.9674380933082</v>
      </c>
      <c r="C25" s="448">
        <f t="shared" ca="1" si="3"/>
        <v>0</v>
      </c>
      <c r="D25" s="448">
        <f t="shared" si="4"/>
        <v>16.681687220000001</v>
      </c>
      <c r="E25" s="448">
        <f t="shared" si="5"/>
        <v>2.3428520033527689</v>
      </c>
      <c r="F25" s="448">
        <f t="shared" si="6"/>
        <v>754.51163710151548</v>
      </c>
      <c r="G25" s="448">
        <f t="shared" si="7"/>
        <v>0</v>
      </c>
      <c r="H25" s="448">
        <f t="shared" si="8"/>
        <v>0</v>
      </c>
      <c r="I25" s="448">
        <f t="shared" si="9"/>
        <v>0</v>
      </c>
      <c r="J25" s="448">
        <f t="shared" si="10"/>
        <v>43.603597665433341</v>
      </c>
      <c r="K25" s="448">
        <f t="shared" si="11"/>
        <v>0</v>
      </c>
      <c r="L25" s="448">
        <f t="shared" si="12"/>
        <v>0</v>
      </c>
      <c r="M25" s="448">
        <f t="shared" si="13"/>
        <v>0</v>
      </c>
      <c r="N25" s="448">
        <f t="shared" si="14"/>
        <v>0</v>
      </c>
      <c r="O25" s="448">
        <f t="shared" si="15"/>
        <v>0</v>
      </c>
      <c r="P25" s="449">
        <f t="shared" si="16"/>
        <v>0</v>
      </c>
      <c r="Q25" s="447">
        <f t="shared" ca="1" si="17"/>
        <v>987.10721208360974</v>
      </c>
    </row>
    <row r="26" spans="1:17">
      <c r="A26" s="447" t="s">
        <v>639</v>
      </c>
      <c r="B26" s="448">
        <f t="shared" ca="1" si="2"/>
        <v>27218.767880657269</v>
      </c>
      <c r="C26" s="448">
        <f t="shared" ca="1" si="3"/>
        <v>0</v>
      </c>
      <c r="D26" s="448">
        <f t="shared" si="4"/>
        <v>4938.6086275239995</v>
      </c>
      <c r="E26" s="448">
        <f t="shared" si="5"/>
        <v>538.21723909400293</v>
      </c>
      <c r="F26" s="448">
        <f t="shared" si="6"/>
        <v>12055.18823392163</v>
      </c>
      <c r="G26" s="448">
        <f t="shared" si="7"/>
        <v>0</v>
      </c>
      <c r="H26" s="448">
        <f t="shared" si="8"/>
        <v>0</v>
      </c>
      <c r="I26" s="448">
        <f t="shared" si="9"/>
        <v>0</v>
      </c>
      <c r="J26" s="448">
        <f t="shared" si="10"/>
        <v>182.0222218735563</v>
      </c>
      <c r="K26" s="448">
        <f t="shared" si="11"/>
        <v>0</v>
      </c>
      <c r="L26" s="448">
        <f t="shared" si="12"/>
        <v>0</v>
      </c>
      <c r="M26" s="448">
        <f t="shared" si="13"/>
        <v>0</v>
      </c>
      <c r="N26" s="448">
        <f t="shared" si="14"/>
        <v>0</v>
      </c>
      <c r="O26" s="448">
        <f t="shared" si="15"/>
        <v>0</v>
      </c>
      <c r="P26" s="449">
        <f t="shared" si="16"/>
        <v>0</v>
      </c>
      <c r="Q26" s="447">
        <f t="shared" ca="1" si="17"/>
        <v>44932.80420307046</v>
      </c>
    </row>
    <row r="27" spans="1:17" s="453" customFormat="1">
      <c r="A27" s="451" t="s">
        <v>557</v>
      </c>
      <c r="B27" s="761">
        <f t="shared" ca="1" si="2"/>
        <v>2.1524266305592143</v>
      </c>
      <c r="C27" s="452">
        <f t="shared" ca="1" si="3"/>
        <v>0</v>
      </c>
      <c r="D27" s="452">
        <f t="shared" si="4"/>
        <v>2.1195814590931508</v>
      </c>
      <c r="E27" s="452">
        <f t="shared" si="5"/>
        <v>89.457106924777477</v>
      </c>
      <c r="F27" s="452">
        <f t="shared" si="6"/>
        <v>0</v>
      </c>
      <c r="G27" s="452">
        <f t="shared" si="7"/>
        <v>29661.623732587563</v>
      </c>
      <c r="H27" s="452">
        <f t="shared" si="8"/>
        <v>4505.9741579725796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34261.327005574574</v>
      </c>
    </row>
    <row r="28" spans="1:17">
      <c r="A28" s="447" t="s">
        <v>547</v>
      </c>
      <c r="B28" s="448">
        <f t="shared" ca="1" si="2"/>
        <v>2.1577121599170237</v>
      </c>
      <c r="C28" s="448">
        <f t="shared" ca="1" si="3"/>
        <v>0</v>
      </c>
      <c r="D28" s="448">
        <f t="shared" si="4"/>
        <v>0</v>
      </c>
      <c r="E28" s="448">
        <f t="shared" si="5"/>
        <v>0</v>
      </c>
      <c r="F28" s="448">
        <f t="shared" si="6"/>
        <v>0</v>
      </c>
      <c r="G28" s="448">
        <f t="shared" si="7"/>
        <v>540.36208203712158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542.51979419703855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134.79577176617278</v>
      </c>
      <c r="C32" s="448">
        <f t="shared" ca="1" si="3"/>
        <v>0</v>
      </c>
      <c r="D32" s="448">
        <f t="shared" si="4"/>
        <v>1548.8911560000001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1683.6869277661729</v>
      </c>
    </row>
    <row r="33" spans="1:17" s="460" customFormat="1">
      <c r="A33" s="457" t="s">
        <v>551</v>
      </c>
      <c r="B33" s="458">
        <f ca="1">SUM(B22:B32)</f>
        <v>40497.436947574803</v>
      </c>
      <c r="C33" s="458">
        <f t="shared" ref="C33:Q33" ca="1" si="18">SUM(C22:C32)</f>
        <v>8.0969747899159685</v>
      </c>
      <c r="D33" s="458">
        <f t="shared" ca="1" si="18"/>
        <v>20064.243101972239</v>
      </c>
      <c r="E33" s="458">
        <f t="shared" si="18"/>
        <v>1246.3379153742092</v>
      </c>
      <c r="F33" s="458">
        <f t="shared" ca="1" si="18"/>
        <v>33781.195396623509</v>
      </c>
      <c r="G33" s="458">
        <f t="shared" si="18"/>
        <v>30201.985814624684</v>
      </c>
      <c r="H33" s="458">
        <f t="shared" si="18"/>
        <v>4505.9741579725796</v>
      </c>
      <c r="I33" s="458">
        <f t="shared" si="18"/>
        <v>0</v>
      </c>
      <c r="J33" s="458">
        <f t="shared" si="18"/>
        <v>716.98435214404935</v>
      </c>
      <c r="K33" s="458">
        <f t="shared" si="18"/>
        <v>0</v>
      </c>
      <c r="L33" s="458">
        <f t="shared" ca="1" si="18"/>
        <v>0</v>
      </c>
      <c r="M33" s="458">
        <f t="shared" si="18"/>
        <v>0</v>
      </c>
      <c r="N33" s="458">
        <f t="shared" ca="1" si="18"/>
        <v>0</v>
      </c>
      <c r="O33" s="458">
        <f t="shared" si="18"/>
        <v>0</v>
      </c>
      <c r="P33" s="458">
        <f t="shared" si="18"/>
        <v>0</v>
      </c>
      <c r="Q33" s="458">
        <f t="shared" ca="1" si="18"/>
        <v>131022.254661076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3680.3091060000002</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8223.9556809433943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23.85</v>
      </c>
      <c r="D8" s="1020">
        <f>'SEAP template'!D76</f>
        <v>28.058823529411768</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5.6678823529411773</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11904.264786943395</v>
      </c>
      <c r="C10" s="1024">
        <f>SUM(C4:C9)</f>
        <v>23.85</v>
      </c>
      <c r="D10" s="1024">
        <f t="shared" ref="D10:H10" si="0">SUM(D8:D9)</f>
        <v>28.058823529411768</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5.6678823529411773</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0.20752082088170293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34.071428571428577</v>
      </c>
      <c r="D17" s="1021">
        <f>'SEAP template'!D87</f>
        <v>40.084033613445385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8.0969747899159685</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34.071428571428577</v>
      </c>
      <c r="D20" s="1024">
        <f t="shared" ref="D20:H20" si="2">SUM(D17:D19)</f>
        <v>40.084033613445385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8.0969747899159685</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0.20752082088170293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0.20752082088170293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0.20752082088170293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7535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1574</v>
      </c>
      <c r="C14" s="327"/>
      <c r="D14" s="327"/>
      <c r="E14" s="327"/>
      <c r="F14" s="327"/>
    </row>
    <row r="15" spans="1:6">
      <c r="A15" s="1296" t="s">
        <v>177</v>
      </c>
      <c r="B15" s="1297">
        <v>12</v>
      </c>
      <c r="C15" s="327"/>
      <c r="D15" s="327"/>
      <c r="E15" s="327"/>
      <c r="F15" s="327"/>
    </row>
    <row r="16" spans="1:6">
      <c r="A16" s="1296" t="s">
        <v>6</v>
      </c>
      <c r="B16" s="1297">
        <v>647</v>
      </c>
      <c r="C16" s="327"/>
      <c r="D16" s="327"/>
      <c r="E16" s="327"/>
      <c r="F16" s="327"/>
    </row>
    <row r="17" spans="1:6">
      <c r="A17" s="1296" t="s">
        <v>7</v>
      </c>
      <c r="B17" s="1297">
        <v>187</v>
      </c>
      <c r="C17" s="327"/>
      <c r="D17" s="327"/>
      <c r="E17" s="327"/>
      <c r="F17" s="327"/>
    </row>
    <row r="18" spans="1:6">
      <c r="A18" s="1296" t="s">
        <v>8</v>
      </c>
      <c r="B18" s="1297">
        <v>520</v>
      </c>
      <c r="C18" s="327"/>
      <c r="D18" s="327"/>
      <c r="E18" s="327"/>
      <c r="F18" s="327"/>
    </row>
    <row r="19" spans="1:6">
      <c r="A19" s="1296" t="s">
        <v>9</v>
      </c>
      <c r="B19" s="1297">
        <v>497</v>
      </c>
      <c r="C19" s="327"/>
      <c r="D19" s="327"/>
      <c r="E19" s="327"/>
      <c r="F19" s="327"/>
    </row>
    <row r="20" spans="1:6">
      <c r="A20" s="1296" t="s">
        <v>10</v>
      </c>
      <c r="B20" s="1297">
        <v>369</v>
      </c>
      <c r="C20" s="327"/>
      <c r="D20" s="327"/>
      <c r="E20" s="327"/>
      <c r="F20" s="327"/>
    </row>
    <row r="21" spans="1:6">
      <c r="A21" s="1296" t="s">
        <v>11</v>
      </c>
      <c r="B21" s="1297">
        <v>332</v>
      </c>
      <c r="C21" s="327"/>
      <c r="D21" s="327"/>
      <c r="E21" s="327"/>
      <c r="F21" s="327"/>
    </row>
    <row r="22" spans="1:6">
      <c r="A22" s="1296" t="s">
        <v>12</v>
      </c>
      <c r="B22" s="1297">
        <v>1456</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239</v>
      </c>
      <c r="C26" s="327"/>
      <c r="D26" s="327"/>
      <c r="E26" s="327"/>
      <c r="F26" s="327"/>
    </row>
    <row r="27" spans="1:6">
      <c r="A27" s="1296" t="s">
        <v>17</v>
      </c>
      <c r="B27" s="1297">
        <v>230</v>
      </c>
      <c r="C27" s="327"/>
      <c r="D27" s="327"/>
      <c r="E27" s="327"/>
      <c r="F27" s="327"/>
    </row>
    <row r="28" spans="1:6">
      <c r="A28" s="1296" t="s">
        <v>18</v>
      </c>
      <c r="B28" s="1298">
        <v>19375</v>
      </c>
      <c r="C28" s="327"/>
      <c r="D28" s="327"/>
      <c r="E28" s="327"/>
      <c r="F28" s="327"/>
    </row>
    <row r="29" spans="1:6">
      <c r="A29" s="1296" t="s">
        <v>922</v>
      </c>
      <c r="B29" s="1298">
        <v>95</v>
      </c>
      <c r="C29" s="327"/>
      <c r="D29" s="327"/>
      <c r="E29" s="327"/>
      <c r="F29" s="327"/>
    </row>
    <row r="30" spans="1:6">
      <c r="A30" s="1291" t="s">
        <v>923</v>
      </c>
      <c r="B30" s="1299">
        <v>22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207175</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13613</v>
      </c>
    </row>
    <row r="39" spans="1:6">
      <c r="A39" s="1296" t="s">
        <v>29</v>
      </c>
      <c r="B39" s="1296" t="s">
        <v>30</v>
      </c>
      <c r="C39" s="1297">
        <v>3498</v>
      </c>
      <c r="D39" s="1297">
        <v>56319100</v>
      </c>
      <c r="E39" s="1297">
        <v>7796</v>
      </c>
      <c r="F39" s="1297">
        <v>29273602</v>
      </c>
    </row>
    <row r="40" spans="1:6">
      <c r="A40" s="1296" t="s">
        <v>29</v>
      </c>
      <c r="B40" s="1296" t="s">
        <v>28</v>
      </c>
      <c r="C40" s="1297">
        <v>0</v>
      </c>
      <c r="D40" s="1297">
        <v>0</v>
      </c>
      <c r="E40" s="1297">
        <v>0</v>
      </c>
      <c r="F40" s="1297">
        <v>0</v>
      </c>
    </row>
    <row r="41" spans="1:6">
      <c r="A41" s="1296" t="s">
        <v>31</v>
      </c>
      <c r="B41" s="1296" t="s">
        <v>32</v>
      </c>
      <c r="C41" s="1297">
        <v>29</v>
      </c>
      <c r="D41" s="1297">
        <v>852858</v>
      </c>
      <c r="E41" s="1297">
        <v>111</v>
      </c>
      <c r="F41" s="1297">
        <v>2635477</v>
      </c>
    </row>
    <row r="42" spans="1:6">
      <c r="A42" s="1296" t="s">
        <v>31</v>
      </c>
      <c r="B42" s="1296" t="s">
        <v>33</v>
      </c>
      <c r="C42" s="1297">
        <v>0</v>
      </c>
      <c r="D42" s="1297">
        <v>0</v>
      </c>
      <c r="E42" s="1297">
        <v>4</v>
      </c>
      <c r="F42" s="1297">
        <v>5494437</v>
      </c>
    </row>
    <row r="43" spans="1:6">
      <c r="A43" s="1296" t="s">
        <v>31</v>
      </c>
      <c r="B43" s="1296" t="s">
        <v>34</v>
      </c>
      <c r="C43" s="1297">
        <v>0</v>
      </c>
      <c r="D43" s="1297">
        <v>0</v>
      </c>
      <c r="E43" s="1297">
        <v>0</v>
      </c>
      <c r="F43" s="1297">
        <v>0</v>
      </c>
    </row>
    <row r="44" spans="1:6">
      <c r="A44" s="1296" t="s">
        <v>31</v>
      </c>
      <c r="B44" s="1296" t="s">
        <v>35</v>
      </c>
      <c r="C44" s="1297">
        <v>4</v>
      </c>
      <c r="D44" s="1297">
        <v>685656</v>
      </c>
      <c r="E44" s="1297">
        <v>29</v>
      </c>
      <c r="F44" s="1297">
        <v>28476348</v>
      </c>
    </row>
    <row r="45" spans="1:6">
      <c r="A45" s="1296" t="s">
        <v>31</v>
      </c>
      <c r="B45" s="1296" t="s">
        <v>36</v>
      </c>
      <c r="C45" s="1297">
        <v>0</v>
      </c>
      <c r="D45" s="1297">
        <v>0</v>
      </c>
      <c r="E45" s="1297">
        <v>7</v>
      </c>
      <c r="F45" s="1297">
        <v>93062814</v>
      </c>
    </row>
    <row r="46" spans="1:6">
      <c r="A46" s="1296" t="s">
        <v>31</v>
      </c>
      <c r="B46" s="1296" t="s">
        <v>37</v>
      </c>
      <c r="C46" s="1297">
        <v>0</v>
      </c>
      <c r="D46" s="1297">
        <v>0</v>
      </c>
      <c r="E46" s="1297">
        <v>0</v>
      </c>
      <c r="F46" s="1297">
        <v>0</v>
      </c>
    </row>
    <row r="47" spans="1:6">
      <c r="A47" s="1296" t="s">
        <v>31</v>
      </c>
      <c r="B47" s="1296" t="s">
        <v>38</v>
      </c>
      <c r="C47" s="1297">
        <v>5</v>
      </c>
      <c r="D47" s="1297">
        <v>168568</v>
      </c>
      <c r="E47" s="1297">
        <v>7</v>
      </c>
      <c r="F47" s="1297">
        <v>132011</v>
      </c>
    </row>
    <row r="48" spans="1:6">
      <c r="A48" s="1296" t="s">
        <v>31</v>
      </c>
      <c r="B48" s="1296" t="s">
        <v>28</v>
      </c>
      <c r="C48" s="1297">
        <v>4</v>
      </c>
      <c r="D48" s="1297">
        <v>25214467</v>
      </c>
      <c r="E48" s="1297">
        <v>4</v>
      </c>
      <c r="F48" s="1297">
        <v>914463</v>
      </c>
    </row>
    <row r="49" spans="1:6">
      <c r="A49" s="1296" t="s">
        <v>31</v>
      </c>
      <c r="B49" s="1296" t="s">
        <v>39</v>
      </c>
      <c r="C49" s="1297">
        <v>0</v>
      </c>
      <c r="D49" s="1297">
        <v>0</v>
      </c>
      <c r="E49" s="1297">
        <v>0</v>
      </c>
      <c r="F49" s="1297">
        <v>0</v>
      </c>
    </row>
    <row r="50" spans="1:6">
      <c r="A50" s="1296" t="s">
        <v>31</v>
      </c>
      <c r="B50" s="1296" t="s">
        <v>40</v>
      </c>
      <c r="C50" s="1297">
        <v>3</v>
      </c>
      <c r="D50" s="1297">
        <v>183282</v>
      </c>
      <c r="E50" s="1297">
        <v>14</v>
      </c>
      <c r="F50" s="1297">
        <v>446074</v>
      </c>
    </row>
    <row r="51" spans="1:6">
      <c r="A51" s="1296" t="s">
        <v>41</v>
      </c>
      <c r="B51" s="1296" t="s">
        <v>42</v>
      </c>
      <c r="C51" s="1297">
        <v>5</v>
      </c>
      <c r="D51" s="1297">
        <v>91555</v>
      </c>
      <c r="E51" s="1297">
        <v>30</v>
      </c>
      <c r="F51" s="1297">
        <v>819038</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95</v>
      </c>
      <c r="F54" s="1297">
        <v>1450700</v>
      </c>
    </row>
    <row r="55" spans="1:6">
      <c r="A55" s="1296" t="s">
        <v>45</v>
      </c>
      <c r="B55" s="1296" t="s">
        <v>28</v>
      </c>
      <c r="C55" s="1297">
        <v>0</v>
      </c>
      <c r="D55" s="1297">
        <v>0</v>
      </c>
      <c r="E55" s="1297">
        <v>0</v>
      </c>
      <c r="F55" s="1297">
        <v>0</v>
      </c>
    </row>
    <row r="56" spans="1:6">
      <c r="A56" s="1296" t="s">
        <v>47</v>
      </c>
      <c r="B56" s="1296" t="s">
        <v>28</v>
      </c>
      <c r="C56" s="1297">
        <v>85</v>
      </c>
      <c r="D56" s="1297">
        <v>7667778</v>
      </c>
      <c r="E56" s="1297">
        <v>154</v>
      </c>
      <c r="F56" s="1297">
        <v>649553</v>
      </c>
    </row>
    <row r="57" spans="1:6">
      <c r="A57" s="1296" t="s">
        <v>48</v>
      </c>
      <c r="B57" s="1296" t="s">
        <v>49</v>
      </c>
      <c r="C57" s="1297">
        <v>29</v>
      </c>
      <c r="D57" s="1297">
        <v>1677110</v>
      </c>
      <c r="E57" s="1297">
        <v>144</v>
      </c>
      <c r="F57" s="1297">
        <v>3500937</v>
      </c>
    </row>
    <row r="58" spans="1:6">
      <c r="A58" s="1296" t="s">
        <v>48</v>
      </c>
      <c r="B58" s="1296" t="s">
        <v>50</v>
      </c>
      <c r="C58" s="1297">
        <v>19</v>
      </c>
      <c r="D58" s="1297">
        <v>3503627</v>
      </c>
      <c r="E58" s="1297">
        <v>35</v>
      </c>
      <c r="F58" s="1297">
        <v>1836492</v>
      </c>
    </row>
    <row r="59" spans="1:6">
      <c r="A59" s="1296" t="s">
        <v>48</v>
      </c>
      <c r="B59" s="1296" t="s">
        <v>51</v>
      </c>
      <c r="C59" s="1297">
        <v>94</v>
      </c>
      <c r="D59" s="1297">
        <v>5413527</v>
      </c>
      <c r="E59" s="1297">
        <v>239</v>
      </c>
      <c r="F59" s="1297">
        <v>9677930</v>
      </c>
    </row>
    <row r="60" spans="1:6">
      <c r="A60" s="1296" t="s">
        <v>48</v>
      </c>
      <c r="B60" s="1296" t="s">
        <v>52</v>
      </c>
      <c r="C60" s="1297">
        <v>40</v>
      </c>
      <c r="D60" s="1297">
        <v>1889453</v>
      </c>
      <c r="E60" s="1297">
        <v>74</v>
      </c>
      <c r="F60" s="1297">
        <v>2306278</v>
      </c>
    </row>
    <row r="61" spans="1:6">
      <c r="A61" s="1296" t="s">
        <v>48</v>
      </c>
      <c r="B61" s="1296" t="s">
        <v>53</v>
      </c>
      <c r="C61" s="1297">
        <v>74</v>
      </c>
      <c r="D61" s="1297">
        <v>4668644</v>
      </c>
      <c r="E61" s="1297">
        <v>283</v>
      </c>
      <c r="F61" s="1297">
        <v>9144934</v>
      </c>
    </row>
    <row r="62" spans="1:6">
      <c r="A62" s="1296" t="s">
        <v>48</v>
      </c>
      <c r="B62" s="1296" t="s">
        <v>54</v>
      </c>
      <c r="C62" s="1297">
        <v>10</v>
      </c>
      <c r="D62" s="1297">
        <v>1014867</v>
      </c>
      <c r="E62" s="1297">
        <v>14</v>
      </c>
      <c r="F62" s="1297">
        <v>472926</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46850</v>
      </c>
      <c r="E65" s="1297">
        <v>2</v>
      </c>
      <c r="F65" s="1297">
        <v>7221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519846</v>
      </c>
      <c r="E68" s="1299">
        <v>22</v>
      </c>
      <c r="F68" s="1299">
        <v>3888220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45029614</v>
      </c>
      <c r="E73" s="446"/>
      <c r="F73" s="327"/>
    </row>
    <row r="74" spans="1:6">
      <c r="A74" s="1296" t="s">
        <v>63</v>
      </c>
      <c r="B74" s="1296" t="s">
        <v>706</v>
      </c>
      <c r="C74" s="1309" t="s">
        <v>707</v>
      </c>
      <c r="D74" s="1297">
        <v>2862120.8888839455</v>
      </c>
      <c r="E74" s="446"/>
      <c r="F74" s="327"/>
    </row>
    <row r="75" spans="1:6">
      <c r="A75" s="1296" t="s">
        <v>64</v>
      </c>
      <c r="B75" s="1296" t="s">
        <v>704</v>
      </c>
      <c r="C75" s="1309" t="s">
        <v>708</v>
      </c>
      <c r="D75" s="1297">
        <v>41920631</v>
      </c>
      <c r="E75" s="446"/>
      <c r="F75" s="327"/>
    </row>
    <row r="76" spans="1:6">
      <c r="A76" s="1296" t="s">
        <v>64</v>
      </c>
      <c r="B76" s="1296" t="s">
        <v>706</v>
      </c>
      <c r="C76" s="1309" t="s">
        <v>709</v>
      </c>
      <c r="D76" s="1297">
        <v>1218070.8888839455</v>
      </c>
      <c r="E76" s="446"/>
      <c r="F76" s="327"/>
    </row>
    <row r="77" spans="1:6">
      <c r="A77" s="1296" t="s">
        <v>65</v>
      </c>
      <c r="B77" s="1296" t="s">
        <v>704</v>
      </c>
      <c r="C77" s="1309" t="s">
        <v>710</v>
      </c>
      <c r="D77" s="1297">
        <v>46473872</v>
      </c>
      <c r="E77" s="446"/>
      <c r="F77" s="327"/>
    </row>
    <row r="78" spans="1:6">
      <c r="A78" s="1291" t="s">
        <v>65</v>
      </c>
      <c r="B78" s="1291" t="s">
        <v>706</v>
      </c>
      <c r="C78" s="1291" t="s">
        <v>711</v>
      </c>
      <c r="D78" s="1299">
        <v>10369471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562418.22223210882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3680.3091060000002</v>
      </c>
      <c r="C90" s="327"/>
      <c r="D90" s="327"/>
      <c r="E90" s="327"/>
      <c r="F90" s="327"/>
    </row>
    <row r="91" spans="1:6">
      <c r="A91" s="1296" t="s">
        <v>67</v>
      </c>
      <c r="B91" s="1297">
        <v>4810.155621064443</v>
      </c>
      <c r="C91" s="327"/>
      <c r="D91" s="327"/>
      <c r="E91" s="327"/>
      <c r="F91" s="327"/>
    </row>
    <row r="92" spans="1:6">
      <c r="A92" s="1291" t="s">
        <v>68</v>
      </c>
      <c r="B92" s="1292">
        <v>3413.8000598789517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1159</v>
      </c>
      <c r="C97" s="327"/>
      <c r="D97" s="327"/>
      <c r="E97" s="327"/>
      <c r="F97" s="327"/>
    </row>
    <row r="98" spans="1:6">
      <c r="A98" s="1296" t="s">
        <v>71</v>
      </c>
      <c r="B98" s="1297">
        <v>3</v>
      </c>
      <c r="C98" s="327"/>
      <c r="D98" s="327"/>
      <c r="E98" s="327"/>
      <c r="F98" s="327"/>
    </row>
    <row r="99" spans="1:6">
      <c r="A99" s="1296" t="s">
        <v>72</v>
      </c>
      <c r="B99" s="1297">
        <v>69</v>
      </c>
      <c r="C99" s="327"/>
      <c r="D99" s="327"/>
      <c r="E99" s="327"/>
      <c r="F99" s="327"/>
    </row>
    <row r="100" spans="1:6">
      <c r="A100" s="1296" t="s">
        <v>73</v>
      </c>
      <c r="B100" s="1297">
        <v>285</v>
      </c>
      <c r="C100" s="327"/>
      <c r="D100" s="327"/>
      <c r="E100" s="327"/>
      <c r="F100" s="327"/>
    </row>
    <row r="101" spans="1:6">
      <c r="A101" s="1296" t="s">
        <v>74</v>
      </c>
      <c r="B101" s="1297">
        <v>73</v>
      </c>
      <c r="C101" s="327"/>
      <c r="D101" s="327"/>
      <c r="E101" s="327"/>
      <c r="F101" s="327"/>
    </row>
    <row r="102" spans="1:6">
      <c r="A102" s="1296" t="s">
        <v>75</v>
      </c>
      <c r="B102" s="1297">
        <v>75</v>
      </c>
      <c r="C102" s="327"/>
      <c r="D102" s="327"/>
      <c r="E102" s="327"/>
      <c r="F102" s="327"/>
    </row>
    <row r="103" spans="1:6">
      <c r="A103" s="1296" t="s">
        <v>76</v>
      </c>
      <c r="B103" s="1297">
        <v>140</v>
      </c>
      <c r="C103" s="327"/>
      <c r="D103" s="327"/>
      <c r="E103" s="327"/>
      <c r="F103" s="327"/>
    </row>
    <row r="104" spans="1:6">
      <c r="A104" s="1296" t="s">
        <v>77</v>
      </c>
      <c r="B104" s="1297">
        <v>4386</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25</v>
      </c>
      <c r="C123" s="1297">
        <v>29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323</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22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195148.78929020977</v>
      </c>
      <c r="C3" s="43" t="s">
        <v>163</v>
      </c>
      <c r="D3" s="43"/>
      <c r="E3" s="156"/>
      <c r="F3" s="43"/>
      <c r="G3" s="43"/>
      <c r="H3" s="43"/>
      <c r="I3" s="43"/>
      <c r="J3" s="43"/>
      <c r="K3" s="96"/>
    </row>
    <row r="4" spans="1:11">
      <c r="A4" s="353" t="s">
        <v>164</v>
      </c>
      <c r="B4" s="49">
        <f>IF(ISERROR('SEAP template'!B78+'SEAP template'!C78),0,'SEAP template'!B78+'SEAP template'!C78)</f>
        <v>11928.114786943395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5.6678823529411773</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0.20752082088170293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8.0969747899159685</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34.071428571428577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1450.7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0.20752082088170293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301.05045485308642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29273.601999999999</v>
      </c>
      <c r="C5" s="17">
        <f>IF(ISERROR('Eigen informatie GS &amp; warmtenet'!B57),0,'Eigen informatie GS &amp; warmtenet'!B57)</f>
        <v>0</v>
      </c>
      <c r="D5" s="30">
        <f>(SUM(HH_hh_gas_kWh,HH_rest_gas_kWh)/1000)*0.902</f>
        <v>50799.828200000004</v>
      </c>
      <c r="E5" s="17">
        <f>B32*B41</f>
        <v>2391.6333459171183</v>
      </c>
      <c r="F5" s="17">
        <f>B36*B45</f>
        <v>73292.73454606111</v>
      </c>
      <c r="G5" s="18"/>
      <c r="H5" s="17"/>
      <c r="I5" s="17"/>
      <c r="J5" s="17">
        <f>B35*B44+C35*C44</f>
        <v>1388.0184536866095</v>
      </c>
      <c r="K5" s="17"/>
      <c r="L5" s="17"/>
      <c r="M5" s="17"/>
      <c r="N5" s="17">
        <f>B34*B43+C34*C43</f>
        <v>12369.931915044848</v>
      </c>
      <c r="O5" s="17">
        <f>B52*B53*B54</f>
        <v>550.29333333333341</v>
      </c>
      <c r="P5" s="17">
        <f>B60*B61*B62/1000-B60*B61*B62/1000/B63</f>
        <v>896.13333333333333</v>
      </c>
    </row>
    <row r="6" spans="1:16">
      <c r="A6" s="16" t="s">
        <v>617</v>
      </c>
      <c r="B6" s="769">
        <f>kWh_PV_kleiner_dan_10kW</f>
        <v>4810.155621064443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34083.75762106444</v>
      </c>
      <c r="C8" s="21">
        <f>C5</f>
        <v>0</v>
      </c>
      <c r="D8" s="21">
        <f>D5</f>
        <v>50799.828200000004</v>
      </c>
      <c r="E8" s="21">
        <f>E5</f>
        <v>2391.6333459171183</v>
      </c>
      <c r="F8" s="21">
        <f>F5</f>
        <v>73292.73454606111</v>
      </c>
      <c r="G8" s="21"/>
      <c r="H8" s="21"/>
      <c r="I8" s="21"/>
      <c r="J8" s="21">
        <f>J5</f>
        <v>1388.0184536866095</v>
      </c>
      <c r="K8" s="21"/>
      <c r="L8" s="21">
        <f>L5</f>
        <v>0</v>
      </c>
      <c r="M8" s="21">
        <f>M5</f>
        <v>0</v>
      </c>
      <c r="N8" s="21">
        <f>N5</f>
        <v>12369.931915044848</v>
      </c>
      <c r="O8" s="21">
        <f>O5</f>
        <v>550.29333333333341</v>
      </c>
      <c r="P8" s="21">
        <f>P5</f>
        <v>896.13333333333333</v>
      </c>
    </row>
    <row r="9" spans="1:16">
      <c r="B9" s="19"/>
      <c r="C9" s="19"/>
      <c r="D9" s="257"/>
      <c r="E9" s="19"/>
      <c r="F9" s="19"/>
      <c r="G9" s="19"/>
      <c r="H9" s="19"/>
      <c r="I9" s="19"/>
      <c r="J9" s="19"/>
      <c r="K9" s="19"/>
      <c r="L9" s="19"/>
      <c r="M9" s="19"/>
      <c r="N9" s="19"/>
      <c r="O9" s="19"/>
      <c r="P9" s="19"/>
    </row>
    <row r="10" spans="1:16">
      <c r="A10" s="24" t="s">
        <v>207</v>
      </c>
      <c r="B10" s="25">
        <f ca="1">'EF ele_warmte'!B12</f>
        <v>0.20752082088170293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7073.089360256291</v>
      </c>
      <c r="C12" s="23">
        <f ca="1">C10*C8</f>
        <v>0</v>
      </c>
      <c r="D12" s="23">
        <f>D8*D10</f>
        <v>10261.565296400002</v>
      </c>
      <c r="E12" s="23">
        <f>E10*E8</f>
        <v>542.90076952318589</v>
      </c>
      <c r="F12" s="23">
        <f>F10*F8</f>
        <v>19569.160123798316</v>
      </c>
      <c r="G12" s="23"/>
      <c r="H12" s="23"/>
      <c r="I12" s="23"/>
      <c r="J12" s="23">
        <f>J10*J8</f>
        <v>491.35853260505974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7535</v>
      </c>
      <c r="C26" s="36"/>
      <c r="D26" s="227"/>
    </row>
    <row r="27" spans="1:5" s="15" customFormat="1">
      <c r="A27" s="229" t="s">
        <v>722</v>
      </c>
      <c r="B27" s="37">
        <f>SUM(HH_hh_gas_aantal,HH_rest_gas_aantal)</f>
        <v>3498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3323.1</v>
      </c>
      <c r="C31" s="34" t="s">
        <v>104</v>
      </c>
      <c r="D31" s="173"/>
    </row>
    <row r="32" spans="1:5">
      <c r="A32" s="170" t="s">
        <v>72</v>
      </c>
      <c r="B32" s="33">
        <f>IF((B21*($B$26-($B$27-0.05*$B$27)-$B$60))&lt;0,0,B21*($B$26-($B$27-0.05*$B$27)-$B$60))</f>
        <v>104.29560180956251</v>
      </c>
      <c r="C32" s="34" t="s">
        <v>104</v>
      </c>
      <c r="D32" s="173"/>
    </row>
    <row r="33" spans="1:6">
      <c r="A33" s="170" t="s">
        <v>73</v>
      </c>
      <c r="B33" s="33">
        <f>IF((B22*($B$26-($B$27-0.05*$B$27)-$B$60))&lt;0,0,B22*($B$26-($B$27-0.05*$B$27)-$B$60))</f>
        <v>702.03172218047825</v>
      </c>
      <c r="C33" s="34" t="s">
        <v>104</v>
      </c>
      <c r="D33" s="173"/>
    </row>
    <row r="34" spans="1:6">
      <c r="A34" s="170" t="s">
        <v>74</v>
      </c>
      <c r="B34" s="33">
        <f>IF((B24*($B$26-($B$27-0.05*$B$27)-$B$60))&lt;0,0,B24*($B$26-($B$27-0.05*$B$27)-$B$60))</f>
        <v>178.11496361868404</v>
      </c>
      <c r="C34" s="33">
        <f>B26*C24</f>
        <v>1541.3601095828487</v>
      </c>
      <c r="D34" s="232"/>
    </row>
    <row r="35" spans="1:6">
      <c r="A35" s="170" t="s">
        <v>76</v>
      </c>
      <c r="B35" s="33">
        <f>IF((B19*($B$26-($B$27-0.05*$B$27)-$B$60))&lt;0,0,B19*($B$26-($B$27-0.05*$B$27)-$B$60))</f>
        <v>66.193371148476459</v>
      </c>
      <c r="C35" s="33">
        <f>B35/2</f>
        <v>33.096685574238229</v>
      </c>
      <c r="D35" s="232"/>
    </row>
    <row r="36" spans="1:6">
      <c r="A36" s="170" t="s">
        <v>77</v>
      </c>
      <c r="B36" s="33">
        <f>IF((B18*($B$26-($B$27-0.05*$B$27)-$B$60))&lt;0,0,B18*($B$26-($B$27-0.05*$B$27)-$B$60))</f>
        <v>3114.2643412427988</v>
      </c>
      <c r="C36" s="34" t="s">
        <v>104</v>
      </c>
      <c r="D36" s="173"/>
    </row>
    <row r="37" spans="1:6">
      <c r="A37" s="170" t="s">
        <v>78</v>
      </c>
      <c r="B37" s="33">
        <f>B60</f>
        <v>47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352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26939.496999999996</v>
      </c>
      <c r="C5" s="17">
        <f>IF(ISERROR('Eigen informatie GS &amp; warmtenet'!B58),0,'Eigen informatie GS &amp; warmtenet'!B58)</f>
        <v>0</v>
      </c>
      <c r="D5" s="30">
        <f>SUM(D6:D12)</f>
        <v>16386.839656</v>
      </c>
      <c r="E5" s="17">
        <f>SUM(E6:E12)</f>
        <v>323.43589351933946</v>
      </c>
      <c r="F5" s="17">
        <f>SUM(F6:F12)</f>
        <v>5252.1925161125346</v>
      </c>
      <c r="G5" s="18"/>
      <c r="H5" s="17"/>
      <c r="I5" s="17"/>
      <c r="J5" s="17">
        <f>SUM(J6:J12)</f>
        <v>0</v>
      </c>
      <c r="K5" s="17"/>
      <c r="L5" s="17"/>
      <c r="M5" s="17"/>
      <c r="N5" s="17">
        <f>SUM(N6:N12)</f>
        <v>2490.4617499917867</v>
      </c>
      <c r="O5" s="17">
        <f>B38*B39*B40</f>
        <v>3.1266666666666669</v>
      </c>
      <c r="P5" s="17">
        <f>B46*B47*B48/1000-B46*B47*B48/1000/B49</f>
        <v>19.066666666666666</v>
      </c>
      <c r="R5" s="32"/>
    </row>
    <row r="6" spans="1:18">
      <c r="A6" s="32" t="s">
        <v>53</v>
      </c>
      <c r="B6" s="37">
        <f>B26</f>
        <v>9144.9339999999993</v>
      </c>
      <c r="C6" s="33"/>
      <c r="D6" s="37">
        <f>IF(ISERROR(TER_kantoor_gas_kWh/1000),0,TER_kantoor_gas_kWh/1000)*0.902</f>
        <v>4211.1168880000005</v>
      </c>
      <c r="E6" s="33">
        <f>$C$26*'E Balans VL '!I12/100/3.6*1000000</f>
        <v>35.530004685334085</v>
      </c>
      <c r="F6" s="33">
        <f>$C$26*('E Balans VL '!L12+'E Balans VL '!N12)/100/3.6*1000000</f>
        <v>1390.8612491348574</v>
      </c>
      <c r="G6" s="34"/>
      <c r="H6" s="33"/>
      <c r="I6" s="33"/>
      <c r="J6" s="33">
        <f>$C$26*('E Balans VL '!D12+'E Balans VL '!E12)/100/3.6*1000000</f>
        <v>0</v>
      </c>
      <c r="K6" s="33"/>
      <c r="L6" s="33"/>
      <c r="M6" s="33"/>
      <c r="N6" s="33">
        <f>$C$26*'E Balans VL '!Y12/100/3.6*1000000</f>
        <v>5.0399541701134956</v>
      </c>
      <c r="O6" s="33"/>
      <c r="P6" s="33"/>
      <c r="R6" s="32"/>
    </row>
    <row r="7" spans="1:18">
      <c r="A7" s="32" t="s">
        <v>52</v>
      </c>
      <c r="B7" s="37">
        <f t="shared" ref="B7:B12" si="0">B27</f>
        <v>2306.2779999999998</v>
      </c>
      <c r="C7" s="33"/>
      <c r="D7" s="37">
        <f>IF(ISERROR(TER_horeca_gas_kWh/1000),0,TER_horeca_gas_kWh/1000)*0.902</f>
        <v>1704.2866060000001</v>
      </c>
      <c r="E7" s="33">
        <f>$C$27*'E Balans VL '!I9/100/3.6*1000000</f>
        <v>129.91325633657794</v>
      </c>
      <c r="F7" s="33">
        <f>$C$27*('E Balans VL '!L9+'E Balans VL '!N9)/100/3.6*1000000</f>
        <v>664.9925011547831</v>
      </c>
      <c r="G7" s="34"/>
      <c r="H7" s="33"/>
      <c r="I7" s="33"/>
      <c r="J7" s="33">
        <f>$C$27*('E Balans VL '!D9+'E Balans VL '!E9)/100/3.6*1000000</f>
        <v>0</v>
      </c>
      <c r="K7" s="33"/>
      <c r="L7" s="33"/>
      <c r="M7" s="33"/>
      <c r="N7" s="33">
        <f>$C$27*'E Balans VL '!Y9/100/3.6*1000000</f>
        <v>0.63675137125192272</v>
      </c>
      <c r="O7" s="33"/>
      <c r="P7" s="33"/>
      <c r="R7" s="32"/>
    </row>
    <row r="8" spans="1:18">
      <c r="A8" s="6" t="s">
        <v>51</v>
      </c>
      <c r="B8" s="37">
        <f t="shared" si="0"/>
        <v>9677.93</v>
      </c>
      <c r="C8" s="33"/>
      <c r="D8" s="37">
        <f>IF(ISERROR(TER_handel_gas_kWh/1000),0,TER_handel_gas_kWh/1000)*0.902</f>
        <v>4883.001354</v>
      </c>
      <c r="E8" s="33">
        <f>$C$28*'E Balans VL '!I13/100/3.6*1000000</f>
        <v>139.49180525031062</v>
      </c>
      <c r="F8" s="33">
        <f>$C$28*('E Balans VL '!L13+'E Balans VL '!N13)/100/3.6*1000000</f>
        <v>1681.2818247810612</v>
      </c>
      <c r="G8" s="34"/>
      <c r="H8" s="33"/>
      <c r="I8" s="33"/>
      <c r="J8" s="33">
        <f>$C$28*('E Balans VL '!D13+'E Balans VL '!E13)/100/3.6*1000000</f>
        <v>0</v>
      </c>
      <c r="K8" s="33"/>
      <c r="L8" s="33"/>
      <c r="M8" s="33"/>
      <c r="N8" s="33">
        <f>$C$28*'E Balans VL '!Y13/100/3.6*1000000</f>
        <v>28.996155649361576</v>
      </c>
      <c r="O8" s="33"/>
      <c r="P8" s="33"/>
      <c r="R8" s="32"/>
    </row>
    <row r="9" spans="1:18">
      <c r="A9" s="32" t="s">
        <v>50</v>
      </c>
      <c r="B9" s="37">
        <f t="shared" si="0"/>
        <v>1836.492</v>
      </c>
      <c r="C9" s="33"/>
      <c r="D9" s="37">
        <f>IF(ISERROR(TER_gezond_gas_kWh/1000),0,TER_gezond_gas_kWh/1000)*0.902</f>
        <v>3160.2715539999999</v>
      </c>
      <c r="E9" s="33">
        <f>$C$29*'E Balans VL '!I10/100/3.6*1000000</f>
        <v>1.9618494572458078</v>
      </c>
      <c r="F9" s="33">
        <f>$C$29*('E Balans VL '!L10+'E Balans VL '!N10)/100/3.6*1000000</f>
        <v>299.58765828627941</v>
      </c>
      <c r="G9" s="34"/>
      <c r="H9" s="33"/>
      <c r="I9" s="33"/>
      <c r="J9" s="33">
        <f>$C$29*('E Balans VL '!D10+'E Balans VL '!E10)/100/3.6*1000000</f>
        <v>0</v>
      </c>
      <c r="K9" s="33"/>
      <c r="L9" s="33"/>
      <c r="M9" s="33"/>
      <c r="N9" s="33">
        <f>$C$29*'E Balans VL '!Y10/100/3.6*1000000</f>
        <v>18.905637258570355</v>
      </c>
      <c r="O9" s="33"/>
      <c r="P9" s="33"/>
      <c r="R9" s="32"/>
    </row>
    <row r="10" spans="1:18">
      <c r="A10" s="32" t="s">
        <v>49</v>
      </c>
      <c r="B10" s="37">
        <f t="shared" si="0"/>
        <v>3500.9369999999999</v>
      </c>
      <c r="C10" s="33"/>
      <c r="D10" s="37">
        <f>IF(ISERROR(TER_ander_gas_kWh/1000),0,TER_ander_gas_kWh/1000)*0.902</f>
        <v>1512.7532200000001</v>
      </c>
      <c r="E10" s="33">
        <f>$C$30*'E Balans VL '!I14/100/3.6*1000000</f>
        <v>16.100276730950512</v>
      </c>
      <c r="F10" s="33">
        <f>$C$30*('E Balans VL '!L14+'E Balans VL '!N14)/100/3.6*1000000</f>
        <v>1049.3412483781933</v>
      </c>
      <c r="G10" s="34"/>
      <c r="H10" s="33"/>
      <c r="I10" s="33"/>
      <c r="J10" s="33">
        <f>$C$30*('E Balans VL '!D14+'E Balans VL '!E14)/100/3.6*1000000</f>
        <v>0</v>
      </c>
      <c r="K10" s="33"/>
      <c r="L10" s="33"/>
      <c r="M10" s="33"/>
      <c r="N10" s="33">
        <f>$C$30*'E Balans VL '!Y14/100/3.6*1000000</f>
        <v>2436.8832515424892</v>
      </c>
      <c r="O10" s="33"/>
      <c r="P10" s="33"/>
      <c r="R10" s="32"/>
    </row>
    <row r="11" spans="1:18">
      <c r="A11" s="32" t="s">
        <v>54</v>
      </c>
      <c r="B11" s="37">
        <f t="shared" si="0"/>
        <v>472.92599999999999</v>
      </c>
      <c r="C11" s="33"/>
      <c r="D11" s="37">
        <f>IF(ISERROR(TER_onderwijs_gas_kWh/1000),0,TER_onderwijs_gas_kWh/1000)*0.902</f>
        <v>915.410034</v>
      </c>
      <c r="E11" s="33">
        <f>$C$31*'E Balans VL '!I11/100/3.6*1000000</f>
        <v>0.43870105892045014</v>
      </c>
      <c r="F11" s="33">
        <f>$C$31*('E Balans VL '!L11+'E Balans VL '!N11)/100/3.6*1000000</f>
        <v>166.12803437736028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23.85</v>
      </c>
      <c r="C13" s="245">
        <f ca="1">'lokale energieproductie'!O38+'lokale energieproductie'!O31</f>
        <v>34.071428571428577</v>
      </c>
      <c r="D13" s="305">
        <f ca="1">('lokale energieproductie'!P31+'lokale energieproductie'!P38)*(-1)</f>
        <v>-68.142857142857153</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26963.346999999994</v>
      </c>
      <c r="C16" s="21">
        <f t="shared" ca="1" si="1"/>
        <v>34.071428571428577</v>
      </c>
      <c r="D16" s="21">
        <f t="shared" ca="1" si="1"/>
        <v>16318.696798857143</v>
      </c>
      <c r="E16" s="21">
        <f t="shared" si="1"/>
        <v>323.43589351933946</v>
      </c>
      <c r="F16" s="21">
        <f t="shared" ca="1" si="1"/>
        <v>5252.1925161125346</v>
      </c>
      <c r="G16" s="21">
        <f t="shared" si="1"/>
        <v>0</v>
      </c>
      <c r="H16" s="21">
        <f t="shared" si="1"/>
        <v>0</v>
      </c>
      <c r="I16" s="21">
        <f t="shared" si="1"/>
        <v>0</v>
      </c>
      <c r="J16" s="21">
        <f t="shared" si="1"/>
        <v>0</v>
      </c>
      <c r="K16" s="21">
        <f t="shared" si="1"/>
        <v>0</v>
      </c>
      <c r="L16" s="21">
        <f t="shared" ca="1" si="1"/>
        <v>0</v>
      </c>
      <c r="M16" s="21">
        <f t="shared" si="1"/>
        <v>0</v>
      </c>
      <c r="N16" s="21">
        <f t="shared" ca="1" si="1"/>
        <v>2490.4617499917867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0.20752082088170293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5595.4559031582012</v>
      </c>
      <c r="C20" s="23">
        <f t="shared" ref="C20:P20" ca="1" si="2">C16*C18</f>
        <v>8.0969747899159685</v>
      </c>
      <c r="D20" s="23">
        <f t="shared" ca="1" si="2"/>
        <v>3296.376753369143</v>
      </c>
      <c r="E20" s="23">
        <f t="shared" si="2"/>
        <v>73.419947828890059</v>
      </c>
      <c r="F20" s="23">
        <f t="shared" ca="1" si="2"/>
        <v>1402.3354018020468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9144.9339999999993</v>
      </c>
      <c r="C26" s="39">
        <f>IF(ISERROR(B26*3.6/1000000/'E Balans VL '!Z12*100),0,B26*3.6/1000000/'E Balans VL '!Z12*100)</f>
        <v>0.19424292797143616</v>
      </c>
      <c r="D26" s="235" t="s">
        <v>672</v>
      </c>
      <c r="F26" s="6"/>
    </row>
    <row r="27" spans="1:18">
      <c r="A27" s="230" t="s">
        <v>52</v>
      </c>
      <c r="B27" s="33">
        <f>IF(ISERROR(TER_horeca_ele_kWh/1000),0,TER_horeca_ele_kWh/1000)</f>
        <v>2306.2779999999998</v>
      </c>
      <c r="C27" s="39">
        <f>IF(ISERROR(B27*3.6/1000000/'E Balans VL '!Z9*100),0,B27*3.6/1000000/'E Balans VL '!Z9*100)</f>
        <v>0.17932715991359185</v>
      </c>
      <c r="D27" s="235" t="s">
        <v>672</v>
      </c>
      <c r="F27" s="6"/>
    </row>
    <row r="28" spans="1:18">
      <c r="A28" s="170" t="s">
        <v>51</v>
      </c>
      <c r="B28" s="33">
        <f>IF(ISERROR(TER_handel_ele_kWh/1000),0,TER_handel_ele_kWh/1000)</f>
        <v>9677.93</v>
      </c>
      <c r="C28" s="39">
        <f>IF(ISERROR(B28*3.6/1000000/'E Balans VL '!Z13*100),0,B28*3.6/1000000/'E Balans VL '!Z13*100)</f>
        <v>0.27689696708423206</v>
      </c>
      <c r="D28" s="235" t="s">
        <v>672</v>
      </c>
      <c r="F28" s="6"/>
    </row>
    <row r="29" spans="1:18">
      <c r="A29" s="230" t="s">
        <v>50</v>
      </c>
      <c r="B29" s="33">
        <f>IF(ISERROR(TER_gezond_ele_kWh/1000),0,TER_gezond_ele_kWh/1000)</f>
        <v>1836.492</v>
      </c>
      <c r="C29" s="39">
        <f>IF(ISERROR(B29*3.6/1000000/'E Balans VL '!Z10*100),0,B29*3.6/1000000/'E Balans VL '!Z10*100)</f>
        <v>0.20022030295599458</v>
      </c>
      <c r="D29" s="235" t="s">
        <v>672</v>
      </c>
      <c r="F29" s="6"/>
    </row>
    <row r="30" spans="1:18">
      <c r="A30" s="230" t="s">
        <v>49</v>
      </c>
      <c r="B30" s="33">
        <f>IF(ISERROR(TER_ander_ele_kWh/1000),0,TER_ander_ele_kWh/1000)</f>
        <v>3500.9369999999999</v>
      </c>
      <c r="C30" s="39">
        <f>IF(ISERROR(B30*3.6/1000000/'E Balans VL '!Z14*100),0,B30*3.6/1000000/'E Balans VL '!Z14*100)</f>
        <v>0.25619062797267672</v>
      </c>
      <c r="D30" s="235" t="s">
        <v>672</v>
      </c>
      <c r="F30" s="6"/>
    </row>
    <row r="31" spans="1:18">
      <c r="A31" s="230" t="s">
        <v>54</v>
      </c>
      <c r="B31" s="33">
        <f>IF(ISERROR(TER_onderwijs_ele_kWh/1000),0,TER_onderwijs_ele_kWh/1000)</f>
        <v>472.92599999999999</v>
      </c>
      <c r="C31" s="39">
        <f>IF(ISERROR(B31*3.6/1000000/'E Balans VL '!Z11*100),0,B31*3.6/1000000/'E Balans VL '!Z11*100)</f>
        <v>9.4987538285163695E-2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131161.62400000001</v>
      </c>
      <c r="C5" s="17">
        <f>IF(ISERROR('Eigen informatie GS &amp; warmtenet'!B59),0,'Eigen informatie GS &amp; warmtenet'!B59)</f>
        <v>0</v>
      </c>
      <c r="D5" s="30">
        <f>SUM(D6:D15)</f>
        <v>24448.557561999998</v>
      </c>
      <c r="E5" s="17">
        <f>SUM(E6:E15)</f>
        <v>2371.0010532775459</v>
      </c>
      <c r="F5" s="17">
        <f>SUM(F6:F15)</f>
        <v>45150.517730043553</v>
      </c>
      <c r="G5" s="18"/>
      <c r="H5" s="17"/>
      <c r="I5" s="17"/>
      <c r="J5" s="17">
        <f>SUM(J6:J15)</f>
        <v>514.1870674394246</v>
      </c>
      <c r="K5" s="17"/>
      <c r="L5" s="17"/>
      <c r="M5" s="17"/>
      <c r="N5" s="17">
        <f>SUM(N6:N15)</f>
        <v>1327.223462468759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28476.348000000002</v>
      </c>
      <c r="C8" s="33"/>
      <c r="D8" s="37">
        <f>IF( ISERROR(IND_metaal_Gas_kWH/1000),0,IND_metaal_Gas_kWH/1000)*0.902</f>
        <v>618.46171199999992</v>
      </c>
      <c r="E8" s="33">
        <f>C30*'E Balans VL '!I18/100/3.6*1000000</f>
        <v>817.94760165763716</v>
      </c>
      <c r="F8" s="33">
        <f>C30*'E Balans VL '!L18/100/3.6*1000000+C30*'E Balans VL '!N18/100/3.6*1000000</f>
        <v>7303.6355831203264</v>
      </c>
      <c r="G8" s="34"/>
      <c r="H8" s="33"/>
      <c r="I8" s="33"/>
      <c r="J8" s="40">
        <f>C30*'E Balans VL '!D18/100/3.6*1000000+C30*'E Balans VL '!E18/100/3.6*1000000</f>
        <v>0</v>
      </c>
      <c r="K8" s="33"/>
      <c r="L8" s="33"/>
      <c r="M8" s="33"/>
      <c r="N8" s="33">
        <f>C30*'E Balans VL '!Y18/100/3.6*1000000</f>
        <v>773.19097666177618</v>
      </c>
      <c r="O8" s="33"/>
      <c r="P8" s="33"/>
      <c r="R8" s="32"/>
    </row>
    <row r="9" spans="1:18">
      <c r="A9" s="6" t="s">
        <v>32</v>
      </c>
      <c r="B9" s="37">
        <f t="shared" si="0"/>
        <v>2635.4769999999999</v>
      </c>
      <c r="C9" s="33"/>
      <c r="D9" s="37">
        <f>IF( ISERROR(IND_andere_gas_kWh/1000),0,IND_andere_gas_kWh/1000)*0.902</f>
        <v>769.277916</v>
      </c>
      <c r="E9" s="33">
        <f>C31*'E Balans VL '!I19/100/3.6*1000000</f>
        <v>713.35882532040705</v>
      </c>
      <c r="F9" s="33">
        <f>C31*'E Balans VL '!L19/100/3.6*1000000+C31*'E Balans VL '!N19/100/3.6*1000000</f>
        <v>1755.5065737243619</v>
      </c>
      <c r="G9" s="34"/>
      <c r="H9" s="33"/>
      <c r="I9" s="33"/>
      <c r="J9" s="40">
        <f>C31*'E Balans VL '!D19/100/3.6*1000000+C31*'E Balans VL '!E19/100/3.6*1000000</f>
        <v>0</v>
      </c>
      <c r="K9" s="33"/>
      <c r="L9" s="33"/>
      <c r="M9" s="33"/>
      <c r="N9" s="33">
        <f>C31*'E Balans VL '!Y19/100/3.6*1000000</f>
        <v>222.81212230847464</v>
      </c>
      <c r="O9" s="33"/>
      <c r="P9" s="33"/>
      <c r="R9" s="32"/>
    </row>
    <row r="10" spans="1:18">
      <c r="A10" s="6" t="s">
        <v>40</v>
      </c>
      <c r="B10" s="37">
        <f t="shared" si="0"/>
        <v>446.07400000000001</v>
      </c>
      <c r="C10" s="33"/>
      <c r="D10" s="37">
        <f>IF( ISERROR(IND_voed_gas_kWh/1000),0,IND_voed_gas_kWh/1000)*0.902</f>
        <v>165.32036400000001</v>
      </c>
      <c r="E10" s="33">
        <f>C32*'E Balans VL '!I20/100/3.6*1000000</f>
        <v>36.382820268347579</v>
      </c>
      <c r="F10" s="33">
        <f>C32*'E Balans VL '!L20/100/3.6*1000000+C32*'E Balans VL '!N20/100/3.6*1000000</f>
        <v>665.13680537943446</v>
      </c>
      <c r="G10" s="34"/>
      <c r="H10" s="33"/>
      <c r="I10" s="33"/>
      <c r="J10" s="40">
        <f>C32*'E Balans VL '!D20/100/3.6*1000000+C32*'E Balans VL '!E20/100/3.6*1000000</f>
        <v>5.9010175588013521E-3</v>
      </c>
      <c r="K10" s="33"/>
      <c r="L10" s="33"/>
      <c r="M10" s="33"/>
      <c r="N10" s="33">
        <f>C32*'E Balans VL '!Y20/100/3.6*1000000</f>
        <v>131.04080094577793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93062.813999999998</v>
      </c>
      <c r="C12" s="33"/>
      <c r="D12" s="37">
        <f>IF( ISERROR(IND_min_gas_kWh/1000),0,IND_min_gas_kWh/1000)*0.902</f>
        <v>0</v>
      </c>
      <c r="E12" s="33">
        <f>C34*'E Balans VL '!I22/100/3.6*1000000</f>
        <v>724.93904353595337</v>
      </c>
      <c r="F12" s="33">
        <f>C34*'E Balans VL '!L22/100/3.6*1000000+C34*'E Balans VL '!N22/100/3.6*1000000</f>
        <v>35097.57455621213</v>
      </c>
      <c r="G12" s="34"/>
      <c r="H12" s="33"/>
      <c r="I12" s="33"/>
      <c r="J12" s="40">
        <f>C34*'E Balans VL '!D22/100/3.6*1000000+C34*'E Balans VL '!E22/100/3.6*1000000</f>
        <v>511.83734024573664</v>
      </c>
      <c r="K12" s="33"/>
      <c r="L12" s="33"/>
      <c r="M12" s="33"/>
      <c r="N12" s="33">
        <f>C34*'E Balans VL '!Y22/100/3.6*1000000</f>
        <v>0</v>
      </c>
      <c r="O12" s="33"/>
      <c r="P12" s="33"/>
      <c r="R12" s="32"/>
    </row>
    <row r="13" spans="1:18">
      <c r="A13" s="6" t="s">
        <v>38</v>
      </c>
      <c r="B13" s="37">
        <f t="shared" si="0"/>
        <v>132.011</v>
      </c>
      <c r="C13" s="33"/>
      <c r="D13" s="37">
        <f>IF( ISERROR(IND_papier_gas_kWh/1000),0,IND_papier_gas_kWh/1000)*0.902</f>
        <v>152.04833600000001</v>
      </c>
      <c r="E13" s="33">
        <f>C35*'E Balans VL '!I23/100/3.6*1000000</f>
        <v>1.3830557196919666</v>
      </c>
      <c r="F13" s="33">
        <f>C35*'E Balans VL '!L23/100/3.6*1000000+C35*'E Balans VL '!N23/100/3.6*1000000</f>
        <v>9.8506842184260623</v>
      </c>
      <c r="G13" s="34"/>
      <c r="H13" s="33"/>
      <c r="I13" s="33"/>
      <c r="J13" s="40">
        <f>C35*'E Balans VL '!D23/100/3.6*1000000+C35*'E Balans VL '!E23/100/3.6*1000000</f>
        <v>0</v>
      </c>
      <c r="K13" s="33"/>
      <c r="L13" s="33"/>
      <c r="M13" s="33"/>
      <c r="N13" s="33">
        <f>C35*'E Balans VL '!Y23/100/3.6*1000000</f>
        <v>24.353175094600335</v>
      </c>
      <c r="O13" s="33"/>
      <c r="P13" s="33"/>
      <c r="R13" s="32"/>
    </row>
    <row r="14" spans="1:18">
      <c r="A14" s="6" t="s">
        <v>33</v>
      </c>
      <c r="B14" s="37">
        <f t="shared" si="0"/>
        <v>5494.4369999999999</v>
      </c>
      <c r="C14" s="33"/>
      <c r="D14" s="37">
        <f>IF( ISERROR(IND_chemie_gas_kWh/1000),0,IND_chemie_gas_kWh/1000)*0.902</f>
        <v>0</v>
      </c>
      <c r="E14" s="33">
        <f>C36*'E Balans VL '!I24/100/3.6*1000000</f>
        <v>25.973493958895947</v>
      </c>
      <c r="F14" s="33">
        <f>C36*'E Balans VL '!L24/100/3.6*1000000+C36*'E Balans VL '!N24/100/3.6*1000000</f>
        <v>103.8419101002029</v>
      </c>
      <c r="G14" s="34"/>
      <c r="H14" s="33"/>
      <c r="I14" s="33"/>
      <c r="J14" s="40">
        <f>C36*'E Balans VL '!D24/100/3.6*1000000+C36*'E Balans VL '!E24/100/3.6*1000000</f>
        <v>0</v>
      </c>
      <c r="K14" s="33"/>
      <c r="L14" s="33"/>
      <c r="M14" s="33"/>
      <c r="N14" s="33">
        <f>C36*'E Balans VL '!Y24/100/3.6*1000000</f>
        <v>133.38634250844498</v>
      </c>
      <c r="O14" s="33"/>
      <c r="P14" s="33"/>
      <c r="R14" s="32"/>
    </row>
    <row r="15" spans="1:18">
      <c r="A15" s="6" t="s">
        <v>259</v>
      </c>
      <c r="B15" s="37">
        <f t="shared" si="0"/>
        <v>914.46299999999997</v>
      </c>
      <c r="C15" s="33"/>
      <c r="D15" s="37">
        <f>IF( ISERROR(IND_rest_gas_kWh/1000),0,IND_rest_gas_kWh/1000)*0.902</f>
        <v>22743.449234</v>
      </c>
      <c r="E15" s="33">
        <f>C37*'E Balans VL '!I15/100/3.6*1000000</f>
        <v>51.016212816612587</v>
      </c>
      <c r="F15" s="33">
        <f>C37*'E Balans VL '!L15/100/3.6*1000000+C37*'E Balans VL '!N15/100/3.6*1000000</f>
        <v>214.9716172886684</v>
      </c>
      <c r="G15" s="34"/>
      <c r="H15" s="33"/>
      <c r="I15" s="33"/>
      <c r="J15" s="40">
        <f>C37*'E Balans VL '!D15/100/3.6*1000000+C37*'E Balans VL '!E15/100/3.6*1000000</f>
        <v>2.3438261761291157</v>
      </c>
      <c r="K15" s="33"/>
      <c r="L15" s="33"/>
      <c r="M15" s="33"/>
      <c r="N15" s="33">
        <f>C37*'E Balans VL '!Y15/100/3.6*1000000</f>
        <v>42.44004494968469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131161.62400000001</v>
      </c>
      <c r="C18" s="21">
        <f>C5+C16</f>
        <v>0</v>
      </c>
      <c r="D18" s="21">
        <f>MAX((D5+D16),0)</f>
        <v>24448.557561999998</v>
      </c>
      <c r="E18" s="21">
        <f>MAX((E5+E16),0)</f>
        <v>2371.0010532775459</v>
      </c>
      <c r="F18" s="21">
        <f>MAX((F5+F16),0)</f>
        <v>45150.517730043553</v>
      </c>
      <c r="G18" s="21"/>
      <c r="H18" s="21"/>
      <c r="I18" s="21"/>
      <c r="J18" s="21">
        <f>MAX((J5+J16),0)</f>
        <v>514.1870674394246</v>
      </c>
      <c r="K18" s="21"/>
      <c r="L18" s="21">
        <f>MAX((L5+L16),0)</f>
        <v>0</v>
      </c>
      <c r="M18" s="21"/>
      <c r="N18" s="21">
        <f>MAX((N5+N16),0)</f>
        <v>1327.223462468759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0.20752082088170293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27218.767880657269</v>
      </c>
      <c r="C22" s="23">
        <f ca="1">C18*C20</f>
        <v>0</v>
      </c>
      <c r="D22" s="23">
        <f>D18*D20</f>
        <v>4938.6086275239995</v>
      </c>
      <c r="E22" s="23">
        <f>E18*E20</f>
        <v>538.21723909400293</v>
      </c>
      <c r="F22" s="23">
        <f>F18*F20</f>
        <v>12055.18823392163</v>
      </c>
      <c r="G22" s="23"/>
      <c r="H22" s="23"/>
      <c r="I22" s="23"/>
      <c r="J22" s="23">
        <f>J18*J20</f>
        <v>182.0222218735563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28476.348000000002</v>
      </c>
      <c r="C30" s="39">
        <f>IF(ISERROR(B30*3.6/1000000/'E Balans VL '!Z18*100),0,B30*3.6/1000000/'E Balans VL '!Z18*100)</f>
        <v>2.8019999508271156</v>
      </c>
      <c r="D30" s="235" t="s">
        <v>672</v>
      </c>
    </row>
    <row r="31" spans="1:18">
      <c r="A31" s="6" t="s">
        <v>32</v>
      </c>
      <c r="B31" s="37">
        <f>IF( ISERROR(IND_ander_ele_kWh/1000),0,IND_ander_ele_kWh/1000)</f>
        <v>2635.4769999999999</v>
      </c>
      <c r="C31" s="39">
        <f>IF(ISERROR(B31*3.6/1000000/'E Balans VL '!Z19*100),0,B31*3.6/1000000/'E Balans VL '!Z19*100)</f>
        <v>0.11477292105070611</v>
      </c>
      <c r="D31" s="235" t="s">
        <v>672</v>
      </c>
    </row>
    <row r="32" spans="1:18">
      <c r="A32" s="170" t="s">
        <v>40</v>
      </c>
      <c r="B32" s="37">
        <f>IF( ISERROR(IND_voed_ele_kWh/1000),0,IND_voed_ele_kWh/1000)</f>
        <v>446.07400000000001</v>
      </c>
      <c r="C32" s="39">
        <f>IF(ISERROR(B32*3.6/1000000/'E Balans VL '!Z20*100),0,B32*3.6/1000000/'E Balans VL '!Z20*100)</f>
        <v>8.4636108413083777E-2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93062.813999999998</v>
      </c>
      <c r="C34" s="39">
        <f>IF(ISERROR(B34*3.6/1000000/'E Balans VL '!Z22*100),0,B34*3.6/1000000/'E Balans VL '!Z22*100)</f>
        <v>13.08556615604993</v>
      </c>
      <c r="D34" s="235" t="s">
        <v>672</v>
      </c>
    </row>
    <row r="35" spans="1:5">
      <c r="A35" s="170" t="s">
        <v>38</v>
      </c>
      <c r="B35" s="37">
        <f>IF( ISERROR(IND_papier_ele_kWh/1000),0,IND_papier_ele_kWh/1000)</f>
        <v>132.011</v>
      </c>
      <c r="C35" s="39">
        <f>IF(ISERROR(B35*3.6/1000000/'E Balans VL '!Z22*100),0,B35*3.6/1000000/'E Balans VL '!Z22*100)</f>
        <v>1.8562072213143127E-2</v>
      </c>
      <c r="D35" s="235" t="s">
        <v>672</v>
      </c>
    </row>
    <row r="36" spans="1:5">
      <c r="A36" s="170" t="s">
        <v>33</v>
      </c>
      <c r="B36" s="37">
        <f>IF( ISERROR(IND_chemie_ele_kWh/1000),0,IND_chemie_ele_kWh/1000)</f>
        <v>5494.4369999999999</v>
      </c>
      <c r="C36" s="39">
        <f>IF(ISERROR(B36*3.6/1000000/'E Balans VL '!Z24*100),0,B36*3.6/1000000/'E Balans VL '!Z24*100)</f>
        <v>0.16012412992503919</v>
      </c>
      <c r="D36" s="235" t="s">
        <v>672</v>
      </c>
    </row>
    <row r="37" spans="1:5">
      <c r="A37" s="170" t="s">
        <v>259</v>
      </c>
      <c r="B37" s="37">
        <f>IF( ISERROR(IND_rest_ele_kWh/1000),0,IND_rest_ele_kWh/1000)</f>
        <v>914.46299999999997</v>
      </c>
      <c r="C37" s="39">
        <f>IF(ISERROR(B37*3.6/1000000/'E Balans VL '!Z15*100),0,B37*3.6/1000000/'E Balans VL '!Z15*100)</f>
        <v>7.0470606070859526E-3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819.03800000000001</v>
      </c>
      <c r="C5" s="17">
        <f>'Eigen informatie GS &amp; warmtenet'!B60</f>
        <v>0</v>
      </c>
      <c r="D5" s="30">
        <f>IF(ISERROR(SUM(LB_lb_gas_kWh,LB_rest_gas_kWh)/1000),0,SUM(LB_lb_gas_kWh,LB_rest_gas_kWh)/1000)*0.902</f>
        <v>82.582610000000003</v>
      </c>
      <c r="E5" s="17">
        <f>B17*'E Balans VL '!I25/3.6*1000000/100</f>
        <v>10.320933935474752</v>
      </c>
      <c r="F5" s="17">
        <f>B17*('E Balans VL '!L25/3.6*1000000+'E Balans VL '!N25/3.6*1000000)/100</f>
        <v>2825.886281279084</v>
      </c>
      <c r="G5" s="18"/>
      <c r="H5" s="17"/>
      <c r="I5" s="17"/>
      <c r="J5" s="17">
        <f>('E Balans VL '!D25+'E Balans VL '!E25)/3.6*1000000*landbouw!B17/100</f>
        <v>123.17400470461396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819.03800000000001</v>
      </c>
      <c r="C8" s="21">
        <f>C5+C6</f>
        <v>0</v>
      </c>
      <c r="D8" s="21">
        <f>MAX((D5+D6),0)</f>
        <v>82.582610000000003</v>
      </c>
      <c r="E8" s="21">
        <f>MAX((E5+E6),0)</f>
        <v>10.320933935474752</v>
      </c>
      <c r="F8" s="21">
        <f>MAX((F5+F6),0)</f>
        <v>2825.886281279084</v>
      </c>
      <c r="G8" s="21"/>
      <c r="H8" s="21"/>
      <c r="I8" s="21"/>
      <c r="J8" s="21">
        <f>MAX((J5+J6),0)</f>
        <v>123.17400470461396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0.20752082088170293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169.9674380933082</v>
      </c>
      <c r="C12" s="23">
        <f ca="1">C8*C10</f>
        <v>0</v>
      </c>
      <c r="D12" s="23">
        <f>D8*D10</f>
        <v>16.681687220000001</v>
      </c>
      <c r="E12" s="23">
        <f>E8*E10</f>
        <v>2.3428520033527689</v>
      </c>
      <c r="F12" s="23">
        <f>F8*F10</f>
        <v>754.51163710151548</v>
      </c>
      <c r="G12" s="23"/>
      <c r="H12" s="23"/>
      <c r="I12" s="23"/>
      <c r="J12" s="23">
        <f>J8*J10</f>
        <v>43.603597665433341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0.11422998642068082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155.49742829588621</v>
      </c>
      <c r="C26" s="245">
        <f>B26*'GWP N2O_CH4'!B5</f>
        <v>3265.4459942136104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32.602523210901673</v>
      </c>
      <c r="C27" s="245">
        <f>B27*'GWP N2O_CH4'!B5</f>
        <v>684.65298742893515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2.1578146696057621</v>
      </c>
      <c r="C28" s="245">
        <f>B28*'GWP N2O_CH4'!B4</f>
        <v>668.92254757778619</v>
      </c>
      <c r="D28" s="50"/>
    </row>
    <row r="29" spans="1:4">
      <c r="A29" s="41" t="s">
        <v>266</v>
      </c>
      <c r="B29" s="245">
        <f>B34*'ha_N2O bodem landbouw'!B4</f>
        <v>9.3757264210379407</v>
      </c>
      <c r="C29" s="245">
        <f>B29*'GWP N2O_CH4'!B4</f>
        <v>2906.4751905217618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2.3410252024600102E-3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3.7339558686645384E-5</v>
      </c>
      <c r="C5" s="434" t="s">
        <v>204</v>
      </c>
      <c r="D5" s="419">
        <f>SUM(D6:D11)</f>
        <v>3.7774719072947244E-5</v>
      </c>
      <c r="E5" s="419">
        <f>SUM(E6:E11)</f>
        <v>1.4187030173092464E-3</v>
      </c>
      <c r="F5" s="432" t="s">
        <v>204</v>
      </c>
      <c r="G5" s="419">
        <f>SUM(G6:G11)</f>
        <v>0.39993200538320312</v>
      </c>
      <c r="H5" s="419">
        <f>SUM(H6:H11)</f>
        <v>6.5146614332133687E-2</v>
      </c>
      <c r="I5" s="434" t="s">
        <v>204</v>
      </c>
      <c r="J5" s="434" t="s">
        <v>204</v>
      </c>
      <c r="K5" s="434" t="s">
        <v>204</v>
      </c>
      <c r="L5" s="434" t="s">
        <v>204</v>
      </c>
      <c r="M5" s="419">
        <f>SUM(M6:M11)</f>
        <v>2.1027009792099823E-2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1.1739949319487316E-5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1.0458901677900846E-5</v>
      </c>
      <c r="E6" s="873">
        <f>vkm_GW_PW*SUMIFS(TableVerdeelsleutelVkm[LPG],TableVerdeelsleutelVkm[Voertuigtype],"Lichte voertuigen")*SUMIFS(TableECFTransport[EnergieConsumptieFactor (PJ per km)],TableECFTransport[Index],CONCATENATE($A6,"_LPG_LPG"))</f>
        <v>3.7644027432205945E-4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7.3784325916550847E-2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1.8088845716731625E-2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4.1560267598413038E-3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1.7310899608376894E-7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2.7089132203548756E-2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6.1748950061867058E-7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1.2231160587327383E-3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1.1819825203437775E-5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1.6602925881510995E-5</v>
      </c>
      <c r="E8" s="422">
        <f>vkm_NGW_PW*SUMIFS(TableVerdeelsleutelVkm[LPG],TableVerdeelsleutelVkm[Voertuigtype],"Lichte voertuigen")*SUMIFS(TableECFTransport[EnergieConsumptieFactor (PJ per km)],TableECFTransport[Index],CONCATENATE($A8,"_LPG_LPG"))</f>
        <v>5.6872005271168375E-4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0.10471184070266028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2.7565259364386557E-2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5.9844267145406516E-3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7.3672299990021094E-8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1.4808795434777004E-2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3.171981271323058E-7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6.6863900334953241E-4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1.2905828550271764E-5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1.0712891513535404E-5</v>
      </c>
      <c r="E10" s="422">
        <f>vkm_SW_PW*SUMIFS(TableVerdeelsleutelVkm[LPG],TableVerdeelsleutelVkm[Voertuigtype],"Lichte voertuigen")*SUMIFS(TableECFTransport[EnergieConsumptieFactor (PJ per km)],TableECFTransport[Index],CONCATENATE($A10,"_LPG_LPG"))</f>
        <v>4.7354269027550307E-4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8.6027230801350135E-2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1.948927190960115E-2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4.7726421547738124E-3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6.2717431737473406E-7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9.3510680324316101E-2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2.3026537865979403E-6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4.2221591008617838E-3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10.372099635179273</v>
      </c>
      <c r="C14" s="21"/>
      <c r="D14" s="21">
        <f t="shared" ref="D14:M14" si="0">((D5)*10^9/3600)+D12</f>
        <v>10.492977520263123</v>
      </c>
      <c r="E14" s="21">
        <f t="shared" si="0"/>
        <v>394.08417147479065</v>
      </c>
      <c r="F14" s="21"/>
      <c r="G14" s="21">
        <f t="shared" si="0"/>
        <v>111092.22371755641</v>
      </c>
      <c r="H14" s="21">
        <f t="shared" si="0"/>
        <v>18096.281758926023</v>
      </c>
      <c r="I14" s="21"/>
      <c r="J14" s="21"/>
      <c r="K14" s="21"/>
      <c r="L14" s="21"/>
      <c r="M14" s="21">
        <f t="shared" si="0"/>
        <v>5840.8360533610621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0.20752082088170293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2.1524266305592143</v>
      </c>
      <c r="C18" s="23"/>
      <c r="D18" s="23">
        <f t="shared" ref="D18:M18" si="1">D14*D16</f>
        <v>2.1195814590931508</v>
      </c>
      <c r="E18" s="23">
        <f t="shared" si="1"/>
        <v>89.457106924777477</v>
      </c>
      <c r="F18" s="23"/>
      <c r="G18" s="23">
        <f t="shared" si="1"/>
        <v>29661.623732587563</v>
      </c>
      <c r="H18" s="23">
        <f t="shared" si="1"/>
        <v>4505.9741579725796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3.7431250236472868E-5</v>
      </c>
      <c r="C50" s="316">
        <f t="shared" ref="C50:P50" si="2">SUM(C51:C52)</f>
        <v>0</v>
      </c>
      <c r="D50" s="316">
        <f t="shared" si="2"/>
        <v>0</v>
      </c>
      <c r="E50" s="316">
        <f t="shared" si="2"/>
        <v>0</v>
      </c>
      <c r="F50" s="316">
        <f t="shared" si="2"/>
        <v>0</v>
      </c>
      <c r="G50" s="316">
        <f t="shared" si="2"/>
        <v>7.2857808813993914E-3</v>
      </c>
      <c r="H50" s="316">
        <f t="shared" si="2"/>
        <v>0</v>
      </c>
      <c r="I50" s="316">
        <f t="shared" si="2"/>
        <v>0</v>
      </c>
      <c r="J50" s="316">
        <f t="shared" si="2"/>
        <v>0</v>
      </c>
      <c r="K50" s="316">
        <f t="shared" si="2"/>
        <v>0</v>
      </c>
      <c r="L50" s="316">
        <f t="shared" si="2"/>
        <v>0</v>
      </c>
      <c r="M50" s="316">
        <f t="shared" si="2"/>
        <v>3.2670053659921783E-4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3.7431250236472868E-5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7.2857808813993914E-3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3.2670053659921783E-4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10.397569510131351</v>
      </c>
      <c r="C54" s="21">
        <f t="shared" ref="C54:P54" si="3">(C50)*10^9/3600</f>
        <v>0</v>
      </c>
      <c r="D54" s="21">
        <f t="shared" si="3"/>
        <v>0</v>
      </c>
      <c r="E54" s="21">
        <f t="shared" si="3"/>
        <v>0</v>
      </c>
      <c r="F54" s="21">
        <f t="shared" si="3"/>
        <v>0</v>
      </c>
      <c r="G54" s="21">
        <f t="shared" si="3"/>
        <v>2023.8280226109421</v>
      </c>
      <c r="H54" s="21">
        <f t="shared" si="3"/>
        <v>0</v>
      </c>
      <c r="I54" s="21">
        <f t="shared" si="3"/>
        <v>0</v>
      </c>
      <c r="J54" s="21">
        <f t="shared" si="3"/>
        <v>0</v>
      </c>
      <c r="K54" s="21">
        <f t="shared" si="3"/>
        <v>0</v>
      </c>
      <c r="L54" s="21">
        <f t="shared" si="3"/>
        <v>0</v>
      </c>
      <c r="M54" s="21">
        <f t="shared" si="3"/>
        <v>90.750149055338298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0.20752082088170293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2.1577121599170237</v>
      </c>
      <c r="C58" s="23">
        <f t="shared" ref="C58:P58" ca="1" si="4">C54*C56</f>
        <v>0</v>
      </c>
      <c r="D58" s="23">
        <f t="shared" si="4"/>
        <v>0</v>
      </c>
      <c r="E58" s="23">
        <f t="shared" si="4"/>
        <v>0</v>
      </c>
      <c r="F58" s="23">
        <f t="shared" si="4"/>
        <v>0</v>
      </c>
      <c r="G58" s="23">
        <f t="shared" si="4"/>
        <v>540.36208203712158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3680.3091060000002</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8223.9556809433943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23.85</v>
      </c>
      <c r="C8" s="546">
        <f>B48</f>
        <v>28.058823529411768</v>
      </c>
      <c r="D8" s="1001"/>
      <c r="E8" s="1001">
        <f>E48</f>
        <v>0</v>
      </c>
      <c r="F8" s="1002"/>
      <c r="G8" s="547"/>
      <c r="H8" s="1001">
        <f>I48</f>
        <v>0</v>
      </c>
      <c r="I8" s="1001">
        <f>G48+F48</f>
        <v>0</v>
      </c>
      <c r="J8" s="1001">
        <f>H48+D48+C48</f>
        <v>0</v>
      </c>
      <c r="K8" s="1001"/>
      <c r="L8" s="1001"/>
      <c r="M8" s="1001"/>
      <c r="N8" s="548"/>
      <c r="O8" s="549">
        <f>C8*$C$12+D8*$D$12+E8*$E$12+F8*$F$12+G8*$G$12+H8*$H$12+I8*$I$12+J8*$J$12</f>
        <v>5.6678823529411773</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11928.114786943395</v>
      </c>
      <c r="C10" s="559">
        <f t="shared" ref="C10:L10" si="0">SUM(C8:C9)</f>
        <v>28.058823529411768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5.6678823529411773</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34.071428571428577</v>
      </c>
      <c r="C17" s="571">
        <f>B49</f>
        <v>40.084033613445385</v>
      </c>
      <c r="D17" s="572"/>
      <c r="E17" s="572">
        <f>E49</f>
        <v>0</v>
      </c>
      <c r="F17" s="1007"/>
      <c r="G17" s="573"/>
      <c r="H17" s="571">
        <f>I49</f>
        <v>0</v>
      </c>
      <c r="I17" s="572">
        <f>G49+F49</f>
        <v>0</v>
      </c>
      <c r="J17" s="572">
        <f>H49+D49+C49</f>
        <v>0</v>
      </c>
      <c r="K17" s="572"/>
      <c r="L17" s="572"/>
      <c r="M17" s="572"/>
      <c r="N17" s="1008"/>
      <c r="O17" s="574">
        <f>C17*$C$22+E17*$E$22+H17*$H$22+I17*$I$22+J17*$J$22+D17*$D$22+F17*$F$22+G17*$G$22+K17*$K$22+L17*$L$22</f>
        <v>8.0969747899159685</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34.071428571428577</v>
      </c>
      <c r="C20" s="558">
        <f>SUM(C17:C19)</f>
        <v>40.084033613445385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8.0969747899159685</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71057</v>
      </c>
      <c r="C28" s="777">
        <v>3980</v>
      </c>
      <c r="D28" s="630"/>
      <c r="E28" s="629"/>
      <c r="F28" s="629"/>
      <c r="G28" s="629" t="s">
        <v>926</v>
      </c>
      <c r="H28" s="629" t="s">
        <v>927</v>
      </c>
      <c r="I28" s="629"/>
      <c r="J28" s="776"/>
      <c r="K28" s="776"/>
      <c r="L28" s="629" t="s">
        <v>928</v>
      </c>
      <c r="M28" s="629">
        <v>5.3</v>
      </c>
      <c r="N28" s="629">
        <v>23.85</v>
      </c>
      <c r="O28" s="629">
        <v>34.071428571428577</v>
      </c>
      <c r="P28" s="629">
        <v>68.142857142857153</v>
      </c>
      <c r="Q28" s="629">
        <v>0</v>
      </c>
      <c r="R28" s="629">
        <v>0</v>
      </c>
      <c r="S28" s="629">
        <v>0</v>
      </c>
      <c r="T28" s="629">
        <v>0</v>
      </c>
      <c r="U28" s="629">
        <v>0</v>
      </c>
      <c r="V28" s="629">
        <v>0</v>
      </c>
      <c r="W28" s="629">
        <v>0</v>
      </c>
      <c r="X28" s="629">
        <v>1600</v>
      </c>
      <c r="Y28" s="629" t="s">
        <v>49</v>
      </c>
      <c r="Z28" s="631" t="s">
        <v>149</v>
      </c>
    </row>
    <row r="29" spans="1:26" s="566" customFormat="1" hidden="1">
      <c r="A29" s="585" t="s">
        <v>269</v>
      </c>
      <c r="B29" s="586"/>
      <c r="C29" s="586"/>
      <c r="D29" s="586"/>
      <c r="E29" s="586"/>
      <c r="F29" s="586"/>
      <c r="G29" s="586"/>
      <c r="H29" s="586"/>
      <c r="I29" s="586"/>
      <c r="J29" s="586"/>
      <c r="K29" s="586"/>
      <c r="L29" s="587"/>
      <c r="M29" s="587">
        <f>SUM(M28:M28)</f>
        <v>5.3</v>
      </c>
      <c r="N29" s="587">
        <f>SUM(N28:N28)</f>
        <v>23.85</v>
      </c>
      <c r="O29" s="587">
        <f>SUM(O28:O28)</f>
        <v>34.071428571428577</v>
      </c>
      <c r="P29" s="587">
        <f>SUM(P28:P28)</f>
        <v>68.142857142857153</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5.3</v>
      </c>
      <c r="N31" s="587">
        <f ca="1">SUMIF($Z$28:AD28,"tertiair",N28:N28)</f>
        <v>23.85</v>
      </c>
      <c r="O31" s="587">
        <f ca="1">SUMIF($Z$28:AE28,"tertiair",O28:O28)</f>
        <v>34.071428571428577</v>
      </c>
      <c r="P31" s="587">
        <f ca="1">SUMIF($Z$28:AF28,"tertiair",P28:P28)</f>
        <v>68.142857142857153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28.058823529411768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40.084033613445385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2021-11-11T13:27:38Z</dcterms:modified>
</cp:coreProperties>
</file>