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DEE685BA-75A1-4776-8AD7-630EB6D113E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N6" i="17"/>
  <c r="E49" i="18" l="1"/>
  <c r="E17" i="18" s="1"/>
  <c r="E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P25" i="48" l="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4" i="13"/>
  <c r="B33"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<sst xmlns="http://schemas.openxmlformats.org/spreadsheetml/2006/main" count="2516" uniqueCount="929">
  <si>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</si>
  <si>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</si>
  <si>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</si>
  <si>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</si>
  <si>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</si>
  <si>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</si>
  <si>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</si>
  <si>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</si>
  <si>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</si>
  <si>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</si>
  <si>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</si>
  <si>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</si>
  <si>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</si>
  <si>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</si>
  <si>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</si>
  <si>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</si>
  <si>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</si>
  <si>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</si>
  <si>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</si>
  <si>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</si>
  <si>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</si>
  <si>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</si>
  <si>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</si>
  <si>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</si>
  <si>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</si>
  <si>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</si>
  <si>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</si>
  <si>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</si>
  <si>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</si>
  <si>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</si>
  <si>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</si>
  <si>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</si>
  <si>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</si>
  <si>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</si>
  <si>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</si>
  <si>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</si>
  <si>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</si>
  <si>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</si>
  <si>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</si>
  <si>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</si>
  <si>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</si>
  <si>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</si>
  <si>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</si>
  <si>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</si>
  <si>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</si>
  <si>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</si>
  <si>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</si>
  <si>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</si>
  <si>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</si>
  <si>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</si>
  <si>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</si>
  <si>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</si>
  <si>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</si>
  <si>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</si>
  <si>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</si>
  <si>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</si>
  <si>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</si>
  <si>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</si>
  <si>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</si>
  <si>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</si>
  <si>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</si>
  <si>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</si>
  <si>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</si>
  <si>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</si>
  <si>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</si>
  <si>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</si>
  <si>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</si>
  <si>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</si>
  <si>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</si>
  <si>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</si>
  <si>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</si>
  <si>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</si>
  <si>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</si>
  <si>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</si>
  <si>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</si>
  <si>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</si>
  <si>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</si>
  <si>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</si>
  <si>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</si>
  <si>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</si>
  <si>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</si>
  <si>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</si>
  <si>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</si>
  <si>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</si>
  <si>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</si>
  <si>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</si>
  <si>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</si>
  <si>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</si>
  <si>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</si>
  <si>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</si>
  <si>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</si>
  <si>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</si>
  <si>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</si>
  <si>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</si>
  <si>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</si>
  <si>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</si>
  <si>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</si>
  <si>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</si>
  <si>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</si>
  <si>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</si>
  <si>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</si>
  <si>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</si>
  <si>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</si>
  <si>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</si>
  <si>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</si>
  <si>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</si>
  <si>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</si>
  <si>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</si>
  <si>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</si>
  <si>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</si>
  <si>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</si>
  <si>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</si>
  <si>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</si>
  <si>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</si>
  <si>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</si>
  <si>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</si>
  <si>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</si>
  <si>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</si>
  <si>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</si>
  <si>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</si>
  <si>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</si>
  <si>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</si>
  <si>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</si>
  <si>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</si>
  <si>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</si>
  <si>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</si>
  <si>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</si>
  <si>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</si>
  <si>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</si>
  <si>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</si>
  <si>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</si>
  <si>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</si>
  <si>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</si>
  <si>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</si>
  <si>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</si>
  <si>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</si>
  <si>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</si>
  <si>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</si>
  <si>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</si>
  <si>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</si>
  <si>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</si>
  <si>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</si>
  <si>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</si>
  <si>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</si>
  <si>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</si>
  <si>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</si>
  <si>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</si>
  <si>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</si>
  <si>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</si>
  <si>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</si>
  <si>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</si>
  <si>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</si>
  <si>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</si>
  <si>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</si>
  <si>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</si>
  <si>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</si>
  <si>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</si>
  <si>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</si>
  <si>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</si>
  <si>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</si>
  <si>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</si>
  <si>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</si>
  <si>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</si>
  <si>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</si>
  <si>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</si>
  <si>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</si>
  <si>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</si>
  <si>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</si>
  <si>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</si>
  <si>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</si>
  <si>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</si>
  <si>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</si>
  <si>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</si>
  <si>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</si>
  <si>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</si>
  <si>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</si>
  <si>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</si>
  <si>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</si>
  <si>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</si>
  <si>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</si>
  <si>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</si>
  <si>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</si>
  <si>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</si>
  <si>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</si>
  <si>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</si>
  <si>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</si>
  <si>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</si>
  <si>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</si>
  <si>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</si>
  <si>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</si>
  <si>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</si>
  <si>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</si>
  <si>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</si>
  <si>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</si>
  <si>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</si>
  <si>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</si>
  <si>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</si>
  <si>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</si>
  <si>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</si>
  <si>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</si>
  <si>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</si>
  <si>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</si>
  <si>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</si>
  <si>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</si>
  <si>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</si>
  <si>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</si>
  <si>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</si>
  <si>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</si>
  <si>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</si>
  <si>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</si>
  <si>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</si>
  <si>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</si>
  <si>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</si>
  <si>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</si>
  <si>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</si>
  <si>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</si>
  <si>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</si>
  <si>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</si>
  <si>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</si>
  <si>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</si>
  <si>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</si>
  <si>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</si>
  <si>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</si>
  <si>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</si>
  <si>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</si>
  <si>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</si>
  <si>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</si>
  <si>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</si>
  <si>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</si>
  <si>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</si>
  <si>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</si>
  <si>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</si>
  <si>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</si>
  <si>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</si>
  <si>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</si>
  <si>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</si>
  <si>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</si>
  <si>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</si>
  <si>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</si>
  <si>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</si>
  <si>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</si>
  <si>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</si>
  <si>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</si>
  <si>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</si>
  <si>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</si>
  <si>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</si>
  <si>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</si>
  <si>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</si>
  <si>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</si>
  <si>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</si>
  <si>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</si>
  <si>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</si>
  <si>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</si>
  <si>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</si>
  <si>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</si>
  <si>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</si>
  <si>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</si>
  <si>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</si>
  <si>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</si>
  <si>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</si>
  <si>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</si>
  <si>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</si>
  <si>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</si>
  <si>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</si>
  <si>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</si>
  <si>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</si>
  <si>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</si>
  <si>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</si>
  <si>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</si>
  <si>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</si>
  <si>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</si>
  <si>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</si>
  <si>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</si>
  <si>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</si>
  <si>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</si>
  <si>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</si>
  <si>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</si>
  <si>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</si>
  <si>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</si>
  <si>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</si>
  <si>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</si>
  <si>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</si>
  <si>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</si>
  <si>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</si>
  <si>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</si>
  <si>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</si>
  <si>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</si>
  <si>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</si>
  <si>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</si>
  <si>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</si>
  <si>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</si>
  <si>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</si>
  <si>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</si>
  <si>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</si>
  <si>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</si>
  <si>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</si>
  <si>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</si>
  <si>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</si>
  <si>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</si>
  <si>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</si>
  <si>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</si>
  <si>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</si>
  <si>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</si>
  <si>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</si>
  <si>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</si>
  <si>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</si>
  <si>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</si>
  <si>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</si>
  <si>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</si>
  <si>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</si>
  <si>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</si>
  <si>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</si>
  <si>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</si>
  <si>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</si>
  <si>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</si>
  <si>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</si>
  <si>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</si>
  <si>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</si>
  <si>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</si>
  <si>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</si>
  <si>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</si>
  <si>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</si>
  <si>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</si>
  <si>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</si>
  <si>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</si>
  <si>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</si>
  <si>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</si>
  <si>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</si>
  <si>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</si>
  <si>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</si>
  <si>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</si>
  <si>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</si>
  <si>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</si>
  <si>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</si>
  <si>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</si>
  <si>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</si>
  <si>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</si>
  <si>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</si>
  <si>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</si>
  <si>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</si>
  <si>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</si>
  <si>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</si>
  <si>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</si>
  <si>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</si>
  <si>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</si>
  <si>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</si>
  <si>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</si>
  <si>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</si>
  <si>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</si>
  <si>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</si>
  <si>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</si>
  <si>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</si>
  <si>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</si>
  <si>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</si>
  <si>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</si>
  <si>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</si>
  <si>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</si>
  <si>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</si>
  <si>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</si>
  <si>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</si>
  <si>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</si>
  <si>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</si>
  <si>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</si>
  <si>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</si>
  <si>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</si>
  <si>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</si>
  <si>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</si>
  <si>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</si>
  <si>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</si>
  <si>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</si>
  <si>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</si>
  <si>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</si>
  <si>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</si>
  <si>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</si>
  <si>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</si>
  <si>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</si>
  <si>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</si>
  <si>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</si>
  <si>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</si>
  <si>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</si>
  <si>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</si>
  <si>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</si>
  <si>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</si>
  <si>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</si>
  <si>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</si>
  <si>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</si>
  <si>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</si>
  <si>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</si>
  <si>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</si>
  <si>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</si>
  <si>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</si>
  <si>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</si>
  <si>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</si>
  <si>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</si>
  <si>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</si>
  <si>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</si>
  <si>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</si>
  <si>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</si>
  <si>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</si>
  <si>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</si>
  <si>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</si>
  <si>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</si>
  <si>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</si>
  <si>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</si>
  <si>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</si>
  <si>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</si>
  <si>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</si>
  <si>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</si>
  <si>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</si>
  <si>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</si>
  <si>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</si>
  <si>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</si>
  <si>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</si>
  <si>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</si>
  <si>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</si>
  <si>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</si>
  <si>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</si>
  <si>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</si>
  <si>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</si>
  <si>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</si>
  <si>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</si>
  <si>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</si>
  <si>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</si>
  <si>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</si>
  <si>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</si>
  <si>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</si>
  <si>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</si>
  <si>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</si>
  <si>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</si>
  <si>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</si>
  <si>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</si>
  <si>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</si>
  <si>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</si>
  <si>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</si>
  <si>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</si>
  <si>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</si>
  <si>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</si>
  <si>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</si>
  <si>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</si>
  <si>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</si>
  <si>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</si>
  <si>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</si>
  <si>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</si>
  <si>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</si>
  <si>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</si>
  <si>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</si>
  <si>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</si>
  <si>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</si>
  <si>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</si>
  <si>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</si>
  <si>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</si>
  <si>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</si>
  <si>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</si>
  <si>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</si>
  <si>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</si>
  <si>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</si>
  <si>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</si>
  <si>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</si>
  <si>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</si>
  <si>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</si>
  <si>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</si>
  <si>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</si>
  <si>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</si>
  <si>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</si>
  <si>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</si>
  <si>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</si>
  <si>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</si>
  <si>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</si>
  <si>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</si>
  <si>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</si>
  <si>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</si>
  <si>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</si>
  <si>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</si>
  <si>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</si>
  <si>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</si>
  <si>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</si>
  <si>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</si>
  <si>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</si>
  <si>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</si>
  <si>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</si>
  <si>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</si>
  <si>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</si>
  <si>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</si>
  <si>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</si>
  <si>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</si>
  <si>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</si>
  <si>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</si>
  <si>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</si>
  <si>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</si>
  <si>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</si>
  <si>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</si>
  <si>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</si>
  <si>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</si>
  <si>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</si>
  <si>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</si>
  <si>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</si>
  <si>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</si>
  <si>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</si>
  <si>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</si>
  <si>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</si>
  <si>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</si>
  <si>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</si>
  <si>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</si>
  <si>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</si>
  <si>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</si>
  <si>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</si>
  <si>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</si>
  <si>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</si>
  <si>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</si>
  <si>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</si>
  <si>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</si>
  <si>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</si>
  <si>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</si>
  <si>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</si>
  <si>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</si>
  <si>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</si>
  <si>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</si>
  <si>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</si>
  <si>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</si>
  <si>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</si>
  <si>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</si>
  <si>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</si>
  <si>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</si>
  <si>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</si>
  <si>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</si>
  <si>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</si>
  <si>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</si>
  <si>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</si>
  <si>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</si>
  <si>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</si>
  <si>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</si>
  <si>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</si>
  <si>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</si>
  <si>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</si>
  <si>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</si>
  <si>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</si>
  <si>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</si>
  <si>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</si>
  <si>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</si>
  <si>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</si>
  <si>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</si>
  <si>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</si>
  <si>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</si>
  <si>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</si>
  <si>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</si>
  <si>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</si>
  <si>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</si>
  <si>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</si>
  <si>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</si>
  <si>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</si>
  <si>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</si>
  <si>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</si>
  <si>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</si>
  <si>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</si>
  <si>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</si>
  <si>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</si>
  <si>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</si>
  <si>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</si>
  <si>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</si>
  <si>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</si>
  <si>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</si>
  <si>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</si>
  <si>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</si>
  <si>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</si>
  <si>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</si>
  <si>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</si>
  <si>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</si>
  <si>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</si>
  <si>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</si>
  <si>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</si>
  <si>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</si>
  <si>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</si>
  <si>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</si>
  <si>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</si>
  <si>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</si>
  <si>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</si>
  <si>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</si>
  <si>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</si>
  <si>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</si>
  <si>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</si>
  <si>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</si>
  <si>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</si>
  <si>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</si>
  <si>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</si>
  <si>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</si>
  <si>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</si>
  <si>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</si>
  <si>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</si>
  <si>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</si>
  <si>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</si>
  <si>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</si>
  <si>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</si>
  <si>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</si>
  <si>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</si>
  <si>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</si>
  <si>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</si>
  <si>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</si>
  <si>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</si>
  <si>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</si>
  <si>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</si>
  <si>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</si>
  <si>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</si>
  <si>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</si>
  <si>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</si>
  <si>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</si>
  <si>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</si>
  <si>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</si>
  <si>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</si>
  <si>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</si>
  <si>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</si>
  <si>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</si>
  <si>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</si>
  <si>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</si>
  <si>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</si>
  <si>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</si>
  <si>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</si>
  <si>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</si>
  <si>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</si>
  <si>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</si>
  <si>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</si>
  <si>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</si>
  <si>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</si>
  <si>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</si>
  <si>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</si>
  <si>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</si>
  <si>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</si>
  <si>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</si>
  <si>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</si>
  <si>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</si>
  <si>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</si>
  <si>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</si>
  <si>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</si>
  <si>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</si>
  <si>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</si>
  <si>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</si>
  <si>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</si>
  <si>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</si>
  <si>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</si>
  <si>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</si>
  <si>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</si>
  <si>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</si>
  <si>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</si>
  <si>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</si>
  <si>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</si>
  <si>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</si>
  <si>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</si>
  <si>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</si>
  <si>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</si>
  <si>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</si>
  <si>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</si>
  <si>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</si>
  <si>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</si>
  <si>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</si>
  <si>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</si>
  <si>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</si>
  <si>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</si>
  <si>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</si>
  <si>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</si>
  <si>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</si>
  <si>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</si>
  <si>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</si>
  <si>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</si>
  <si>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</si>
  <si>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</si>
  <si>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</si>
  <si>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</si>
  <si>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</si>
  <si>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</si>
  <si>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</si>
  <si>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</si>
  <si>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</si>
  <si>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</si>
  <si>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</si>
  <si>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</si>
  <si>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</si>
  <si>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</si>
  <si>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</si>
  <si>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</si>
  <si>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</si>
  <si>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</si>
  <si>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</si>
  <si>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</si>
  <si>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</si>
  <si>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</si>
  <si>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</si>
  <si>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</si>
  <si>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</si>
  <si>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</si>
  <si>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</si>
  <si>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</si>
  <si>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</si>
  <si>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</si>
  <si>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</si>
  <si>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</si>
  <si>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</si>
  <si>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</si>
  <si>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</si>
  <si>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</si>
  <si>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</si>
  <si>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</si>
  <si>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</si>
  <si>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</si>
  <si>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</si>
  <si>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</si>
  <si>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</si>
  <si>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</si>
  <si>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</si>
  <si>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</si>
  <si>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</si>
  <si>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</si>
  <si>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</si>
  <si>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</si>
  <si>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</si>
  <si>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</si>
  <si>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</si>
  <si>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</si>
  <si>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</si>
  <si>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</si>
  <si>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</si>
  <si>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</si>
  <si>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</si>
  <si>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</si>
  <si>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</si>
  <si>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</si>
  <si>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</si>
  <si>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</si>
  <si>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</si>
  <si>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</si>
  <si>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</si>
  <si>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</si>
  <si>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</si>
  <si>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</si>
  <si>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</si>
  <si>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</si>
  <si>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</si>
  <si>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</si>
  <si>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</si>
  <si>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</si>
  <si>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</si>
  <si>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</si>
  <si>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</si>
  <si>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</si>
  <si>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</si>
  <si>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</si>
  <si>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</si>
  <si>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</si>
  <si>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</si>
  <si>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</si>
  <si>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</si>
  <si>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</si>
  <si>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</si>
  <si>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</si>
  <si>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</si>
  <si>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</si>
  <si>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</si>
  <si>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</si>
  <si>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</si>
  <si>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</si>
  <si>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</si>
  <si>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</si>
  <si>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</si>
  <si>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</si>
  <si>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</si>
  <si>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</si>
  <si>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</si>
  <si>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</si>
  <si>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</si>
  <si>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</si>
  <si>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</si>
  <si>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</si>
  <si>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</si>
  <si>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</si>
  <si>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</si>
  <si>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</si>
  <si>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</si>
  <si>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</si>
  <si>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</si>
  <si>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</si>
  <si>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</si>
  <si>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</si>
  <si>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</si>
  <si>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</si>
  <si>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</si>
  <si>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</si>
  <si>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</si>
  <si>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</si>
  <si>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</si>
  <si>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</si>
  <si>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</si>
  <si>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</si>
  <si>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</si>
  <si>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</si>
  <si>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</si>
  <si>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</si>
  <si>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</si>
  <si>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</si>
  <si>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</si>
  <si>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</si>
  <si>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</si>
  <si>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</si>
  <si>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</si>
  <si>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</si>
  <si>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</si>
  <si>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</si>
  <si>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</si>
  <si>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</si>
  <si>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</si>
  <si>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</si>
  <si>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</si>
  <si>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</si>
  <si>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</si>
  <si>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</si>
  <si>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</si>
  <si>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</si>
  <si>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</si>
  <si>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</si>
  <si>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</si>
  <si>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</si>
  <si>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</si>
  <si>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</si>
  <si>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</si>
  <si>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</si>
  <si>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</si>
  <si>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</si>
  <si>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</si>
  <si>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</si>
  <si>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</si>
  <si>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</si>
  <si>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</si>
  <si>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</si>
  <si>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</si>
  <si>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</si>
  <si>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</si>
  <si>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</si>
  <si>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</si>
  <si>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</si>
  <si>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</si>
  <si>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</si>
  <si>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</si>
  <si>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</si>
  <si>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</si>
  <si>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</si>
  <si>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</si>
  <si>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</si>
  <si>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</si>
  <si>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</si>
  <si>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</si>
  <si>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</si>
  <si>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</si>
  <si>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</si>
  <si>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</si>
  <si>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</si>
  <si>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</si>
  <si>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</si>
  <si>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</si>
  <si>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</si>
  <si>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</si>
  <si>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</si>
  <si>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</si>
  <si>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</si>
  <si>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</si>
  <si>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</si>
  <si>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</si>
  <si>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</si>
  <si>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</si>
  <si>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</si>
  <si>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</si>
  <si>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</si>
  <si>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</si>
  <si>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</si>
  <si>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</si>
  <si>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</si>
  <si>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</si>
  <si>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</si>
  <si>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</si>
  <si>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</si>
  <si>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</si>
  <si>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</si>
  <si>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</si>
  <si>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</si>
  <si>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</si>
  <si>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</si>
  <si>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</si>
  <si>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</si>
  <si>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</si>
  <si>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</si>
  <si>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</si>
  <si>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</si>
  <si>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</si>
  <si>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</si>
  <si>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</si>
  <si>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</si>
  <si>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</si>
  <si>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</si>
  <si>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</si>
  <si>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</si>
  <si>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</si>
  <si>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</si>
  <si>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</si>
  <si>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</si>
  <si>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</si>
  <si>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</si>
  <si>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</si>
  <si>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</si>
  <si>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</si>
  <si>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</si>
  <si>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</si>
  <si>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</si>
  <si>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</si>
  <si>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</si>
  <si>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</si>
  <si>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</si>
  <si>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</si>
  <si>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</si>
  <si>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</si>
  <si>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</si>
  <si>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</si>
  <si>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</si>
  <si>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</si>
  <si>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71034</t>
  </si>
  <si>
    <t>LEOPOLDSBURG</t>
  </si>
  <si>
    <t>Cultuurgrond (ha)</t>
  </si>
  <si>
    <t>Paarden&amp;pony's 200 - 600 kg</t>
  </si>
  <si>
    <t>Paarden&amp;pony's &lt; 200 kg</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</si>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</sst>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331006DA-627C-4F76-BE28-4C85B6DE464A}"/>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148721.59635335265</c:v>
                </c:pt>
                <c:pt idx="1">
                  <c:v>61911.841866998941</c:v>
                </c:pt>
                <c:pt idx="2">
                  <c:v>836.12400000000002</c:v>
                </c:pt>
                <c:pt idx="3">
                  <c:v>620.57522247131556</c:v>
                </c:pt>
                <c:pt idx="4">
                  <c:v>5365.7381922683126</c:v>
                </c:pt>
                <c:pt idx="5">
                  <c:v>65918.175104829046</c:v>
                </c:pt>
                <c:pt idx="6">
                  <c:v>1348.5345587606384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148721.59635335265</c:v>
                </c:pt>
                <c:pt idx="1">
                  <c:v>61911.841866998941</c:v>
                </c:pt>
                <c:pt idx="2">
                  <c:v>836.12400000000002</c:v>
                </c:pt>
                <c:pt idx="3">
                  <c:v>620.57522247131556</c:v>
                </c:pt>
                <c:pt idx="4">
                  <c:v>5365.7381922683126</c:v>
                </c:pt>
                <c:pt idx="5">
                  <c:v>65918.175104829046</c:v>
                </c:pt>
                <c:pt idx="6">
                  <c:v>1348.5345587606384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31989.573333035871</c:v>
                </c:pt>
                <c:pt idx="2">
                  <c:v>12731.652723092182</c:v>
                </c:pt>
                <c:pt idx="3">
                  <c:v>174.20497315765746</c:v>
                </c:pt>
                <c:pt idx="4">
                  <c:v>156.9267402611809</c:v>
                </c:pt>
                <c:pt idx="5">
                  <c:v>1160.2120320941779</c:v>
                </c:pt>
                <c:pt idx="6">
                  <c:v>16641.895575860377</c:v>
                </c:pt>
                <c:pt idx="7">
                  <c:v>344.29489189371196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31989.573333035871</c:v>
                </c:pt>
                <c:pt idx="2">
                  <c:v>12731.652723092182</c:v>
                </c:pt>
                <c:pt idx="3">
                  <c:v>174.20497315765746</c:v>
                </c:pt>
                <c:pt idx="4">
                  <c:v>156.9267402611809</c:v>
                </c:pt>
                <c:pt idx="5">
                  <c:v>1160.2120320941779</c:v>
                </c:pt>
                <c:pt idx="6">
                  <c:v>16641.895575860377</c:v>
                </c:pt>
                <c:pt idx="7">
                  <c:v>344.29489189371196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71034</v>
      </c>
      <c r="B6" s="385"/>
      <c r="C6" s="386"/>
    </row>
    <row r="7" spans="1:7" s="383" customFormat="1" ht="15.75" customHeight="1">
      <c r="A7" s="387" t="str">
        <f>txtMunicipality</f>
        <v>LEOPOLDSBURG</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20242.348000000002</v>
      </c>
      <c r="D10" s="676">
        <f ca="1">tertiair!C16</f>
        <v>1890</v>
      </c>
      <c r="E10" s="676">
        <f ca="1">tertiair!D16</f>
        <v>36230.596691999999</v>
      </c>
      <c r="F10" s="676">
        <f>tertiair!E16</f>
        <v>186.88236195008193</v>
      </c>
      <c r="G10" s="676">
        <f ca="1">tertiair!F16</f>
        <v>3289.3038271141995</v>
      </c>
      <c r="H10" s="676">
        <f>tertiair!G16</f>
        <v>0</v>
      </c>
      <c r="I10" s="676">
        <f>tertiair!H16</f>
        <v>0</v>
      </c>
      <c r="J10" s="676">
        <f>tertiair!I16</f>
        <v>0</v>
      </c>
      <c r="K10" s="676">
        <f>tertiair!J16</f>
        <v>0</v>
      </c>
      <c r="L10" s="676">
        <f>tertiair!K16</f>
        <v>0</v>
      </c>
      <c r="M10" s="676">
        <f ca="1">tertiair!L16</f>
        <v>0</v>
      </c>
      <c r="N10" s="676">
        <f>tertiair!M16</f>
        <v>0</v>
      </c>
      <c r="O10" s="676">
        <f ca="1">tertiair!N16</f>
        <v>870.70165260132296</v>
      </c>
      <c r="P10" s="676">
        <f>tertiair!O16</f>
        <v>0</v>
      </c>
      <c r="Q10" s="677">
        <f>tertiair!P16</f>
        <v>38.133333333333333</v>
      </c>
      <c r="R10" s="679">
        <f ca="1">SUM(C10:Q10)</f>
        <v>62747.965866998944</v>
      </c>
      <c r="S10" s="67"/>
    </row>
    <row r="11" spans="1:19" s="444" customFormat="1">
      <c r="A11" s="791" t="s">
        <v>214</v>
      </c>
      <c r="B11" s="796"/>
      <c r="C11" s="676">
        <f>huishoudens!B8</f>
        <v>29529.879047012011</v>
      </c>
      <c r="D11" s="676">
        <f>huishoudens!C8</f>
        <v>0</v>
      </c>
      <c r="E11" s="676">
        <f>huishoudens!D8</f>
        <v>48247.458643999998</v>
      </c>
      <c r="F11" s="676">
        <f>huishoudens!E8</f>
        <v>1867.8444538720994</v>
      </c>
      <c r="G11" s="676">
        <f>huishoudens!F8</f>
        <v>57240.976324689735</v>
      </c>
      <c r="H11" s="676">
        <f>huishoudens!G8</f>
        <v>0</v>
      </c>
      <c r="I11" s="676">
        <f>huishoudens!H8</f>
        <v>0</v>
      </c>
      <c r="J11" s="676">
        <f>huishoudens!I8</f>
        <v>0</v>
      </c>
      <c r="K11" s="676">
        <f>huishoudens!J8</f>
        <v>1084.030114823674</v>
      </c>
      <c r="L11" s="676">
        <f>huishoudens!K8</f>
        <v>0</v>
      </c>
      <c r="M11" s="676">
        <f>huishoudens!L8</f>
        <v>0</v>
      </c>
      <c r="N11" s="676">
        <f>huishoudens!M8</f>
        <v>0</v>
      </c>
      <c r="O11" s="676">
        <f>huishoudens!N8</f>
        <v>10312.507768955158</v>
      </c>
      <c r="P11" s="676">
        <f>huishoudens!O8</f>
        <v>171.96666666666667</v>
      </c>
      <c r="Q11" s="677">
        <f>huishoudens!P8</f>
        <v>266.93333333333334</v>
      </c>
      <c r="R11" s="679">
        <f>SUM(C11:Q11)</f>
        <v>148721.59635335265</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2014.9690000000001</v>
      </c>
      <c r="D13" s="676">
        <f>industrie!C18</f>
        <v>0</v>
      </c>
      <c r="E13" s="676">
        <f>industrie!D18</f>
        <v>1233.2594999999999</v>
      </c>
      <c r="F13" s="676">
        <f>industrie!E18</f>
        <v>291.91991754235687</v>
      </c>
      <c r="G13" s="676">
        <f>industrie!F18</f>
        <v>1588.1109228615785</v>
      </c>
      <c r="H13" s="676">
        <f>industrie!G18</f>
        <v>0</v>
      </c>
      <c r="I13" s="676">
        <f>industrie!H18</f>
        <v>0</v>
      </c>
      <c r="J13" s="676">
        <f>industrie!I18</f>
        <v>0</v>
      </c>
      <c r="K13" s="676">
        <f>industrie!J18</f>
        <v>2.7878760026884768</v>
      </c>
      <c r="L13" s="676">
        <f>industrie!K18</f>
        <v>0</v>
      </c>
      <c r="M13" s="676">
        <f>industrie!L18</f>
        <v>0</v>
      </c>
      <c r="N13" s="676">
        <f>industrie!M18</f>
        <v>0</v>
      </c>
      <c r="O13" s="676">
        <f>industrie!N18</f>
        <v>234.69097586168874</v>
      </c>
      <c r="P13" s="676">
        <f>industrie!O18</f>
        <v>0</v>
      </c>
      <c r="Q13" s="677">
        <f>industrie!P18</f>
        <v>0</v>
      </c>
      <c r="R13" s="679">
        <f>SUM(C13:Q13)</f>
        <v>5365.7381922683126</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51787.19604701201</v>
      </c>
      <c r="D16" s="711">
        <f t="shared" ref="D16:R16" ca="1" si="0">SUM(D9:D15)</f>
        <v>1890</v>
      </c>
      <c r="E16" s="711">
        <f t="shared" ca="1" si="0"/>
        <v>85711.31483599999</v>
      </c>
      <c r="F16" s="711">
        <f t="shared" si="0"/>
        <v>2346.6467333645382</v>
      </c>
      <c r="G16" s="711">
        <f t="shared" ca="1" si="0"/>
        <v>62118.391074665509</v>
      </c>
      <c r="H16" s="711">
        <f t="shared" si="0"/>
        <v>0</v>
      </c>
      <c r="I16" s="711">
        <f t="shared" si="0"/>
        <v>0</v>
      </c>
      <c r="J16" s="711">
        <f t="shared" si="0"/>
        <v>0</v>
      </c>
      <c r="K16" s="711">
        <f t="shared" si="0"/>
        <v>1086.8179908263626</v>
      </c>
      <c r="L16" s="711">
        <f t="shared" si="0"/>
        <v>0</v>
      </c>
      <c r="M16" s="711">
        <f t="shared" ca="1" si="0"/>
        <v>0</v>
      </c>
      <c r="N16" s="711">
        <f t="shared" si="0"/>
        <v>0</v>
      </c>
      <c r="O16" s="711">
        <f t="shared" ca="1" si="0"/>
        <v>11417.900397418171</v>
      </c>
      <c r="P16" s="711">
        <f t="shared" si="0"/>
        <v>171.96666666666667</v>
      </c>
      <c r="Q16" s="711">
        <f t="shared" si="0"/>
        <v>305.06666666666666</v>
      </c>
      <c r="R16" s="711">
        <f t="shared" ca="1" si="0"/>
        <v>216835.30041261989</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6.5984197089071666</v>
      </c>
      <c r="D19" s="676">
        <f>transport!C54</f>
        <v>0</v>
      </c>
      <c r="E19" s="676">
        <f>transport!D54</f>
        <v>0</v>
      </c>
      <c r="F19" s="676">
        <f>transport!E54</f>
        <v>0</v>
      </c>
      <c r="G19" s="676">
        <f>transport!F54</f>
        <v>0</v>
      </c>
      <c r="H19" s="676">
        <f>transport!G54</f>
        <v>1284.3450287899022</v>
      </c>
      <c r="I19" s="676">
        <f>transport!H54</f>
        <v>0</v>
      </c>
      <c r="J19" s="676">
        <f>transport!I54</f>
        <v>0</v>
      </c>
      <c r="K19" s="676">
        <f>transport!J54</f>
        <v>0</v>
      </c>
      <c r="L19" s="676">
        <f>transport!K54</f>
        <v>0</v>
      </c>
      <c r="M19" s="676">
        <f>transport!L54</f>
        <v>0</v>
      </c>
      <c r="N19" s="676">
        <f>transport!M54</f>
        <v>57.591110261829115</v>
      </c>
      <c r="O19" s="676">
        <f>transport!N54</f>
        <v>0</v>
      </c>
      <c r="P19" s="676">
        <f>transport!O54</f>
        <v>0</v>
      </c>
      <c r="Q19" s="677">
        <f>transport!P54</f>
        <v>0</v>
      </c>
      <c r="R19" s="679">
        <f>SUM(C19:Q19)</f>
        <v>1348.5345587606384</v>
      </c>
      <c r="S19" s="67"/>
    </row>
    <row r="20" spans="1:19" s="444" customFormat="1">
      <c r="A20" s="791" t="s">
        <v>296</v>
      </c>
      <c r="B20" s="796"/>
      <c r="C20" s="676">
        <f>transport!B14</f>
        <v>6.0225288624005655</v>
      </c>
      <c r="D20" s="676">
        <f>transport!C14</f>
        <v>0</v>
      </c>
      <c r="E20" s="676">
        <f>transport!D14</f>
        <v>6.1975834380199322</v>
      </c>
      <c r="F20" s="676">
        <f>transport!E14</f>
        <v>218.83354232404969</v>
      </c>
      <c r="G20" s="676">
        <f>transport!F14</f>
        <v>0</v>
      </c>
      <c r="H20" s="676">
        <f>transport!G14</f>
        <v>52294.57681750253</v>
      </c>
      <c r="I20" s="676">
        <f>transport!H14</f>
        <v>10550.448418751346</v>
      </c>
      <c r="J20" s="676">
        <f>transport!I14</f>
        <v>0</v>
      </c>
      <c r="K20" s="676">
        <f>transport!J14</f>
        <v>0</v>
      </c>
      <c r="L20" s="676">
        <f>transport!K14</f>
        <v>0</v>
      </c>
      <c r="M20" s="676">
        <f>transport!L14</f>
        <v>0</v>
      </c>
      <c r="N20" s="676">
        <f>transport!M14</f>
        <v>2842.0962139506996</v>
      </c>
      <c r="O20" s="676">
        <f>transport!N14</f>
        <v>0</v>
      </c>
      <c r="P20" s="676">
        <f>transport!O14</f>
        <v>0</v>
      </c>
      <c r="Q20" s="677">
        <f>transport!P14</f>
        <v>0</v>
      </c>
      <c r="R20" s="679">
        <f>SUM(C20:Q20)</f>
        <v>65918.175104829046</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12.620948571307732</v>
      </c>
      <c r="D22" s="794">
        <f t="shared" ref="D22:R22" si="1">SUM(D18:D21)</f>
        <v>0</v>
      </c>
      <c r="E22" s="794">
        <f t="shared" si="1"/>
        <v>6.1975834380199322</v>
      </c>
      <c r="F22" s="794">
        <f t="shared" si="1"/>
        <v>218.83354232404969</v>
      </c>
      <c r="G22" s="794">
        <f t="shared" si="1"/>
        <v>0</v>
      </c>
      <c r="H22" s="794">
        <f t="shared" si="1"/>
        <v>53578.921846292433</v>
      </c>
      <c r="I22" s="794">
        <f t="shared" si="1"/>
        <v>10550.448418751346</v>
      </c>
      <c r="J22" s="794">
        <f t="shared" si="1"/>
        <v>0</v>
      </c>
      <c r="K22" s="794">
        <f t="shared" si="1"/>
        <v>0</v>
      </c>
      <c r="L22" s="794">
        <f t="shared" si="1"/>
        <v>0</v>
      </c>
      <c r="M22" s="794">
        <f t="shared" si="1"/>
        <v>0</v>
      </c>
      <c r="N22" s="794">
        <f t="shared" si="1"/>
        <v>2899.6873242125289</v>
      </c>
      <c r="O22" s="794">
        <f t="shared" si="1"/>
        <v>0</v>
      </c>
      <c r="P22" s="794">
        <f t="shared" si="1"/>
        <v>0</v>
      </c>
      <c r="Q22" s="794">
        <f t="shared" si="1"/>
        <v>0</v>
      </c>
      <c r="R22" s="794">
        <f t="shared" si="1"/>
        <v>67266.709663589689</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124.39700000000001</v>
      </c>
      <c r="D24" s="676">
        <f>+landbouw!C8</f>
        <v>0</v>
      </c>
      <c r="E24" s="676">
        <f>+landbouw!D8</f>
        <v>46.701952000000006</v>
      </c>
      <c r="F24" s="676">
        <f>+landbouw!E8</f>
        <v>1.5675624559193257</v>
      </c>
      <c r="G24" s="676">
        <f>+landbouw!F8</f>
        <v>429.20081331058418</v>
      </c>
      <c r="H24" s="676">
        <f>+landbouw!G8</f>
        <v>0</v>
      </c>
      <c r="I24" s="676">
        <f>+landbouw!H8</f>
        <v>0</v>
      </c>
      <c r="J24" s="676">
        <f>+landbouw!I8</f>
        <v>0</v>
      </c>
      <c r="K24" s="676">
        <f>+landbouw!J8</f>
        <v>18.707894704812066</v>
      </c>
      <c r="L24" s="676">
        <f>+landbouw!K8</f>
        <v>0</v>
      </c>
      <c r="M24" s="676">
        <f>+landbouw!L8</f>
        <v>0</v>
      </c>
      <c r="N24" s="676">
        <f>+landbouw!M8</f>
        <v>0</v>
      </c>
      <c r="O24" s="676">
        <f>+landbouw!N8</f>
        <v>0</v>
      </c>
      <c r="P24" s="676">
        <f>+landbouw!O8</f>
        <v>0</v>
      </c>
      <c r="Q24" s="677">
        <f>+landbouw!P8</f>
        <v>0</v>
      </c>
      <c r="R24" s="679">
        <f>SUM(C24:Q24)</f>
        <v>620.57522247131556</v>
      </c>
      <c r="S24" s="67"/>
    </row>
    <row r="25" spans="1:19" s="444" customFormat="1" ht="15" thickBot="1">
      <c r="A25" s="813" t="s">
        <v>833</v>
      </c>
      <c r="B25" s="977"/>
      <c r="C25" s="978">
        <f>IF(Onbekend_ele_kWh="---",0,Onbekend_ele_kWh)/1000+IF(REST_rest_ele_kWh="---",0,REST_rest_ele_kWh)/1000</f>
        <v>810.69399999999996</v>
      </c>
      <c r="D25" s="978"/>
      <c r="E25" s="978">
        <f>IF(onbekend_gas_kWh="---",0,onbekend_gas_kWh)/1000+IF(REST_rest_gas_kWh="---",0,REST_rest_gas_kWh)/1000</f>
        <v>6253.3689999999997</v>
      </c>
      <c r="F25" s="978"/>
      <c r="G25" s="978"/>
      <c r="H25" s="978"/>
      <c r="I25" s="978"/>
      <c r="J25" s="978"/>
      <c r="K25" s="978"/>
      <c r="L25" s="978"/>
      <c r="M25" s="978"/>
      <c r="N25" s="978"/>
      <c r="O25" s="978"/>
      <c r="P25" s="978"/>
      <c r="Q25" s="979"/>
      <c r="R25" s="679">
        <f>SUM(C25:Q25)</f>
        <v>7064.0630000000001</v>
      </c>
      <c r="S25" s="67"/>
    </row>
    <row r="26" spans="1:19" s="444" customFormat="1" ht="15.75" thickBot="1">
      <c r="A26" s="684" t="s">
        <v>834</v>
      </c>
      <c r="B26" s="799"/>
      <c r="C26" s="794">
        <f>SUM(C24:C25)</f>
        <v>935.09100000000001</v>
      </c>
      <c r="D26" s="794">
        <f t="shared" ref="D26:R26" si="2">SUM(D24:D25)</f>
        <v>0</v>
      </c>
      <c r="E26" s="794">
        <f t="shared" si="2"/>
        <v>6300.070952</v>
      </c>
      <c r="F26" s="794">
        <f t="shared" si="2"/>
        <v>1.5675624559193257</v>
      </c>
      <c r="G26" s="794">
        <f t="shared" si="2"/>
        <v>429.20081331058418</v>
      </c>
      <c r="H26" s="794">
        <f t="shared" si="2"/>
        <v>0</v>
      </c>
      <c r="I26" s="794">
        <f t="shared" si="2"/>
        <v>0</v>
      </c>
      <c r="J26" s="794">
        <f t="shared" si="2"/>
        <v>0</v>
      </c>
      <c r="K26" s="794">
        <f t="shared" si="2"/>
        <v>18.707894704812066</v>
      </c>
      <c r="L26" s="794">
        <f t="shared" si="2"/>
        <v>0</v>
      </c>
      <c r="M26" s="794">
        <f t="shared" si="2"/>
        <v>0</v>
      </c>
      <c r="N26" s="794">
        <f t="shared" si="2"/>
        <v>0</v>
      </c>
      <c r="O26" s="794">
        <f t="shared" si="2"/>
        <v>0</v>
      </c>
      <c r="P26" s="794">
        <f t="shared" si="2"/>
        <v>0</v>
      </c>
      <c r="Q26" s="794">
        <f t="shared" si="2"/>
        <v>0</v>
      </c>
      <c r="R26" s="794">
        <f t="shared" si="2"/>
        <v>7684.6382224713161</v>
      </c>
      <c r="S26" s="67"/>
    </row>
    <row r="27" spans="1:19" s="444" customFormat="1" ht="17.25" thickTop="1" thickBot="1">
      <c r="A27" s="685" t="s">
        <v>109</v>
      </c>
      <c r="B27" s="786"/>
      <c r="C27" s="686">
        <f ca="1">C22+C16+C26</f>
        <v>52734.907995583315</v>
      </c>
      <c r="D27" s="686">
        <f t="shared" ref="D27:R27" ca="1" si="3">D22+D16+D26</f>
        <v>1890</v>
      </c>
      <c r="E27" s="686">
        <f t="shared" ca="1" si="3"/>
        <v>92017.583371437999</v>
      </c>
      <c r="F27" s="686">
        <f t="shared" si="3"/>
        <v>2567.0478381445073</v>
      </c>
      <c r="G27" s="686">
        <f t="shared" ca="1" si="3"/>
        <v>62547.591887976094</v>
      </c>
      <c r="H27" s="686">
        <f t="shared" si="3"/>
        <v>53578.921846292433</v>
      </c>
      <c r="I27" s="686">
        <f t="shared" si="3"/>
        <v>10550.448418751346</v>
      </c>
      <c r="J27" s="686">
        <f t="shared" si="3"/>
        <v>0</v>
      </c>
      <c r="K27" s="686">
        <f t="shared" si="3"/>
        <v>1105.5258855311747</v>
      </c>
      <c r="L27" s="686">
        <f t="shared" si="3"/>
        <v>0</v>
      </c>
      <c r="M27" s="686">
        <f t="shared" ca="1" si="3"/>
        <v>0</v>
      </c>
      <c r="N27" s="686">
        <f t="shared" si="3"/>
        <v>2899.6873242125289</v>
      </c>
      <c r="O27" s="686">
        <f t="shared" ca="1" si="3"/>
        <v>11417.900397418171</v>
      </c>
      <c r="P27" s="686">
        <f t="shared" si="3"/>
        <v>171.96666666666667</v>
      </c>
      <c r="Q27" s="686">
        <f t="shared" si="3"/>
        <v>305.06666666666666</v>
      </c>
      <c r="R27" s="686">
        <f t="shared" ca="1" si="3"/>
        <v>291786.6482986809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4217.4578052872084</v>
      </c>
      <c r="D40" s="676">
        <f ca="1">tertiair!C20</f>
        <v>449.15294117647068</v>
      </c>
      <c r="E40" s="676">
        <f ca="1">tertiair!D20</f>
        <v>7318.5805317840004</v>
      </c>
      <c r="F40" s="676">
        <f>tertiair!E20</f>
        <v>42.422296162668601</v>
      </c>
      <c r="G40" s="676">
        <f ca="1">tertiair!F20</f>
        <v>878.2441218394913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12905.857696249839</v>
      </c>
    </row>
    <row r="41" spans="1:18">
      <c r="A41" s="804" t="s">
        <v>214</v>
      </c>
      <c r="B41" s="811"/>
      <c r="C41" s="676">
        <f ca="1">huishoudens!B12</f>
        <v>6152.4986565791669</v>
      </c>
      <c r="D41" s="676">
        <f ca="1">huishoudens!C12</f>
        <v>0</v>
      </c>
      <c r="E41" s="676">
        <f>huishoudens!D12</f>
        <v>9745.9866460880003</v>
      </c>
      <c r="F41" s="676">
        <f>huishoudens!E12</f>
        <v>424.00069102896657</v>
      </c>
      <c r="G41" s="676">
        <f>huishoudens!F12</f>
        <v>15283.340678692161</v>
      </c>
      <c r="H41" s="676">
        <f>huishoudens!G12</f>
        <v>0</v>
      </c>
      <c r="I41" s="676">
        <f>huishoudens!H12</f>
        <v>0</v>
      </c>
      <c r="J41" s="676">
        <f>huishoudens!I12</f>
        <v>0</v>
      </c>
      <c r="K41" s="676">
        <f>huishoudens!J12</f>
        <v>383.7466606475806</v>
      </c>
      <c r="L41" s="676">
        <f>huishoudens!K12</f>
        <v>0</v>
      </c>
      <c r="M41" s="676">
        <f>huishoudens!L12</f>
        <v>0</v>
      </c>
      <c r="N41" s="676">
        <f>huishoudens!M12</f>
        <v>0</v>
      </c>
      <c r="O41" s="676">
        <f>huishoudens!N12</f>
        <v>0</v>
      </c>
      <c r="P41" s="676">
        <f>huishoudens!O12</f>
        <v>0</v>
      </c>
      <c r="Q41" s="753">
        <f>huishoudens!P12</f>
        <v>0</v>
      </c>
      <c r="R41" s="832">
        <f t="shared" ca="1" si="4"/>
        <v>31989.573333035871</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419.81526730306979</v>
      </c>
      <c r="D43" s="676">
        <f ca="1">industrie!C22</f>
        <v>0</v>
      </c>
      <c r="E43" s="676">
        <f>industrie!D22</f>
        <v>249.11841899999999</v>
      </c>
      <c r="F43" s="676">
        <f>industrie!E22</f>
        <v>66.265821282115013</v>
      </c>
      <c r="G43" s="676">
        <f>industrie!F22</f>
        <v>424.0256164040415</v>
      </c>
      <c r="H43" s="676">
        <f>industrie!G22</f>
        <v>0</v>
      </c>
      <c r="I43" s="676">
        <f>industrie!H22</f>
        <v>0</v>
      </c>
      <c r="J43" s="676">
        <f>industrie!I22</f>
        <v>0</v>
      </c>
      <c r="K43" s="676">
        <f>industrie!J22</f>
        <v>0.98690810495172077</v>
      </c>
      <c r="L43" s="676">
        <f>industrie!K22</f>
        <v>0</v>
      </c>
      <c r="M43" s="676">
        <f>industrie!L22</f>
        <v>0</v>
      </c>
      <c r="N43" s="676">
        <f>industrie!M22</f>
        <v>0</v>
      </c>
      <c r="O43" s="676">
        <f>industrie!N22</f>
        <v>0</v>
      </c>
      <c r="P43" s="676">
        <f>industrie!O22</f>
        <v>0</v>
      </c>
      <c r="Q43" s="753">
        <f>industrie!P22</f>
        <v>0</v>
      </c>
      <c r="R43" s="831">
        <f t="shared" ca="1" si="4"/>
        <v>1160.2120320941779</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10789.771729169444</v>
      </c>
      <c r="D46" s="711">
        <f t="shared" ref="D46:Q46" ca="1" si="5">SUM(D39:D45)</f>
        <v>449.15294117647068</v>
      </c>
      <c r="E46" s="711">
        <f t="shared" ca="1" si="5"/>
        <v>17313.685596871997</v>
      </c>
      <c r="F46" s="711">
        <f t="shared" si="5"/>
        <v>532.68880847375021</v>
      </c>
      <c r="G46" s="711">
        <f t="shared" ca="1" si="5"/>
        <v>16585.610416935691</v>
      </c>
      <c r="H46" s="711">
        <f t="shared" si="5"/>
        <v>0</v>
      </c>
      <c r="I46" s="711">
        <f t="shared" si="5"/>
        <v>0</v>
      </c>
      <c r="J46" s="711">
        <f t="shared" si="5"/>
        <v>0</v>
      </c>
      <c r="K46" s="711">
        <f t="shared" si="5"/>
        <v>384.73356875253234</v>
      </c>
      <c r="L46" s="711">
        <f t="shared" si="5"/>
        <v>0</v>
      </c>
      <c r="M46" s="711">
        <f t="shared" ca="1" si="5"/>
        <v>0</v>
      </c>
      <c r="N46" s="711">
        <f t="shared" si="5"/>
        <v>0</v>
      </c>
      <c r="O46" s="711">
        <f t="shared" ca="1" si="5"/>
        <v>0</v>
      </c>
      <c r="P46" s="711">
        <f t="shared" si="5"/>
        <v>0</v>
      </c>
      <c r="Q46" s="711">
        <f t="shared" si="5"/>
        <v>0</v>
      </c>
      <c r="R46" s="711">
        <f ca="1">SUM(R39:R45)</f>
        <v>46055.643061379888</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1.3747692068079984</v>
      </c>
      <c r="D49" s="676">
        <f ca="1">transport!C58</f>
        <v>0</v>
      </c>
      <c r="E49" s="676">
        <f>transport!D58</f>
        <v>0</v>
      </c>
      <c r="F49" s="676">
        <f>transport!E58</f>
        <v>0</v>
      </c>
      <c r="G49" s="676">
        <f>transport!F58</f>
        <v>0</v>
      </c>
      <c r="H49" s="676">
        <f>transport!G58</f>
        <v>342.92012268690394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344.29489189371196</v>
      </c>
    </row>
    <row r="50" spans="1:18">
      <c r="A50" s="807" t="s">
        <v>296</v>
      </c>
      <c r="B50" s="817"/>
      <c r="C50" s="682">
        <f ca="1">transport!B18</f>
        <v>1.254783356076022</v>
      </c>
      <c r="D50" s="682">
        <f>transport!C18</f>
        <v>0</v>
      </c>
      <c r="E50" s="682">
        <f>transport!D18</f>
        <v>1.2519118544800263</v>
      </c>
      <c r="F50" s="682">
        <f>transport!E18</f>
        <v>49.675214107559277</v>
      </c>
      <c r="G50" s="682">
        <f>transport!F18</f>
        <v>0</v>
      </c>
      <c r="H50" s="682">
        <f>transport!G18</f>
        <v>13962.652010273176</v>
      </c>
      <c r="I50" s="682">
        <f>transport!H18</f>
        <v>2627.0616562690852</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16641.895575860377</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2.6295525628840206</v>
      </c>
      <c r="D52" s="711">
        <f t="shared" ref="D52:Q52" ca="1" si="6">SUM(D48:D51)</f>
        <v>0</v>
      </c>
      <c r="E52" s="711">
        <f t="shared" si="6"/>
        <v>1.2519118544800263</v>
      </c>
      <c r="F52" s="711">
        <f t="shared" si="6"/>
        <v>49.675214107559277</v>
      </c>
      <c r="G52" s="711">
        <f t="shared" si="6"/>
        <v>0</v>
      </c>
      <c r="H52" s="711">
        <f t="shared" si="6"/>
        <v>14305.57213296008</v>
      </c>
      <c r="I52" s="711">
        <f t="shared" si="6"/>
        <v>2627.0616562690852</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16986.190467754088</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25.917897400257758</v>
      </c>
      <c r="D54" s="682">
        <f ca="1">+landbouw!C12</f>
        <v>0</v>
      </c>
      <c r="E54" s="682">
        <f>+landbouw!D12</f>
        <v>9.433794304000001</v>
      </c>
      <c r="F54" s="682">
        <f>+landbouw!E12</f>
        <v>0.35583667749368697</v>
      </c>
      <c r="G54" s="682">
        <f>+landbouw!F12</f>
        <v>114.59661715392598</v>
      </c>
      <c r="H54" s="682">
        <f>+landbouw!G12</f>
        <v>0</v>
      </c>
      <c r="I54" s="682">
        <f>+landbouw!H12</f>
        <v>0</v>
      </c>
      <c r="J54" s="682">
        <f>+landbouw!I12</f>
        <v>0</v>
      </c>
      <c r="K54" s="682">
        <f>+landbouw!J12</f>
        <v>6.6225947255034709</v>
      </c>
      <c r="L54" s="682">
        <f>+landbouw!K12</f>
        <v>0</v>
      </c>
      <c r="M54" s="682">
        <f>+landbouw!L12</f>
        <v>0</v>
      </c>
      <c r="N54" s="682">
        <f>+landbouw!M12</f>
        <v>0</v>
      </c>
      <c r="O54" s="682">
        <f>+landbouw!N12</f>
        <v>0</v>
      </c>
      <c r="P54" s="682">
        <f>+landbouw!O12</f>
        <v>0</v>
      </c>
      <c r="Q54" s="683">
        <f>+landbouw!P12</f>
        <v>0</v>
      </c>
      <c r="R54" s="710">
        <f ca="1">SUM(C54:Q54)</f>
        <v>156.9267402611809</v>
      </c>
    </row>
    <row r="55" spans="1:18" ht="15" thickBot="1">
      <c r="A55" s="807" t="s">
        <v>833</v>
      </c>
      <c r="B55" s="817"/>
      <c r="C55" s="682">
        <f ca="1">C25*'EF ele_warmte'!B12</f>
        <v>168.90667713051408</v>
      </c>
      <c r="D55" s="682"/>
      <c r="E55" s="682">
        <f>E25*EF_CO2_aardgas</f>
        <v>1263.1805380000001</v>
      </c>
      <c r="F55" s="682"/>
      <c r="G55" s="682"/>
      <c r="H55" s="682"/>
      <c r="I55" s="682"/>
      <c r="J55" s="682"/>
      <c r="K55" s="682"/>
      <c r="L55" s="682"/>
      <c r="M55" s="682"/>
      <c r="N55" s="682"/>
      <c r="O55" s="682"/>
      <c r="P55" s="682"/>
      <c r="Q55" s="683"/>
      <c r="R55" s="710">
        <f ca="1">SUM(C55:Q55)</f>
        <v>1432.0872151305141</v>
      </c>
    </row>
    <row r="56" spans="1:18" ht="15.75" thickBot="1">
      <c r="A56" s="805" t="s">
        <v>834</v>
      </c>
      <c r="B56" s="818"/>
      <c r="C56" s="711">
        <f ca="1">SUM(C54:C55)</f>
        <v>194.82457453077183</v>
      </c>
      <c r="D56" s="711">
        <f t="shared" ref="D56:Q56" ca="1" si="7">SUM(D54:D55)</f>
        <v>0</v>
      </c>
      <c r="E56" s="711">
        <f t="shared" si="7"/>
        <v>1272.6143323040001</v>
      </c>
      <c r="F56" s="711">
        <f t="shared" si="7"/>
        <v>0.35583667749368697</v>
      </c>
      <c r="G56" s="711">
        <f t="shared" si="7"/>
        <v>114.59661715392598</v>
      </c>
      <c r="H56" s="711">
        <f t="shared" si="7"/>
        <v>0</v>
      </c>
      <c r="I56" s="711">
        <f t="shared" si="7"/>
        <v>0</v>
      </c>
      <c r="J56" s="711">
        <f t="shared" si="7"/>
        <v>0</v>
      </c>
      <c r="K56" s="711">
        <f t="shared" si="7"/>
        <v>6.6225947255034709</v>
      </c>
      <c r="L56" s="711">
        <f t="shared" si="7"/>
        <v>0</v>
      </c>
      <c r="M56" s="711">
        <f t="shared" si="7"/>
        <v>0</v>
      </c>
      <c r="N56" s="711">
        <f t="shared" si="7"/>
        <v>0</v>
      </c>
      <c r="O56" s="711">
        <f t="shared" si="7"/>
        <v>0</v>
      </c>
      <c r="P56" s="711">
        <f t="shared" si="7"/>
        <v>0</v>
      </c>
      <c r="Q56" s="712">
        <f t="shared" si="7"/>
        <v>0</v>
      </c>
      <c r="R56" s="713">
        <f ca="1">SUM(R54:R55)</f>
        <v>1589.0139553916949</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10987.225856263101</v>
      </c>
      <c r="D61" s="719">
        <f t="shared" ref="D61:Q61" ca="1" si="8">D46+D52+D56</f>
        <v>449.15294117647068</v>
      </c>
      <c r="E61" s="719">
        <f t="shared" ca="1" si="8"/>
        <v>18587.551841030479</v>
      </c>
      <c r="F61" s="719">
        <f t="shared" si="8"/>
        <v>582.71985925880324</v>
      </c>
      <c r="G61" s="719">
        <f t="shared" ca="1" si="8"/>
        <v>16700.207034089617</v>
      </c>
      <c r="H61" s="719">
        <f t="shared" si="8"/>
        <v>14305.57213296008</v>
      </c>
      <c r="I61" s="719">
        <f t="shared" si="8"/>
        <v>2627.0616562690852</v>
      </c>
      <c r="J61" s="719">
        <f t="shared" si="8"/>
        <v>0</v>
      </c>
      <c r="K61" s="719">
        <f t="shared" si="8"/>
        <v>391.3561634780358</v>
      </c>
      <c r="L61" s="719">
        <f t="shared" si="8"/>
        <v>0</v>
      </c>
      <c r="M61" s="719">
        <f t="shared" ca="1" si="8"/>
        <v>0</v>
      </c>
      <c r="N61" s="719">
        <f t="shared" si="8"/>
        <v>0</v>
      </c>
      <c r="O61" s="719">
        <f t="shared" ca="1" si="8"/>
        <v>0</v>
      </c>
      <c r="P61" s="719">
        <f t="shared" si="8"/>
        <v>0</v>
      </c>
      <c r="Q61" s="719">
        <f t="shared" si="8"/>
        <v>0</v>
      </c>
      <c r="R61" s="719">
        <f ca="1">R46+R52+R56</f>
        <v>64630.847484525671</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0.20834825116568537</v>
      </c>
      <c r="D63" s="762">
        <f t="shared" ca="1" si="9"/>
        <v>0.23764705882352946</v>
      </c>
      <c r="E63" s="984">
        <f t="shared" ca="1" si="9"/>
        <v>0.20200000000000004</v>
      </c>
      <c r="F63" s="762">
        <f t="shared" si="9"/>
        <v>0.22700000000000004</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3118.6102696124185</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1323</v>
      </c>
      <c r="D76" s="994">
        <f>'lokale energieproductie'!C8</f>
        <v>1556.4705882352941</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314.40705882352944</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3118.6102696124185</v>
      </c>
      <c r="C78" s="734">
        <f>SUM(C72:C77)</f>
        <v>1323</v>
      </c>
      <c r="D78" s="735">
        <f t="shared" ref="D78:H78" si="10">SUM(D76:D77)</f>
        <v>1556.4705882352941</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314.40705882352944</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1890</v>
      </c>
      <c r="D87" s="756">
        <f>'lokale energieproductie'!C17</f>
        <v>2223.5294117647063</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449.15294117647068</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1890</v>
      </c>
      <c r="D90" s="734">
        <f t="shared" ref="D90:H90" si="12">SUM(D87:D89)</f>
        <v>2223.5294117647063</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449.15294117647068</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29529.879047012011</v>
      </c>
      <c r="C4" s="448">
        <f>huishoudens!C8</f>
        <v>0</v>
      </c>
      <c r="D4" s="448">
        <f>huishoudens!D8</f>
        <v>48247.458643999998</v>
      </c>
      <c r="E4" s="448">
        <f>huishoudens!E8</f>
        <v>1867.8444538720994</v>
      </c>
      <c r="F4" s="448">
        <f>huishoudens!F8</f>
        <v>57240.976324689735</v>
      </c>
      <c r="G4" s="448">
        <f>huishoudens!G8</f>
        <v>0</v>
      </c>
      <c r="H4" s="448">
        <f>huishoudens!H8</f>
        <v>0</v>
      </c>
      <c r="I4" s="448">
        <f>huishoudens!I8</f>
        <v>0</v>
      </c>
      <c r="J4" s="448">
        <f>huishoudens!J8</f>
        <v>1084.030114823674</v>
      </c>
      <c r="K4" s="448">
        <f>huishoudens!K8</f>
        <v>0</v>
      </c>
      <c r="L4" s="448">
        <f>huishoudens!L8</f>
        <v>0</v>
      </c>
      <c r="M4" s="448">
        <f>huishoudens!M8</f>
        <v>0</v>
      </c>
      <c r="N4" s="448">
        <f>huishoudens!N8</f>
        <v>10312.507768955158</v>
      </c>
      <c r="O4" s="448">
        <f>huishoudens!O8</f>
        <v>171.96666666666667</v>
      </c>
      <c r="P4" s="449">
        <f>huishoudens!P8</f>
        <v>266.93333333333334</v>
      </c>
      <c r="Q4" s="450">
        <f>SUM(B4:P4)</f>
        <v>148721.59635335265</v>
      </c>
    </row>
    <row r="5" spans="1:17">
      <c r="A5" s="447" t="s">
        <v>149</v>
      </c>
      <c r="B5" s="448">
        <f ca="1">tertiair!B16</f>
        <v>19406.224000000002</v>
      </c>
      <c r="C5" s="448">
        <f ca="1">tertiair!C16</f>
        <v>1890</v>
      </c>
      <c r="D5" s="448">
        <f ca="1">tertiair!D16</f>
        <v>36230.596691999999</v>
      </c>
      <c r="E5" s="448">
        <f>tertiair!E16</f>
        <v>186.88236195008193</v>
      </c>
      <c r="F5" s="448">
        <f ca="1">tertiair!F16</f>
        <v>3289.3038271141995</v>
      </c>
      <c r="G5" s="448">
        <f>tertiair!G16</f>
        <v>0</v>
      </c>
      <c r="H5" s="448">
        <f>tertiair!H16</f>
        <v>0</v>
      </c>
      <c r="I5" s="448">
        <f>tertiair!I16</f>
        <v>0</v>
      </c>
      <c r="J5" s="448">
        <f>tertiair!J16</f>
        <v>0</v>
      </c>
      <c r="K5" s="448">
        <f>tertiair!K16</f>
        <v>0</v>
      </c>
      <c r="L5" s="448">
        <f ca="1">tertiair!L16</f>
        <v>0</v>
      </c>
      <c r="M5" s="448">
        <f>tertiair!M16</f>
        <v>0</v>
      </c>
      <c r="N5" s="448">
        <f ca="1">tertiair!N16</f>
        <v>870.70165260132296</v>
      </c>
      <c r="O5" s="448">
        <f>tertiair!O16</f>
        <v>0</v>
      </c>
      <c r="P5" s="449">
        <f>tertiair!P16</f>
        <v>38.133333333333333</v>
      </c>
      <c r="Q5" s="447">
        <f t="shared" ref="Q5:Q14" ca="1" si="0">SUM(B5:P5)</f>
        <v>61911.841866998941</v>
      </c>
    </row>
    <row r="6" spans="1:17">
      <c r="A6" s="447" t="s">
        <v>187</v>
      </c>
      <c r="B6" s="448">
        <f>'openbare verlichting'!B8</f>
        <v>836.12400000000002</v>
      </c>
      <c r="C6" s="448"/>
      <c r="D6" s="448"/>
      <c r="E6" s="448"/>
      <c r="F6" s="448"/>
      <c r="G6" s="448"/>
      <c r="H6" s="448"/>
      <c r="I6" s="448"/>
      <c r="J6" s="448"/>
      <c r="K6" s="448"/>
      <c r="L6" s="448"/>
      <c r="M6" s="448"/>
      <c r="N6" s="448"/>
      <c r="O6" s="448"/>
      <c r="P6" s="449"/>
      <c r="Q6" s="447">
        <f t="shared" si="0"/>
        <v>836.12400000000002</v>
      </c>
    </row>
    <row r="7" spans="1:17">
      <c r="A7" s="447" t="s">
        <v>105</v>
      </c>
      <c r="B7" s="448">
        <f>landbouw!B8</f>
        <v>124.39700000000001</v>
      </c>
      <c r="C7" s="448">
        <f>landbouw!C8</f>
        <v>0</v>
      </c>
      <c r="D7" s="448">
        <f>landbouw!D8</f>
        <v>46.701952000000006</v>
      </c>
      <c r="E7" s="448">
        <f>landbouw!E8</f>
        <v>1.5675624559193257</v>
      </c>
      <c r="F7" s="448">
        <f>landbouw!F8</f>
        <v>429.20081331058418</v>
      </c>
      <c r="G7" s="448">
        <f>landbouw!G8</f>
        <v>0</v>
      </c>
      <c r="H7" s="448">
        <f>landbouw!H8</f>
        <v>0</v>
      </c>
      <c r="I7" s="448">
        <f>landbouw!I8</f>
        <v>0</v>
      </c>
      <c r="J7" s="448">
        <f>landbouw!J8</f>
        <v>18.707894704812066</v>
      </c>
      <c r="K7" s="448">
        <f>landbouw!K8</f>
        <v>0</v>
      </c>
      <c r="L7" s="448">
        <f>landbouw!L8</f>
        <v>0</v>
      </c>
      <c r="M7" s="448">
        <f>landbouw!M8</f>
        <v>0</v>
      </c>
      <c r="N7" s="448">
        <f>landbouw!N8</f>
        <v>0</v>
      </c>
      <c r="O7" s="448">
        <f>landbouw!O8</f>
        <v>0</v>
      </c>
      <c r="P7" s="449">
        <f>landbouw!P8</f>
        <v>0</v>
      </c>
      <c r="Q7" s="447">
        <f t="shared" si="0"/>
        <v>620.57522247131556</v>
      </c>
    </row>
    <row r="8" spans="1:17">
      <c r="A8" s="447" t="s">
        <v>639</v>
      </c>
      <c r="B8" s="448">
        <f>industrie!B18</f>
        <v>2014.9690000000001</v>
      </c>
      <c r="C8" s="448">
        <f>industrie!C18</f>
        <v>0</v>
      </c>
      <c r="D8" s="448">
        <f>industrie!D18</f>
        <v>1233.2594999999999</v>
      </c>
      <c r="E8" s="448">
        <f>industrie!E18</f>
        <v>291.91991754235687</v>
      </c>
      <c r="F8" s="448">
        <f>industrie!F18</f>
        <v>1588.1109228615785</v>
      </c>
      <c r="G8" s="448">
        <f>industrie!G18</f>
        <v>0</v>
      </c>
      <c r="H8" s="448">
        <f>industrie!H18</f>
        <v>0</v>
      </c>
      <c r="I8" s="448">
        <f>industrie!I18</f>
        <v>0</v>
      </c>
      <c r="J8" s="448">
        <f>industrie!J18</f>
        <v>2.7878760026884768</v>
      </c>
      <c r="K8" s="448">
        <f>industrie!K18</f>
        <v>0</v>
      </c>
      <c r="L8" s="448">
        <f>industrie!L18</f>
        <v>0</v>
      </c>
      <c r="M8" s="448">
        <f>industrie!M18</f>
        <v>0</v>
      </c>
      <c r="N8" s="448">
        <f>industrie!N18</f>
        <v>234.69097586168874</v>
      </c>
      <c r="O8" s="448">
        <f>industrie!O18</f>
        <v>0</v>
      </c>
      <c r="P8" s="449">
        <f>industrie!P18</f>
        <v>0</v>
      </c>
      <c r="Q8" s="447">
        <f t="shared" si="0"/>
        <v>5365.7381922683126</v>
      </c>
    </row>
    <row r="9" spans="1:17" s="453" customFormat="1">
      <c r="A9" s="451" t="s">
        <v>557</v>
      </c>
      <c r="B9" s="452">
        <f>transport!B14</f>
        <v>6.0225288624005655</v>
      </c>
      <c r="C9" s="452">
        <f>transport!C14</f>
        <v>0</v>
      </c>
      <c r="D9" s="452">
        <f>transport!D14</f>
        <v>6.1975834380199322</v>
      </c>
      <c r="E9" s="452">
        <f>transport!E14</f>
        <v>218.83354232404969</v>
      </c>
      <c r="F9" s="452">
        <f>transport!F14</f>
        <v>0</v>
      </c>
      <c r="G9" s="452">
        <f>transport!G14</f>
        <v>52294.57681750253</v>
      </c>
      <c r="H9" s="452">
        <f>transport!H14</f>
        <v>10550.448418751346</v>
      </c>
      <c r="I9" s="452">
        <f>transport!I14</f>
        <v>0</v>
      </c>
      <c r="J9" s="452">
        <f>transport!J14</f>
        <v>0</v>
      </c>
      <c r="K9" s="452">
        <f>transport!K14</f>
        <v>0</v>
      </c>
      <c r="L9" s="452">
        <f>transport!L14</f>
        <v>0</v>
      </c>
      <c r="M9" s="452">
        <f>transport!M14</f>
        <v>2842.0962139506996</v>
      </c>
      <c r="N9" s="452">
        <f>transport!N14</f>
        <v>0</v>
      </c>
      <c r="O9" s="452">
        <f>transport!O14</f>
        <v>0</v>
      </c>
      <c r="P9" s="452">
        <f>transport!P14</f>
        <v>0</v>
      </c>
      <c r="Q9" s="451">
        <f>SUM(B9:P9)</f>
        <v>65918.175104829046</v>
      </c>
    </row>
    <row r="10" spans="1:17">
      <c r="A10" s="447" t="s">
        <v>547</v>
      </c>
      <c r="B10" s="448">
        <f>transport!B54</f>
        <v>6.5984197089071666</v>
      </c>
      <c r="C10" s="448">
        <f>transport!C54</f>
        <v>0</v>
      </c>
      <c r="D10" s="448">
        <f>transport!D54</f>
        <v>0</v>
      </c>
      <c r="E10" s="448">
        <f>transport!E54</f>
        <v>0</v>
      </c>
      <c r="F10" s="448">
        <f>transport!F54</f>
        <v>0</v>
      </c>
      <c r="G10" s="448">
        <f>transport!G54</f>
        <v>1284.3450287899022</v>
      </c>
      <c r="H10" s="448">
        <f>transport!H54</f>
        <v>0</v>
      </c>
      <c r="I10" s="448">
        <f>transport!I54</f>
        <v>0</v>
      </c>
      <c r="J10" s="448">
        <f>transport!J54</f>
        <v>0</v>
      </c>
      <c r="K10" s="448">
        <f>transport!K54</f>
        <v>0</v>
      </c>
      <c r="L10" s="448">
        <f>transport!L54</f>
        <v>0</v>
      </c>
      <c r="M10" s="448">
        <f>transport!M54</f>
        <v>57.591110261829115</v>
      </c>
      <c r="N10" s="448">
        <f>transport!N54</f>
        <v>0</v>
      </c>
      <c r="O10" s="448">
        <f>transport!O54</f>
        <v>0</v>
      </c>
      <c r="P10" s="449">
        <f>transport!P54</f>
        <v>0</v>
      </c>
      <c r="Q10" s="447">
        <f t="shared" si="0"/>
        <v>1348.5345587606384</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810.69399999999996</v>
      </c>
      <c r="C14" s="455"/>
      <c r="D14" s="455">
        <f>'SEAP template'!E25</f>
        <v>6253.3689999999997</v>
      </c>
      <c r="E14" s="455"/>
      <c r="F14" s="455"/>
      <c r="G14" s="455"/>
      <c r="H14" s="455"/>
      <c r="I14" s="455"/>
      <c r="J14" s="455"/>
      <c r="K14" s="455"/>
      <c r="L14" s="455"/>
      <c r="M14" s="455"/>
      <c r="N14" s="455"/>
      <c r="O14" s="455"/>
      <c r="P14" s="456"/>
      <c r="Q14" s="447">
        <f t="shared" si="0"/>
        <v>7064.0630000000001</v>
      </c>
    </row>
    <row r="15" spans="1:17" s="460" customFormat="1">
      <c r="A15" s="457" t="s">
        <v>551</v>
      </c>
      <c r="B15" s="458">
        <f ca="1">SUM(B4:B14)</f>
        <v>52734.907995583322</v>
      </c>
      <c r="C15" s="458">
        <f t="shared" ref="C15:Q15" ca="1" si="1">SUM(C4:C14)</f>
        <v>1890</v>
      </c>
      <c r="D15" s="458">
        <f t="shared" ca="1" si="1"/>
        <v>92017.583371438013</v>
      </c>
      <c r="E15" s="458">
        <f t="shared" si="1"/>
        <v>2567.0478381445073</v>
      </c>
      <c r="F15" s="458">
        <f t="shared" ca="1" si="1"/>
        <v>62547.591887976094</v>
      </c>
      <c r="G15" s="458">
        <f t="shared" si="1"/>
        <v>53578.921846292433</v>
      </c>
      <c r="H15" s="458">
        <f t="shared" si="1"/>
        <v>10550.448418751346</v>
      </c>
      <c r="I15" s="458">
        <f t="shared" si="1"/>
        <v>0</v>
      </c>
      <c r="J15" s="458">
        <f t="shared" si="1"/>
        <v>1105.5258855311747</v>
      </c>
      <c r="K15" s="458">
        <f t="shared" si="1"/>
        <v>0</v>
      </c>
      <c r="L15" s="458">
        <f t="shared" ca="1" si="1"/>
        <v>0</v>
      </c>
      <c r="M15" s="458">
        <f t="shared" si="1"/>
        <v>2899.6873242125289</v>
      </c>
      <c r="N15" s="458">
        <f t="shared" ca="1" si="1"/>
        <v>11417.900397418171</v>
      </c>
      <c r="O15" s="458">
        <f t="shared" si="1"/>
        <v>171.96666666666667</v>
      </c>
      <c r="P15" s="458">
        <f t="shared" si="1"/>
        <v>305.06666666666666</v>
      </c>
      <c r="Q15" s="458">
        <f t="shared" ca="1" si="1"/>
        <v>291786.6482986809</v>
      </c>
    </row>
    <row r="17" spans="1:17">
      <c r="A17" s="461" t="s">
        <v>552</v>
      </c>
      <c r="B17" s="767">
        <f ca="1">huishoudens!B10</f>
        <v>0.20834825116568531</v>
      </c>
      <c r="C17" s="767">
        <f ca="1">huishoudens!C10</f>
        <v>0.23764705882352946</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6152.4986565791669</v>
      </c>
      <c r="C22" s="448">
        <f t="shared" ref="C22:C32" ca="1" si="3">C4*$C$17</f>
        <v>0</v>
      </c>
      <c r="D22" s="448">
        <f t="shared" ref="D22:D32" si="4">D4*$D$17</f>
        <v>9745.9866460880003</v>
      </c>
      <c r="E22" s="448">
        <f t="shared" ref="E22:E32" si="5">E4*$E$17</f>
        <v>424.00069102896657</v>
      </c>
      <c r="F22" s="448">
        <f t="shared" ref="F22:F32" si="6">F4*$F$17</f>
        <v>15283.340678692161</v>
      </c>
      <c r="G22" s="448">
        <f t="shared" ref="G22:G32" si="7">G4*$G$17</f>
        <v>0</v>
      </c>
      <c r="H22" s="448">
        <f t="shared" ref="H22:H32" si="8">H4*$H$17</f>
        <v>0</v>
      </c>
      <c r="I22" s="448">
        <f t="shared" ref="I22:I32" si="9">I4*$I$17</f>
        <v>0</v>
      </c>
      <c r="J22" s="448">
        <f t="shared" ref="J22:J32" si="10">J4*$J$17</f>
        <v>383.7466606475806</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31989.573333035871</v>
      </c>
    </row>
    <row r="23" spans="1:17">
      <c r="A23" s="447" t="s">
        <v>149</v>
      </c>
      <c r="B23" s="448">
        <f t="shared" ca="1" si="2"/>
        <v>4043.2528321295508</v>
      </c>
      <c r="C23" s="448">
        <f t="shared" ca="1" si="3"/>
        <v>449.15294117647068</v>
      </c>
      <c r="D23" s="448">
        <f t="shared" ca="1" si="4"/>
        <v>7318.5805317840004</v>
      </c>
      <c r="E23" s="448">
        <f t="shared" si="5"/>
        <v>42.422296162668601</v>
      </c>
      <c r="F23" s="448">
        <f t="shared" ca="1" si="6"/>
        <v>878.2441218394913</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12731.652723092182</v>
      </c>
    </row>
    <row r="24" spans="1:17">
      <c r="A24" s="447" t="s">
        <v>187</v>
      </c>
      <c r="B24" s="448">
        <f t="shared" ca="1" si="2"/>
        <v>174.20497315765746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174.20497315765746</v>
      </c>
    </row>
    <row r="25" spans="1:17">
      <c r="A25" s="447" t="s">
        <v>105</v>
      </c>
      <c r="B25" s="448">
        <f t="shared" ca="1" si="2"/>
        <v>25.917897400257758</v>
      </c>
      <c r="C25" s="448">
        <f t="shared" ca="1" si="3"/>
        <v>0</v>
      </c>
      <c r="D25" s="448">
        <f t="shared" si="4"/>
        <v>9.433794304000001</v>
      </c>
      <c r="E25" s="448">
        <f t="shared" si="5"/>
        <v>0.35583667749368697</v>
      </c>
      <c r="F25" s="448">
        <f t="shared" si="6"/>
        <v>114.59661715392598</v>
      </c>
      <c r="G25" s="448">
        <f t="shared" si="7"/>
        <v>0</v>
      </c>
      <c r="H25" s="448">
        <f t="shared" si="8"/>
        <v>0</v>
      </c>
      <c r="I25" s="448">
        <f t="shared" si="9"/>
        <v>0</v>
      </c>
      <c r="J25" s="448">
        <f t="shared" si="10"/>
        <v>6.6225947255034709</v>
      </c>
      <c r="K25" s="448">
        <f t="shared" si="11"/>
        <v>0</v>
      </c>
      <c r="L25" s="448">
        <f t="shared" si="12"/>
        <v>0</v>
      </c>
      <c r="M25" s="448">
        <f t="shared" si="13"/>
        <v>0</v>
      </c>
      <c r="N25" s="448">
        <f t="shared" si="14"/>
        <v>0</v>
      </c>
      <c r="O25" s="448">
        <f t="shared" si="15"/>
        <v>0</v>
      </c>
      <c r="P25" s="449">
        <f t="shared" si="16"/>
        <v>0</v>
      </c>
      <c r="Q25" s="447">
        <f t="shared" ca="1" si="17"/>
        <v>156.9267402611809</v>
      </c>
    </row>
    <row r="26" spans="1:17">
      <c r="A26" s="447" t="s">
        <v>639</v>
      </c>
      <c r="B26" s="448">
        <f t="shared" ca="1" si="2"/>
        <v>419.81526730306979</v>
      </c>
      <c r="C26" s="448">
        <f t="shared" ca="1" si="3"/>
        <v>0</v>
      </c>
      <c r="D26" s="448">
        <f t="shared" si="4"/>
        <v>249.11841899999999</v>
      </c>
      <c r="E26" s="448">
        <f t="shared" si="5"/>
        <v>66.265821282115013</v>
      </c>
      <c r="F26" s="448">
        <f t="shared" si="6"/>
        <v>424.0256164040415</v>
      </c>
      <c r="G26" s="448">
        <f t="shared" si="7"/>
        <v>0</v>
      </c>
      <c r="H26" s="448">
        <f t="shared" si="8"/>
        <v>0</v>
      </c>
      <c r="I26" s="448">
        <f t="shared" si="9"/>
        <v>0</v>
      </c>
      <c r="J26" s="448">
        <f t="shared" si="10"/>
        <v>0.98690810495172077</v>
      </c>
      <c r="K26" s="448">
        <f t="shared" si="11"/>
        <v>0</v>
      </c>
      <c r="L26" s="448">
        <f t="shared" si="12"/>
        <v>0</v>
      </c>
      <c r="M26" s="448">
        <f t="shared" si="13"/>
        <v>0</v>
      </c>
      <c r="N26" s="448">
        <f t="shared" si="14"/>
        <v>0</v>
      </c>
      <c r="O26" s="448">
        <f t="shared" si="15"/>
        <v>0</v>
      </c>
      <c r="P26" s="449">
        <f t="shared" si="16"/>
        <v>0</v>
      </c>
      <c r="Q26" s="447">
        <f t="shared" ca="1" si="17"/>
        <v>1160.2120320941779</v>
      </c>
    </row>
    <row r="27" spans="1:17" s="453" customFormat="1">
      <c r="A27" s="451" t="s">
        <v>557</v>
      </c>
      <c r="B27" s="761">
        <f t="shared" ca="1" si="2"/>
        <v>1.254783356076022</v>
      </c>
      <c r="C27" s="452">
        <f t="shared" ca="1" si="3"/>
        <v>0</v>
      </c>
      <c r="D27" s="452">
        <f t="shared" si="4"/>
        <v>1.2519118544800263</v>
      </c>
      <c r="E27" s="452">
        <f t="shared" si="5"/>
        <v>49.675214107559277</v>
      </c>
      <c r="F27" s="452">
        <f t="shared" si="6"/>
        <v>0</v>
      </c>
      <c r="G27" s="452">
        <f t="shared" si="7"/>
        <v>13962.652010273176</v>
      </c>
      <c r="H27" s="452">
        <f t="shared" si="8"/>
        <v>2627.0616562690852</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16641.895575860377</v>
      </c>
    </row>
    <row r="28" spans="1:17">
      <c r="A28" s="447" t="s">
        <v>547</v>
      </c>
      <c r="B28" s="448">
        <f t="shared" ca="1" si="2"/>
        <v>1.3747692068079984</v>
      </c>
      <c r="C28" s="448">
        <f t="shared" ca="1" si="3"/>
        <v>0</v>
      </c>
      <c r="D28" s="448">
        <f t="shared" si="4"/>
        <v>0</v>
      </c>
      <c r="E28" s="448">
        <f t="shared" si="5"/>
        <v>0</v>
      </c>
      <c r="F28" s="448">
        <f t="shared" si="6"/>
        <v>0</v>
      </c>
      <c r="G28" s="448">
        <f t="shared" si="7"/>
        <v>342.92012268690394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344.29489189371196</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168.90667713051408</v>
      </c>
      <c r="C32" s="448">
        <f t="shared" ca="1" si="3"/>
        <v>0</v>
      </c>
      <c r="D32" s="448">
        <f t="shared" si="4"/>
        <v>1263.1805380000001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1432.0872151305141</v>
      </c>
    </row>
    <row r="33" spans="1:17" s="460" customFormat="1">
      <c r="A33" s="457" t="s">
        <v>551</v>
      </c>
      <c r="B33" s="458">
        <f ca="1">SUM(B22:B32)</f>
        <v>10987.2258562631</v>
      </c>
      <c r="C33" s="458">
        <f t="shared" ref="C33:Q33" ca="1" si="18">SUM(C22:C32)</f>
        <v>449.15294117647068</v>
      </c>
      <c r="D33" s="458">
        <f t="shared" ca="1" si="18"/>
        <v>18587.551841030479</v>
      </c>
      <c r="E33" s="458">
        <f t="shared" si="18"/>
        <v>582.71985925880324</v>
      </c>
      <c r="F33" s="458">
        <f t="shared" ca="1" si="18"/>
        <v>16700.207034089617</v>
      </c>
      <c r="G33" s="458">
        <f t="shared" si="18"/>
        <v>14305.57213296008</v>
      </c>
      <c r="H33" s="458">
        <f t="shared" si="18"/>
        <v>2627.0616562690852</v>
      </c>
      <c r="I33" s="458">
        <f t="shared" si="18"/>
        <v>0</v>
      </c>
      <c r="J33" s="458">
        <f t="shared" si="18"/>
        <v>391.3561634780358</v>
      </c>
      <c r="K33" s="458">
        <f t="shared" si="18"/>
        <v>0</v>
      </c>
      <c r="L33" s="458">
        <f t="shared" ca="1" si="18"/>
        <v>0</v>
      </c>
      <c r="M33" s="458">
        <f t="shared" si="18"/>
        <v>0</v>
      </c>
      <c r="N33" s="458">
        <f t="shared" ca="1" si="18"/>
        <v>0</v>
      </c>
      <c r="O33" s="458">
        <f t="shared" si="18"/>
        <v>0</v>
      </c>
      <c r="P33" s="458">
        <f t="shared" si="18"/>
        <v>0</v>
      </c>
      <c r="Q33" s="458">
        <f t="shared" ca="1" si="18"/>
        <v>64630.847484525671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3118.6102696124185</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1323</v>
      </c>
      <c r="D8" s="1020">
        <f>'SEAP template'!D76</f>
        <v>1556.4705882352941</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314.40705882352944</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3118.6102696124185</v>
      </c>
      <c r="C10" s="1024">
        <f>SUM(C4:C9)</f>
        <v>1323</v>
      </c>
      <c r="D10" s="1024">
        <f t="shared" ref="D10:H10" si="0">SUM(D8:D9)</f>
        <v>1556.4705882352941</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314.40705882352944</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0.20834825116568531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1890</v>
      </c>
      <c r="D17" s="1021">
        <f>'SEAP template'!D87</f>
        <v>2223.5294117647063</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449.15294117647068</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1890</v>
      </c>
      <c r="D20" s="1024">
        <f t="shared" ref="D20:H20" si="2">SUM(D17:D19)</f>
        <v>2223.5294117647063</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449.15294117647068</v>
      </c>
    </row>
    <row r="22" spans="1:16">
      <c r="A22" s="461" t="s">
        <v>856</v>
      </c>
      <c r="B22" s="767" t="s">
        <v>850</v>
      </c>
      <c r="C22" s="76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0.20834825116568531</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0.20834825116568531</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0.20834825116568531</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6359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399</v>
      </c>
      <c r="C14" s="327"/>
      <c r="D14" s="327"/>
      <c r="E14" s="327"/>
      <c r="F14" s="327"/>
    </row>
    <row r="15" spans="1:6">
      <c r="A15" s="1296" t="s">
        <v>177</v>
      </c>
      <c r="B15" s="1297">
        <v>0</v>
      </c>
      <c r="C15" s="327"/>
      <c r="D15" s="327"/>
      <c r="E15" s="327"/>
      <c r="F15" s="327"/>
    </row>
    <row r="16" spans="1:6">
      <c r="A16" s="1296" t="s">
        <v>6</v>
      </c>
      <c r="B16" s="1297">
        <v>35</v>
      </c>
      <c r="C16" s="327"/>
      <c r="D16" s="327"/>
      <c r="E16" s="327"/>
      <c r="F16" s="327"/>
    </row>
    <row r="17" spans="1:6">
      <c r="A17" s="1296" t="s">
        <v>7</v>
      </c>
      <c r="B17" s="1297">
        <v>10</v>
      </c>
      <c r="C17" s="327"/>
      <c r="D17" s="327"/>
      <c r="E17" s="327"/>
      <c r="F17" s="327"/>
    </row>
    <row r="18" spans="1:6">
      <c r="A18" s="1296" t="s">
        <v>8</v>
      </c>
      <c r="B18" s="1297">
        <v>32</v>
      </c>
      <c r="C18" s="327"/>
      <c r="D18" s="327"/>
      <c r="E18" s="327"/>
      <c r="F18" s="327"/>
    </row>
    <row r="19" spans="1:6">
      <c r="A19" s="1296" t="s">
        <v>9</v>
      </c>
      <c r="B19" s="1297">
        <v>32</v>
      </c>
      <c r="C19" s="327"/>
      <c r="D19" s="327"/>
      <c r="E19" s="327"/>
      <c r="F19" s="327"/>
    </row>
    <row r="20" spans="1:6">
      <c r="A20" s="1296" t="s">
        <v>10</v>
      </c>
      <c r="B20" s="1297">
        <v>23</v>
      </c>
      <c r="C20" s="327"/>
      <c r="D20" s="327"/>
      <c r="E20" s="327"/>
      <c r="F20" s="327"/>
    </row>
    <row r="21" spans="1:6">
      <c r="A21" s="1296" t="s">
        <v>11</v>
      </c>
      <c r="B21" s="1297">
        <v>0</v>
      </c>
      <c r="C21" s="327"/>
      <c r="D21" s="327"/>
      <c r="E21" s="327"/>
      <c r="F21" s="327"/>
    </row>
    <row r="22" spans="1:6">
      <c r="A22" s="1296" t="s">
        <v>12</v>
      </c>
      <c r="B22" s="1297">
        <v>190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0</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59</v>
      </c>
      <c r="C29" s="327"/>
      <c r="D29" s="327"/>
      <c r="E29" s="327"/>
      <c r="F29" s="327"/>
    </row>
    <row r="30" spans="1:6">
      <c r="A30" s="1291" t="s">
        <v>923</v>
      </c>
      <c r="B30" s="1299">
        <v>4</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7</v>
      </c>
      <c r="F36" s="1297">
        <v>29281</v>
      </c>
    </row>
    <row r="37" spans="1:6">
      <c r="A37" s="1296" t="s">
        <v>24</v>
      </c>
      <c r="B37" s="1296" t="s">
        <v>27</v>
      </c>
      <c r="C37" s="1297">
        <v>0</v>
      </c>
      <c r="D37" s="1297">
        <v>0</v>
      </c>
      <c r="E37" s="1297">
        <v>0</v>
      </c>
      <c r="F37" s="1297">
        <v>0</v>
      </c>
    </row>
    <row r="38" spans="1:6">
      <c r="A38" s="1296" t="s">
        <v>24</v>
      </c>
      <c r="B38" s="1296" t="s">
        <v>28</v>
      </c>
      <c r="C38" s="1297">
        <v>1</v>
      </c>
      <c r="D38" s="1297">
        <v>116651</v>
      </c>
      <c r="E38" s="1297">
        <v>0</v>
      </c>
      <c r="F38" s="1297">
        <v>0</v>
      </c>
    </row>
    <row r="39" spans="1:6">
      <c r="A39" s="1296" t="s">
        <v>29</v>
      </c>
      <c r="B39" s="1296" t="s">
        <v>30</v>
      </c>
      <c r="C39" s="1297">
        <v>3255</v>
      </c>
      <c r="D39" s="1297">
        <v>53489422</v>
      </c>
      <c r="E39" s="1297">
        <v>6381</v>
      </c>
      <c r="F39" s="1297">
        <v>26550764</v>
      </c>
    </row>
    <row r="40" spans="1:6">
      <c r="A40" s="1296" t="s">
        <v>29</v>
      </c>
      <c r="B40" s="1296" t="s">
        <v>28</v>
      </c>
      <c r="C40" s="1297">
        <v>0</v>
      </c>
      <c r="D40" s="1297">
        <v>0</v>
      </c>
      <c r="E40" s="1297">
        <v>0</v>
      </c>
      <c r="F40" s="1297">
        <v>0</v>
      </c>
    </row>
    <row r="41" spans="1:6">
      <c r="A41" s="1296" t="s">
        <v>31</v>
      </c>
      <c r="B41" s="1296" t="s">
        <v>32</v>
      </c>
      <c r="C41" s="1297">
        <v>25</v>
      </c>
      <c r="D41" s="1297">
        <v>639497</v>
      </c>
      <c r="E41" s="1297">
        <v>82</v>
      </c>
      <c r="F41" s="1297">
        <v>886111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4</v>
      </c>
      <c r="D44" s="1297">
        <v>184283</v>
      </c>
      <c r="E44" s="1297">
        <v>6</v>
      </c>
      <c r="F44" s="1297">
        <v>61344</v>
      </c>
    </row>
    <row r="45" spans="1:6">
      <c r="A45" s="1296" t="s">
        <v>31</v>
      </c>
      <c r="B45" s="1296" t="s">
        <v>36</v>
      </c>
      <c r="C45" s="1297">
        <v>0</v>
      </c>
      <c r="D45" s="1297">
        <v>0</v>
      </c>
      <c r="E45" s="1297">
        <v>3</v>
      </c>
      <c r="F45" s="1297">
        <v>476289</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4</v>
      </c>
      <c r="D48" s="1297">
        <v>216282</v>
      </c>
      <c r="E48" s="1297">
        <v>4</v>
      </c>
      <c r="F48" s="1297">
        <v>62948</v>
      </c>
    </row>
    <row r="49" spans="1:6">
      <c r="A49" s="1296" t="s">
        <v>31</v>
      </c>
      <c r="B49" s="1296" t="s">
        <v>39</v>
      </c>
      <c r="C49" s="1297">
        <v>0</v>
      </c>
      <c r="D49" s="1297">
        <v>0</v>
      </c>
      <c r="E49" s="1297">
        <v>0</v>
      </c>
      <c r="F49" s="1297">
        <v>0</v>
      </c>
    </row>
    <row r="50" spans="1:6">
      <c r="A50" s="1296" t="s">
        <v>31</v>
      </c>
      <c r="B50" s="1296" t="s">
        <v>40</v>
      </c>
      <c r="C50" s="1297">
        <v>4</v>
      </c>
      <c r="D50" s="1297">
        <v>327188</v>
      </c>
      <c r="E50" s="1297">
        <v>14</v>
      </c>
      <c r="F50" s="1297">
        <v>528277</v>
      </c>
    </row>
    <row r="51" spans="1:6">
      <c r="A51" s="1296" t="s">
        <v>41</v>
      </c>
      <c r="B51" s="1296" t="s">
        <v>42</v>
      </c>
      <c r="C51" s="1297">
        <v>0</v>
      </c>
      <c r="D51" s="1297">
        <v>0</v>
      </c>
      <c r="E51" s="1297">
        <v>16</v>
      </c>
      <c r="F51" s="1297">
        <v>124397</v>
      </c>
    </row>
    <row r="52" spans="1:6">
      <c r="A52" s="1296" t="s">
        <v>41</v>
      </c>
      <c r="B52" s="1296" t="s">
        <v>28</v>
      </c>
      <c r="C52" s="1297">
        <v>2</v>
      </c>
      <c r="D52" s="1297">
        <v>51776</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68</v>
      </c>
      <c r="F54" s="1297">
        <v>836124</v>
      </c>
    </row>
    <row r="55" spans="1:6">
      <c r="A55" s="1296" t="s">
        <v>45</v>
      </c>
      <c r="B55" s="1296" t="s">
        <v>28</v>
      </c>
      <c r="C55" s="1297">
        <v>0</v>
      </c>
      <c r="D55" s="1297">
        <v>0</v>
      </c>
      <c r="E55" s="1297">
        <v>0</v>
      </c>
      <c r="F55" s="1297">
        <v>0</v>
      </c>
    </row>
    <row r="56" spans="1:6">
      <c r="A56" s="1296" t="s">
        <v>47</v>
      </c>
      <c r="B56" s="1296" t="s">
        <v>28</v>
      </c>
      <c r="C56" s="1297">
        <v>88</v>
      </c>
      <c r="D56" s="1297">
        <v>6253369</v>
      </c>
      <c r="E56" s="1297">
        <v>128</v>
      </c>
      <c r="F56" s="1297">
        <v>810694</v>
      </c>
    </row>
    <row r="57" spans="1:6">
      <c r="A57" s="1296" t="s">
        <v>48</v>
      </c>
      <c r="B57" s="1296" t="s">
        <v>49</v>
      </c>
      <c r="C57" s="1297">
        <v>31</v>
      </c>
      <c r="D57" s="1297">
        <v>1305964</v>
      </c>
      <c r="E57" s="1297">
        <v>83</v>
      </c>
      <c r="F57" s="1297">
        <v>1209525</v>
      </c>
    </row>
    <row r="58" spans="1:6">
      <c r="A58" s="1296" t="s">
        <v>48</v>
      </c>
      <c r="B58" s="1296" t="s">
        <v>50</v>
      </c>
      <c r="C58" s="1297">
        <v>11</v>
      </c>
      <c r="D58" s="1297">
        <v>1666811</v>
      </c>
      <c r="E58" s="1297">
        <v>26</v>
      </c>
      <c r="F58" s="1297">
        <v>961707</v>
      </c>
    </row>
    <row r="59" spans="1:6">
      <c r="A59" s="1296" t="s">
        <v>48</v>
      </c>
      <c r="B59" s="1296" t="s">
        <v>51</v>
      </c>
      <c r="C59" s="1297">
        <v>50</v>
      </c>
      <c r="D59" s="1297">
        <v>2325965</v>
      </c>
      <c r="E59" s="1297">
        <v>180</v>
      </c>
      <c r="F59" s="1297">
        <v>4370708</v>
      </c>
    </row>
    <row r="60" spans="1:6">
      <c r="A60" s="1296" t="s">
        <v>48</v>
      </c>
      <c r="B60" s="1296" t="s">
        <v>52</v>
      </c>
      <c r="C60" s="1297">
        <v>30</v>
      </c>
      <c r="D60" s="1297">
        <v>1119431</v>
      </c>
      <c r="E60" s="1297">
        <v>62</v>
      </c>
      <c r="F60" s="1297">
        <v>1399825</v>
      </c>
    </row>
    <row r="61" spans="1:6">
      <c r="A61" s="1296" t="s">
        <v>48</v>
      </c>
      <c r="B61" s="1296" t="s">
        <v>53</v>
      </c>
      <c r="C61" s="1297">
        <v>54</v>
      </c>
      <c r="D61" s="1297">
        <v>37889927</v>
      </c>
      <c r="E61" s="1297">
        <v>231</v>
      </c>
      <c r="F61" s="1297">
        <v>9817419</v>
      </c>
    </row>
    <row r="62" spans="1:6">
      <c r="A62" s="1296" t="s">
        <v>48</v>
      </c>
      <c r="B62" s="1296" t="s">
        <v>54</v>
      </c>
      <c r="C62" s="1297">
        <v>0</v>
      </c>
      <c r="D62" s="1297">
        <v>0</v>
      </c>
      <c r="E62" s="1297">
        <v>9</v>
      </c>
      <c r="F62" s="1297">
        <v>324040</v>
      </c>
    </row>
    <row r="63" spans="1:6">
      <c r="A63" s="1296" t="s">
        <v>48</v>
      </c>
      <c r="B63" s="1296" t="s">
        <v>28</v>
      </c>
      <c r="C63" s="1297">
        <v>2</v>
      </c>
      <c r="D63" s="1297">
        <v>49548</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3</v>
      </c>
      <c r="D68" s="1299">
        <v>59605</v>
      </c>
      <c r="E68" s="1299">
        <v>3</v>
      </c>
      <c r="F68" s="1299">
        <v>19420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58321253</v>
      </c>
      <c r="E73" s="446"/>
      <c r="F73" s="327"/>
    </row>
    <row r="74" spans="1:6">
      <c r="A74" s="1296" t="s">
        <v>63</v>
      </c>
      <c r="B74" s="1296" t="s">
        <v>706</v>
      </c>
      <c r="C74" s="1309" t="s">
        <v>707</v>
      </c>
      <c r="D74" s="1297">
        <v>3704122.3958709859</v>
      </c>
      <c r="E74" s="446"/>
      <c r="F74" s="327"/>
    </row>
    <row r="75" spans="1:6">
      <c r="A75" s="1296" t="s">
        <v>64</v>
      </c>
      <c r="B75" s="1296" t="s">
        <v>704</v>
      </c>
      <c r="C75" s="1309" t="s">
        <v>708</v>
      </c>
      <c r="D75" s="1297">
        <v>22131170</v>
      </c>
      <c r="E75" s="446"/>
      <c r="F75" s="327"/>
    </row>
    <row r="76" spans="1:6">
      <c r="A76" s="1296" t="s">
        <v>64</v>
      </c>
      <c r="B76" s="1296" t="s">
        <v>706</v>
      </c>
      <c r="C76" s="1309" t="s">
        <v>709</v>
      </c>
      <c r="D76" s="1297">
        <v>193940.39587098581</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356917.20825802837</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2979.115047012011</v>
      </c>
      <c r="C91" s="327"/>
      <c r="D91" s="327"/>
      <c r="E91" s="327"/>
      <c r="F91" s="327"/>
    </row>
    <row r="92" spans="1:6">
      <c r="A92" s="1291" t="s">
        <v>68</v>
      </c>
      <c r="B92" s="1292">
        <v>139.49522260040735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1130</v>
      </c>
      <c r="C97" s="327"/>
      <c r="D97" s="327"/>
      <c r="E97" s="327"/>
      <c r="F97" s="327"/>
    </row>
    <row r="98" spans="1:6">
      <c r="A98" s="1296" t="s">
        <v>71</v>
      </c>
      <c r="B98" s="1297">
        <v>3</v>
      </c>
      <c r="C98" s="327"/>
      <c r="D98" s="327"/>
      <c r="E98" s="327"/>
      <c r="F98" s="327"/>
    </row>
    <row r="99" spans="1:6">
      <c r="A99" s="1296" t="s">
        <v>72</v>
      </c>
      <c r="B99" s="1297">
        <v>45</v>
      </c>
      <c r="C99" s="327"/>
      <c r="D99" s="327"/>
      <c r="E99" s="327"/>
      <c r="F99" s="327"/>
    </row>
    <row r="100" spans="1:6">
      <c r="A100" s="1296" t="s">
        <v>73</v>
      </c>
      <c r="B100" s="1297">
        <v>630</v>
      </c>
      <c r="C100" s="327"/>
      <c r="D100" s="327"/>
      <c r="E100" s="327"/>
      <c r="F100" s="327"/>
    </row>
    <row r="101" spans="1:6">
      <c r="A101" s="1296" t="s">
        <v>74</v>
      </c>
      <c r="B101" s="1297">
        <v>47</v>
      </c>
      <c r="C101" s="327"/>
      <c r="D101" s="327"/>
      <c r="E101" s="327"/>
      <c r="F101" s="327"/>
    </row>
    <row r="102" spans="1:6">
      <c r="A102" s="1296" t="s">
        <v>75</v>
      </c>
      <c r="B102" s="1297">
        <v>102</v>
      </c>
      <c r="C102" s="327"/>
      <c r="D102" s="327"/>
      <c r="E102" s="327"/>
      <c r="F102" s="327"/>
    </row>
    <row r="103" spans="1:6">
      <c r="A103" s="1296" t="s">
        <v>76</v>
      </c>
      <c r="B103" s="1297">
        <v>123</v>
      </c>
      <c r="C103" s="327"/>
      <c r="D103" s="327"/>
      <c r="E103" s="327"/>
      <c r="F103" s="327"/>
    </row>
    <row r="104" spans="1:6">
      <c r="A104" s="1296" t="s">
        <v>77</v>
      </c>
      <c r="B104" s="1297">
        <v>3335</v>
      </c>
      <c r="C104" s="327"/>
      <c r="D104" s="327"/>
      <c r="E104" s="327"/>
      <c r="F104" s="327"/>
    </row>
    <row r="105" spans="1:6">
      <c r="A105" s="1291"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5</v>
      </c>
      <c r="C123" s="1297">
        <v>9</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101</v>
      </c>
      <c r="C129" s="327"/>
      <c r="D129" s="327"/>
      <c r="E129" s="327"/>
      <c r="F129" s="327"/>
    </row>
    <row r="130" spans="1:6">
      <c r="A130" s="1296" t="s">
        <v>284</v>
      </c>
      <c r="B130" s="1297">
        <v>0</v>
      </c>
      <c r="C130" s="327"/>
      <c r="D130" s="327"/>
      <c r="E130" s="327"/>
      <c r="F130" s="327"/>
    </row>
    <row r="131" spans="1:6">
      <c r="A131" s="1296" t="s">
        <v>285</v>
      </c>
      <c r="B131" s="1297">
        <v>2</v>
      </c>
      <c r="C131" s="327"/>
      <c r="D131" s="327"/>
      <c r="E131" s="327"/>
      <c r="F131" s="327"/>
    </row>
    <row r="132" spans="1:6">
      <c r="A132" s="1291" t="s">
        <v>286</v>
      </c>
      <c r="B132" s="1292">
        <v>9</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52734.907995583315</v>
      </c>
      <c r="C3" s="43" t="s">
        <v>163</v>
      </c>
      <c r="D3" s="43"/>
      <c r="E3" s="156"/>
      <c r="F3" s="43"/>
      <c r="G3" s="43"/>
      <c r="H3" s="43"/>
      <c r="I3" s="43"/>
      <c r="J3" s="43"/>
      <c r="K3" s="96"/>
    </row>
    <row r="4" spans="1:11">
      <c r="A4" s="353" t="s">
        <v>164</v>
      </c>
      <c r="B4" s="49">
        <f>IF(ISERROR('SEAP template'!B78+'SEAP template'!C78),0,'SEAP template'!B78+'SEAP template'!C78)</f>
        <v>4441.6102696124181</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314.40705882352944</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0.20834825116568531</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449.15294117647068</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1890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0.23764705882352946</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836.12400000000002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836.12400000000002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0.20834825116568531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174.20497315765746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26550.763999999999</v>
      </c>
      <c r="C5" s="17">
        <f>IF(ISERROR('Eigen informatie GS &amp; warmtenet'!B57),0,'Eigen informatie GS &amp; warmtenet'!B57)</f>
        <v>0</v>
      </c>
      <c r="D5" s="30">
        <f>(SUM(HH_hh_gas_kWh,HH_rest_gas_kWh)/1000)*0.902</f>
        <v>48247.458643999998</v>
      </c>
      <c r="E5" s="17">
        <f>B32*B41</f>
        <v>1867.8444538720994</v>
      </c>
      <c r="F5" s="17">
        <f>B36*B45</f>
        <v>57240.976324689735</v>
      </c>
      <c r="G5" s="18"/>
      <c r="H5" s="17"/>
      <c r="I5" s="17"/>
      <c r="J5" s="17">
        <f>B35*B44+C35*C44</f>
        <v>1084.030114823674</v>
      </c>
      <c r="K5" s="17"/>
      <c r="L5" s="17"/>
      <c r="M5" s="17"/>
      <c r="N5" s="17">
        <f>B34*B43+C34*C43</f>
        <v>10312.507768955158</v>
      </c>
      <c r="O5" s="17">
        <f>B52*B53*B54</f>
        <v>171.96666666666667</v>
      </c>
      <c r="P5" s="17">
        <f>B60*B61*B62/1000-B60*B61*B62/1000/B63</f>
        <v>266.93333333333334</v>
      </c>
    </row>
    <row r="6" spans="1:16">
      <c r="A6" s="16" t="s">
        <v>617</v>
      </c>
      <c r="B6" s="769">
        <f>kWh_PV_kleiner_dan_10kW</f>
        <v>2979.115047012011</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29529.879047012011</v>
      </c>
      <c r="C8" s="21">
        <f>C5</f>
        <v>0</v>
      </c>
      <c r="D8" s="21">
        <f>D5</f>
        <v>48247.458643999998</v>
      </c>
      <c r="E8" s="21">
        <f>E5</f>
        <v>1867.8444538720994</v>
      </c>
      <c r="F8" s="21">
        <f>F5</f>
        <v>57240.976324689735</v>
      </c>
      <c r="G8" s="21"/>
      <c r="H8" s="21"/>
      <c r="I8" s="21"/>
      <c r="J8" s="21">
        <f>J5</f>
        <v>1084.030114823674</v>
      </c>
      <c r="K8" s="21"/>
      <c r="L8" s="21">
        <f>L5</f>
        <v>0</v>
      </c>
      <c r="M8" s="21">
        <f>M5</f>
        <v>0</v>
      </c>
      <c r="N8" s="21">
        <f>N5</f>
        <v>10312.507768955158</v>
      </c>
      <c r="O8" s="21">
        <f>O5</f>
        <v>171.96666666666667</v>
      </c>
      <c r="P8" s="21">
        <f>P5</f>
        <v>266.93333333333334</v>
      </c>
    </row>
    <row r="9" spans="1:16">
      <c r="B9" s="19"/>
      <c r="C9" s="19"/>
      <c r="D9" s="257"/>
      <c r="E9" s="19"/>
      <c r="F9" s="19"/>
      <c r="G9" s="19"/>
      <c r="H9" s="19"/>
      <c r="I9" s="19"/>
      <c r="J9" s="19"/>
      <c r="K9" s="19"/>
      <c r="L9" s="19"/>
      <c r="M9" s="19"/>
      <c r="N9" s="19"/>
      <c r="O9" s="19"/>
      <c r="P9" s="19"/>
    </row>
    <row r="10" spans="1:16">
      <c r="A10" s="24" t="s">
        <v>207</v>
      </c>
      <c r="B10" s="25">
        <f ca="1">'EF ele_warmte'!B12</f>
        <v>0.20834825116568531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6152.4986565791669</v>
      </c>
      <c r="C12" s="23">
        <f ca="1">C10*C8</f>
        <v>0</v>
      </c>
      <c r="D12" s="23">
        <f>D8*D10</f>
        <v>9745.9866460880003</v>
      </c>
      <c r="E12" s="23">
        <f>E10*E8</f>
        <v>424.00069102896657</v>
      </c>
      <c r="F12" s="23">
        <f>F10*F8</f>
        <v>15283.340678692161</v>
      </c>
      <c r="G12" s="23"/>
      <c r="H12" s="23"/>
      <c r="I12" s="23"/>
      <c r="J12" s="23">
        <f>J10*J8</f>
        <v>383.7466606475806</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6359</v>
      </c>
      <c r="C26" s="36"/>
      <c r="D26" s="227"/>
    </row>
    <row r="27" spans="1:5" s="15" customFormat="1">
      <c r="A27" s="229" t="s">
        <v>722</v>
      </c>
      <c r="B27" s="37">
        <f>SUM(HH_hh_gas_aantal,HH_rest_gas_aantal)</f>
        <v>3255</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3092.25</v>
      </c>
      <c r="C31" s="34" t="s">
        <v>104</v>
      </c>
      <c r="D31" s="173"/>
    </row>
    <row r="32" spans="1:5">
      <c r="A32" s="170" t="s">
        <v>72</v>
      </c>
      <c r="B32" s="33">
        <f>IF((B21*($B$26-($B$27-0.05*$B$27)-$B$60))&lt;0,0,B21*($B$26-($B$27-0.05*$B$27)-$B$60))</f>
        <v>81.453940979628442</v>
      </c>
      <c r="C32" s="34" t="s">
        <v>104</v>
      </c>
      <c r="D32" s="173"/>
    </row>
    <row r="33" spans="1:6">
      <c r="A33" s="170" t="s">
        <v>73</v>
      </c>
      <c r="B33" s="33">
        <f>IF((B22*($B$26-($B$27-0.05*$B$27)-$B$60))&lt;0,0,B22*($B$26-($B$27-0.05*$B$27)-$B$60))</f>
        <v>548.28055519281395</v>
      </c>
      <c r="C33" s="34" t="s">
        <v>104</v>
      </c>
      <c r="D33" s="173"/>
    </row>
    <row r="34" spans="1:6">
      <c r="A34" s="170" t="s">
        <v>74</v>
      </c>
      <c r="B34" s="33">
        <f>IF((B24*($B$26-($B$27-0.05*$B$27)-$B$60))&lt;0,0,B24*($B$26-($B$27-0.05*$B$27)-$B$60))</f>
        <v>139.10620853097905</v>
      </c>
      <c r="C34" s="33">
        <f>B26*C24</f>
        <v>1300.7974700514048</v>
      </c>
      <c r="D34" s="232"/>
    </row>
    <row r="35" spans="1:6">
      <c r="A35" s="170" t="s">
        <v>76</v>
      </c>
      <c r="B35" s="33">
        <f>IF((B19*($B$26-($B$27-0.05*$B$27)-$B$60))&lt;0,0,B19*($B$26-($B$27-0.05*$B$27)-$B$60))</f>
        <v>51.696436409807397</v>
      </c>
      <c r="C35" s="33">
        <f>B35/2</f>
        <v>25.848218204903699</v>
      </c>
      <c r="D35" s="232"/>
    </row>
    <row r="36" spans="1:6">
      <c r="A36" s="170" t="s">
        <v>77</v>
      </c>
      <c r="B36" s="33">
        <f>IF((B18*($B$26-($B$27-0.05*$B$27)-$B$60))&lt;0,0,B18*($B$26-($B$27-0.05*$B$27)-$B$60))</f>
        <v>2432.2128588867713</v>
      </c>
      <c r="C36" s="34" t="s">
        <v>104</v>
      </c>
      <c r="D36" s="173"/>
    </row>
    <row r="37" spans="1:6">
      <c r="A37" s="170" t="s">
        <v>78</v>
      </c>
      <c r="B37" s="33">
        <f>B60</f>
        <v>14</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110</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14</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18083.224000000002</v>
      </c>
      <c r="C5" s="17">
        <f>IF(ISERROR('Eigen informatie GS &amp; warmtenet'!B58),0,'Eigen informatie GS &amp; warmtenet'!B58)</f>
        <v>0</v>
      </c>
      <c r="D5" s="30">
        <f>SUM(D6:D12)</f>
        <v>40010.596691999999</v>
      </c>
      <c r="E5" s="17">
        <f>SUM(E6:E12)</f>
        <v>186.88236195008193</v>
      </c>
      <c r="F5" s="17">
        <f>SUM(F6:F12)</f>
        <v>3289.3038271141995</v>
      </c>
      <c r="G5" s="18"/>
      <c r="H5" s="17"/>
      <c r="I5" s="17"/>
      <c r="J5" s="17">
        <f>SUM(J6:J12)</f>
        <v>0</v>
      </c>
      <c r="K5" s="17"/>
      <c r="L5" s="17"/>
      <c r="M5" s="17"/>
      <c r="N5" s="17">
        <f>SUM(N6:N12)</f>
        <v>870.70165260132296</v>
      </c>
      <c r="O5" s="17">
        <f>B38*B39*B40</f>
        <v>0</v>
      </c>
      <c r="P5" s="17">
        <f>B46*B47*B48/1000-B46*B47*B48/1000/B49</f>
        <v>38.133333333333333</v>
      </c>
      <c r="R5" s="32"/>
    </row>
    <row r="6" spans="1:18">
      <c r="A6" s="32" t="s">
        <v>53</v>
      </c>
      <c r="B6" s="37">
        <f>B26</f>
        <v>9817.4189999999999</v>
      </c>
      <c r="C6" s="33"/>
      <c r="D6" s="37">
        <f>IF(ISERROR(TER_kantoor_gas_kWh/1000),0,TER_kantoor_gas_kWh/1000)*0.902</f>
        <v>34176.714154000001</v>
      </c>
      <c r="E6" s="33">
        <f>$C$26*'E Balans VL '!I12/100/3.6*1000000</f>
        <v>38.142751283703959</v>
      </c>
      <c r="F6" s="33">
        <f>$C$26*('E Balans VL '!L12+'E Balans VL '!N12)/100/3.6*1000000</f>
        <v>1493.1400985092168</v>
      </c>
      <c r="G6" s="34"/>
      <c r="H6" s="33"/>
      <c r="I6" s="33"/>
      <c r="J6" s="33">
        <f>$C$26*('E Balans VL '!D12+'E Balans VL '!E12)/100/3.6*1000000</f>
        <v>0</v>
      </c>
      <c r="K6" s="33"/>
      <c r="L6" s="33"/>
      <c r="M6" s="33"/>
      <c r="N6" s="33">
        <f>$C$26*'E Balans VL '!Y12/100/3.6*1000000</f>
        <v>5.4105739668325068</v>
      </c>
      <c r="O6" s="33"/>
      <c r="P6" s="33"/>
      <c r="R6" s="32"/>
    </row>
    <row r="7" spans="1:18">
      <c r="A7" s="32" t="s">
        <v>52</v>
      </c>
      <c r="B7" s="37">
        <f t="shared" ref="B7:B12" si="0">B27</f>
        <v>1399.825</v>
      </c>
      <c r="C7" s="33"/>
      <c r="D7" s="37">
        <f>IF(ISERROR(TER_horeca_gas_kWh/1000),0,TER_horeca_gas_kWh/1000)*0.902</f>
        <v>1009.726762</v>
      </c>
      <c r="E7" s="33">
        <f>$C$27*'E Balans VL '!I9/100/3.6*1000000</f>
        <v>78.852516501198124</v>
      </c>
      <c r="F7" s="33">
        <f>$C$27*('E Balans VL '!L9+'E Balans VL '!N9)/100/3.6*1000000</f>
        <v>403.62572418806155</v>
      </c>
      <c r="G7" s="34"/>
      <c r="H7" s="33"/>
      <c r="I7" s="33"/>
      <c r="J7" s="33">
        <f>$C$27*('E Balans VL '!D9+'E Balans VL '!E9)/100/3.6*1000000</f>
        <v>0</v>
      </c>
      <c r="K7" s="33"/>
      <c r="L7" s="33"/>
      <c r="M7" s="33"/>
      <c r="N7" s="33">
        <f>$C$27*'E Balans VL '!Y9/100/3.6*1000000</f>
        <v>0.38648440832489517</v>
      </c>
      <c r="O7" s="33"/>
      <c r="P7" s="33"/>
      <c r="R7" s="32"/>
    </row>
    <row r="8" spans="1:18">
      <c r="A8" s="6" t="s">
        <v>51</v>
      </c>
      <c r="B8" s="37">
        <f t="shared" si="0"/>
        <v>4370.7079999999996</v>
      </c>
      <c r="C8" s="33"/>
      <c r="D8" s="37">
        <f>IF(ISERROR(TER_handel_gas_kWh/1000),0,TER_handel_gas_kWh/1000)*0.902</f>
        <v>2098.02043</v>
      </c>
      <c r="E8" s="33">
        <f>$C$28*'E Balans VL '!I13/100/3.6*1000000</f>
        <v>62.996730617185122</v>
      </c>
      <c r="F8" s="33">
        <f>$C$28*('E Balans VL '!L13+'E Balans VL '!N13)/100/3.6*1000000</f>
        <v>759.29376652085534</v>
      </c>
      <c r="G8" s="34"/>
      <c r="H8" s="33"/>
      <c r="I8" s="33"/>
      <c r="J8" s="33">
        <f>$C$28*('E Balans VL '!D13+'E Balans VL '!E13)/100/3.6*1000000</f>
        <v>0</v>
      </c>
      <c r="K8" s="33"/>
      <c r="L8" s="33"/>
      <c r="M8" s="33"/>
      <c r="N8" s="33">
        <f>$C$28*'E Balans VL '!Y13/100/3.6*1000000</f>
        <v>13.095127725237711</v>
      </c>
      <c r="O8" s="33"/>
      <c r="P8" s="33"/>
      <c r="R8" s="32"/>
    </row>
    <row r="9" spans="1:18">
      <c r="A9" s="32" t="s">
        <v>50</v>
      </c>
      <c r="B9" s="37">
        <f t="shared" si="0"/>
        <v>961.70699999999999</v>
      </c>
      <c r="C9" s="33"/>
      <c r="D9" s="37">
        <f>IF(ISERROR(TER_gezond_gas_kWh/1000),0,TER_gezond_gas_kWh/1000)*0.902</f>
        <v>1503.463522</v>
      </c>
      <c r="E9" s="33">
        <f>$C$29*'E Balans VL '!I10/100/3.6*1000000</f>
        <v>1.027352341300422</v>
      </c>
      <c r="F9" s="33">
        <f>$C$29*('E Balans VL '!L10+'E Balans VL '!N10)/100/3.6*1000000</f>
        <v>156.88363907249416</v>
      </c>
      <c r="G9" s="34"/>
      <c r="H9" s="33"/>
      <c r="I9" s="33"/>
      <c r="J9" s="33">
        <f>$C$29*('E Balans VL '!D10+'E Balans VL '!E10)/100/3.6*1000000</f>
        <v>0</v>
      </c>
      <c r="K9" s="33"/>
      <c r="L9" s="33"/>
      <c r="M9" s="33"/>
      <c r="N9" s="33">
        <f>$C$29*'E Balans VL '!Y10/100/3.6*1000000</f>
        <v>9.9002248259333125</v>
      </c>
      <c r="O9" s="33"/>
      <c r="P9" s="33"/>
      <c r="R9" s="32"/>
    </row>
    <row r="10" spans="1:18">
      <c r="A10" s="32" t="s">
        <v>49</v>
      </c>
      <c r="B10" s="37">
        <f t="shared" si="0"/>
        <v>1209.5250000000001</v>
      </c>
      <c r="C10" s="33"/>
      <c r="D10" s="37">
        <f>IF(ISERROR(TER_ander_gas_kWh/1000),0,TER_ander_gas_kWh/1000)*0.902</f>
        <v>1177.9795280000001</v>
      </c>
      <c r="E10" s="33">
        <f>$C$30*'E Balans VL '!I14/100/3.6*1000000</f>
        <v>5.5624214925898174</v>
      </c>
      <c r="F10" s="33">
        <f>$C$30*('E Balans VL '!L14+'E Balans VL '!N14)/100/3.6*1000000</f>
        <v>362.53279434752318</v>
      </c>
      <c r="G10" s="34"/>
      <c r="H10" s="33"/>
      <c r="I10" s="33"/>
      <c r="J10" s="33">
        <f>$C$30*('E Balans VL '!D14+'E Balans VL '!E14)/100/3.6*1000000</f>
        <v>0</v>
      </c>
      <c r="K10" s="33"/>
      <c r="L10" s="33"/>
      <c r="M10" s="33"/>
      <c r="N10" s="33">
        <f>$C$30*'E Balans VL '!Y14/100/3.6*1000000</f>
        <v>841.90924167499452</v>
      </c>
      <c r="O10" s="33"/>
      <c r="P10" s="33"/>
      <c r="R10" s="32"/>
    </row>
    <row r="11" spans="1:18">
      <c r="A11" s="32" t="s">
        <v>54</v>
      </c>
      <c r="B11" s="37">
        <f t="shared" si="0"/>
        <v>324.04000000000002</v>
      </c>
      <c r="C11" s="33"/>
      <c r="D11" s="37">
        <f>IF(ISERROR(TER_onderwijs_gas_kWh/1000),0,TER_onderwijs_gas_kWh/1000)*0.902</f>
        <v>0</v>
      </c>
      <c r="E11" s="33">
        <f>$C$31*'E Balans VL '!I11/100/3.6*1000000</f>
        <v>0.30058971410449553</v>
      </c>
      <c r="F11" s="33">
        <f>$C$31*('E Balans VL '!L11+'E Balans VL '!N11)/100/3.6*1000000</f>
        <v>113.82780447604873</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44.692296000000006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energieproductie'!N38+'lokale energieproductie'!N31</f>
        <v>1323</v>
      </c>
      <c r="C13" s="245">
        <f ca="1">'lokale energieproductie'!O38+'lokale energieproductie'!O31</f>
        <v>1890</v>
      </c>
      <c r="D13" s="305">
        <f ca="1">('lokale energieproductie'!P31+'lokale energieproductie'!P38)*(-1)</f>
        <v>-3780.0000000000005</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19406.224000000002</v>
      </c>
      <c r="C16" s="21">
        <f t="shared" ca="1" si="1"/>
        <v>1890</v>
      </c>
      <c r="D16" s="21">
        <f t="shared" ca="1" si="1"/>
        <v>36230.596691999999</v>
      </c>
      <c r="E16" s="21">
        <f t="shared" si="1"/>
        <v>186.88236195008193</v>
      </c>
      <c r="F16" s="21">
        <f t="shared" ca="1" si="1"/>
        <v>3289.3038271141995</v>
      </c>
      <c r="G16" s="21">
        <f t="shared" si="1"/>
        <v>0</v>
      </c>
      <c r="H16" s="21">
        <f t="shared" si="1"/>
        <v>0</v>
      </c>
      <c r="I16" s="21">
        <f t="shared" si="1"/>
        <v>0</v>
      </c>
      <c r="J16" s="21">
        <f t="shared" si="1"/>
        <v>0</v>
      </c>
      <c r="K16" s="21">
        <f t="shared" si="1"/>
        <v>0</v>
      </c>
      <c r="L16" s="21">
        <f t="shared" ca="1" si="1"/>
        <v>0</v>
      </c>
      <c r="M16" s="21">
        <f t="shared" si="1"/>
        <v>0</v>
      </c>
      <c r="N16" s="21">
        <f t="shared" ca="1" si="1"/>
        <v>870.70165260132296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0.20834825116568531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4043.2528321295508</v>
      </c>
      <c r="C20" s="23">
        <f t="shared" ref="C20:P20" ca="1" si="2">C16*C18</f>
        <v>449.15294117647068</v>
      </c>
      <c r="D20" s="23">
        <f t="shared" ca="1" si="2"/>
        <v>7318.5805317840004</v>
      </c>
      <c r="E20" s="23">
        <f t="shared" si="2"/>
        <v>42.422296162668601</v>
      </c>
      <c r="F20" s="23">
        <f t="shared" ca="1" si="2"/>
        <v>878.2441218394913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9817.4189999999999</v>
      </c>
      <c r="C26" s="39">
        <f>IF(ISERROR(B26*3.6/1000000/'E Balans VL '!Z12*100),0,B26*3.6/1000000/'E Balans VL '!Z12*100)</f>
        <v>0.20852684247720205</v>
      </c>
      <c r="D26" s="235" t="s">
        <v>672</v>
      </c>
      <c r="F26" s="6"/>
    </row>
    <row r="27" spans="1:18">
      <c r="A27" s="230" t="s">
        <v>52</v>
      </c>
      <c r="B27" s="33">
        <f>IF(ISERROR(TER_horeca_ele_kWh/1000),0,TER_horeca_ele_kWh/1000)</f>
        <v>1399.825</v>
      </c>
      <c r="C27" s="39">
        <f>IF(ISERROR(B27*3.6/1000000/'E Balans VL '!Z9*100),0,B27*3.6/1000000/'E Balans VL '!Z9*100)</f>
        <v>0.1088449187938504</v>
      </c>
      <c r="D27" s="235" t="s">
        <v>672</v>
      </c>
      <c r="F27" s="6"/>
    </row>
    <row r="28" spans="1:18">
      <c r="A28" s="170" t="s">
        <v>51</v>
      </c>
      <c r="B28" s="33">
        <f>IF(ISERROR(TER_handel_ele_kWh/1000),0,TER_handel_ele_kWh/1000)</f>
        <v>4370.7079999999996</v>
      </c>
      <c r="C28" s="39">
        <f>IF(ISERROR(B28*3.6/1000000/'E Balans VL '!Z13*100),0,B28*3.6/1000000/'E Balans VL '!Z13*100)</f>
        <v>0.12505109968875466</v>
      </c>
      <c r="D28" s="235" t="s">
        <v>672</v>
      </c>
      <c r="F28" s="6"/>
    </row>
    <row r="29" spans="1:18">
      <c r="A29" s="230" t="s">
        <v>50</v>
      </c>
      <c r="B29" s="33">
        <f>IF(ISERROR(TER_gezond_ele_kWh/1000),0,TER_gezond_ele_kWh/1000)</f>
        <v>961.70699999999999</v>
      </c>
      <c r="C29" s="39">
        <f>IF(ISERROR(B29*3.6/1000000/'E Balans VL '!Z10*100),0,B29*3.6/1000000/'E Balans VL '!Z10*100)</f>
        <v>0.10484841039051665</v>
      </c>
      <c r="D29" s="235" t="s">
        <v>672</v>
      </c>
      <c r="F29" s="6"/>
    </row>
    <row r="30" spans="1:18">
      <c r="A30" s="230" t="s">
        <v>49</v>
      </c>
      <c r="B30" s="33">
        <f>IF(ISERROR(TER_ander_ele_kWh/1000),0,TER_ander_ele_kWh/1000)</f>
        <v>1209.5250000000001</v>
      </c>
      <c r="C30" s="39">
        <f>IF(ISERROR(B30*3.6/1000000/'E Balans VL '!Z14*100),0,B30*3.6/1000000/'E Balans VL '!Z14*100)</f>
        <v>8.8510295757579155E-2</v>
      </c>
      <c r="D30" s="235" t="s">
        <v>672</v>
      </c>
      <c r="F30" s="6"/>
    </row>
    <row r="31" spans="1:18">
      <c r="A31" s="230" t="s">
        <v>54</v>
      </c>
      <c r="B31" s="33">
        <f>IF(ISERROR(TER_onderwijs_ele_kWh/1000),0,TER_onderwijs_ele_kWh/1000)</f>
        <v>324.04000000000002</v>
      </c>
      <c r="C31" s="39">
        <f>IF(ISERROR(B31*3.6/1000000/'E Balans VL '!Z11*100),0,B31*3.6/1000000/'E Balans VL '!Z11*100)</f>
        <v>6.5083674625468768E-2</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2014.9690000000001</v>
      </c>
      <c r="C5" s="17">
        <f>IF(ISERROR('Eigen informatie GS &amp; warmtenet'!B59),0,'Eigen informatie GS &amp; warmtenet'!B59)</f>
        <v>0</v>
      </c>
      <c r="D5" s="30">
        <f>SUM(D6:D15)</f>
        <v>1233.2594999999999</v>
      </c>
      <c r="E5" s="17">
        <f>SUM(E6:E15)</f>
        <v>291.91991754235687</v>
      </c>
      <c r="F5" s="17">
        <f>SUM(F6:F15)</f>
        <v>1588.1109228615785</v>
      </c>
      <c r="G5" s="18"/>
      <c r="H5" s="17"/>
      <c r="I5" s="17"/>
      <c r="J5" s="17">
        <f>SUM(J6:J15)</f>
        <v>2.7878760026884768</v>
      </c>
      <c r="K5" s="17"/>
      <c r="L5" s="17"/>
      <c r="M5" s="17"/>
      <c r="N5" s="17">
        <f>SUM(N6:N15)</f>
        <v>234.69097586168874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61.344000000000001</v>
      </c>
      <c r="C8" s="33"/>
      <c r="D8" s="37">
        <f>IF( ISERROR(IND_metaal_Gas_kWH/1000),0,IND_metaal_Gas_kWH/1000)*0.902</f>
        <v>166.223266</v>
      </c>
      <c r="E8" s="33">
        <f>C30*'E Balans VL '!I18/100/3.6*1000000</f>
        <v>1.7620299371283876</v>
      </c>
      <c r="F8" s="33">
        <f>C30*'E Balans VL '!L18/100/3.6*1000000+C30*'E Balans VL '!N18/100/3.6*1000000</f>
        <v>15.733556185327318</v>
      </c>
      <c r="G8" s="34"/>
      <c r="H8" s="33"/>
      <c r="I8" s="33"/>
      <c r="J8" s="40">
        <f>C30*'E Balans VL '!D18/100/3.6*1000000+C30*'E Balans VL '!E18/100/3.6*1000000</f>
        <v>0</v>
      </c>
      <c r="K8" s="33"/>
      <c r="L8" s="33"/>
      <c r="M8" s="33"/>
      <c r="N8" s="33">
        <f>C30*'E Balans VL '!Y18/100/3.6*1000000</f>
        <v>1.6656148208450041</v>
      </c>
      <c r="O8" s="33"/>
      <c r="P8" s="33"/>
      <c r="R8" s="32"/>
    </row>
    <row r="9" spans="1:18">
      <c r="A9" s="6" t="s">
        <v>32</v>
      </c>
      <c r="B9" s="37">
        <f t="shared" si="0"/>
        <v>886.11099999999999</v>
      </c>
      <c r="C9" s="33"/>
      <c r="D9" s="37">
        <f>IF( ISERROR(IND_andere_gas_kWh/1000),0,IND_andere_gas_kWh/1000)*0.902</f>
        <v>576.82629399999996</v>
      </c>
      <c r="E9" s="33">
        <f>C31*'E Balans VL '!I19/100/3.6*1000000</f>
        <v>239.84846085300353</v>
      </c>
      <c r="F9" s="33">
        <f>C31*'E Balans VL '!L19/100/3.6*1000000+C31*'E Balans VL '!N19/100/3.6*1000000</f>
        <v>590.24369613146609</v>
      </c>
      <c r="G9" s="34"/>
      <c r="H9" s="33"/>
      <c r="I9" s="33"/>
      <c r="J9" s="40">
        <f>C31*'E Balans VL '!D19/100/3.6*1000000+C31*'E Balans VL '!E19/100/3.6*1000000</f>
        <v>0</v>
      </c>
      <c r="K9" s="33"/>
      <c r="L9" s="33"/>
      <c r="M9" s="33"/>
      <c r="N9" s="33">
        <f>C31*'E Balans VL '!Y19/100/3.6*1000000</f>
        <v>74.914815234921335</v>
      </c>
      <c r="O9" s="33"/>
      <c r="P9" s="33"/>
      <c r="R9" s="32"/>
    </row>
    <row r="10" spans="1:18">
      <c r="A10" s="6" t="s">
        <v>40</v>
      </c>
      <c r="B10" s="37">
        <f t="shared" si="0"/>
        <v>528.27700000000004</v>
      </c>
      <c r="C10" s="33"/>
      <c r="D10" s="37">
        <f>IF( ISERROR(IND_voed_gas_kWh/1000),0,IND_voed_gas_kWh/1000)*0.902</f>
        <v>295.12357600000001</v>
      </c>
      <c r="E10" s="33">
        <f>C32*'E Balans VL '!I20/100/3.6*1000000</f>
        <v>43.087485804825782</v>
      </c>
      <c r="F10" s="33">
        <f>C32*'E Balans VL '!L20/100/3.6*1000000+C32*'E Balans VL '!N20/100/3.6*1000000</f>
        <v>787.70893648908373</v>
      </c>
      <c r="G10" s="34"/>
      <c r="H10" s="33"/>
      <c r="I10" s="33"/>
      <c r="J10" s="40">
        <f>C32*'E Balans VL '!D20/100/3.6*1000000+C32*'E Balans VL '!E20/100/3.6*1000000</f>
        <v>6.9884634677450418E-3</v>
      </c>
      <c r="K10" s="33"/>
      <c r="L10" s="33"/>
      <c r="M10" s="33"/>
      <c r="N10" s="33">
        <f>C32*'E Balans VL '!Y20/100/3.6*1000000</f>
        <v>155.18914171467677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476.28899999999999</v>
      </c>
      <c r="C12" s="33"/>
      <c r="D12" s="37">
        <f>IF( ISERROR(IND_min_gas_kWh/1000),0,IND_min_gas_kWh/1000)*0.902</f>
        <v>0</v>
      </c>
      <c r="E12" s="33">
        <f>C34*'E Balans VL '!I22/100/3.6*1000000</f>
        <v>3.7101875310443075</v>
      </c>
      <c r="F12" s="33">
        <f>C34*'E Balans VL '!L22/100/3.6*1000000+C34*'E Balans VL '!N22/100/3.6*1000000</f>
        <v>179.62694194701353</v>
      </c>
      <c r="G12" s="34"/>
      <c r="H12" s="33"/>
      <c r="I12" s="33"/>
      <c r="J12" s="40">
        <f>C34*'E Balans VL '!D22/100/3.6*1000000+C34*'E Balans VL '!E22/100/3.6*1000000</f>
        <v>2.6195478566584245</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62.948</v>
      </c>
      <c r="C15" s="33"/>
      <c r="D15" s="37">
        <f>IF( ISERROR(IND_rest_gas_kWh/1000),0,IND_rest_gas_kWh/1000)*0.902</f>
        <v>195.086364</v>
      </c>
      <c r="E15" s="33">
        <f>C37*'E Balans VL '!I15/100/3.6*1000000</f>
        <v>3.5117534163548751</v>
      </c>
      <c r="F15" s="33">
        <f>C37*'E Balans VL '!L15/100/3.6*1000000+C37*'E Balans VL '!N15/100/3.6*1000000</f>
        <v>14.797792108687936</v>
      </c>
      <c r="G15" s="34"/>
      <c r="H15" s="33"/>
      <c r="I15" s="33"/>
      <c r="J15" s="40">
        <f>C37*'E Balans VL '!D15/100/3.6*1000000+C37*'E Balans VL '!E15/100/3.6*1000000</f>
        <v>0.16133968256230766</v>
      </c>
      <c r="K15" s="33"/>
      <c r="L15" s="33"/>
      <c r="M15" s="33"/>
      <c r="N15" s="33">
        <f>C37*'E Balans VL '!Y15/100/3.6*1000000</f>
        <v>2.9214040912456287</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2014.9690000000001</v>
      </c>
      <c r="C18" s="21">
        <f>C5+C16</f>
        <v>0</v>
      </c>
      <c r="D18" s="21">
        <f>MAX((D5+D16),0)</f>
        <v>1233.2594999999999</v>
      </c>
      <c r="E18" s="21">
        <f>MAX((E5+E16),0)</f>
        <v>291.91991754235687</v>
      </c>
      <c r="F18" s="21">
        <f>MAX((F5+F16),0)</f>
        <v>1588.1109228615785</v>
      </c>
      <c r="G18" s="21"/>
      <c r="H18" s="21"/>
      <c r="I18" s="21"/>
      <c r="J18" s="21">
        <f>MAX((J5+J16),0)</f>
        <v>2.7878760026884768</v>
      </c>
      <c r="K18" s="21"/>
      <c r="L18" s="21">
        <f>MAX((L5+L16),0)</f>
        <v>0</v>
      </c>
      <c r="M18" s="21"/>
      <c r="N18" s="21">
        <f>MAX((N5+N16),0)</f>
        <v>234.69097586168874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0.20834825116568531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419.81526730306979</v>
      </c>
      <c r="C22" s="23">
        <f ca="1">C18*C20</f>
        <v>0</v>
      </c>
      <c r="D22" s="23">
        <f>D18*D20</f>
        <v>249.11841899999999</v>
      </c>
      <c r="E22" s="23">
        <f>E18*E20</f>
        <v>66.265821282115013</v>
      </c>
      <c r="F22" s="23">
        <f>F18*F20</f>
        <v>424.0256164040415</v>
      </c>
      <c r="G22" s="23"/>
      <c r="H22" s="23"/>
      <c r="I22" s="23"/>
      <c r="J22" s="23">
        <f>J18*J20</f>
        <v>0.98690810495172077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61.344000000000001</v>
      </c>
      <c r="C30" s="39">
        <f>IF(ISERROR(B30*3.6/1000000/'E Balans VL '!Z18*100),0,B30*3.6/1000000/'E Balans VL '!Z18*100)</f>
        <v>6.0360930054492437E-3</v>
      </c>
      <c r="D30" s="235" t="s">
        <v>672</v>
      </c>
    </row>
    <row r="31" spans="1:18">
      <c r="A31" s="6" t="s">
        <v>32</v>
      </c>
      <c r="B31" s="37">
        <f>IF( ISERROR(IND_ander_ele_kWh/1000),0,IND_ander_ele_kWh/1000)</f>
        <v>886.11099999999999</v>
      </c>
      <c r="C31" s="39">
        <f>IF(ISERROR(B31*3.6/1000000/'E Balans VL '!Z19*100),0,B31*3.6/1000000/'E Balans VL '!Z19*100)</f>
        <v>3.858942720621817E-2</v>
      </c>
      <c r="D31" s="235" t="s">
        <v>672</v>
      </c>
    </row>
    <row r="32" spans="1:18">
      <c r="A32" s="170" t="s">
        <v>40</v>
      </c>
      <c r="B32" s="37">
        <f>IF( ISERROR(IND_voed_ele_kWh/1000),0,IND_voed_ele_kWh/1000)</f>
        <v>528.27700000000004</v>
      </c>
      <c r="C32" s="39">
        <f>IF(ISERROR(B32*3.6/1000000/'E Balans VL '!Z20*100),0,B32*3.6/1000000/'E Balans VL '!Z20*100)</f>
        <v>0.1002329421668572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476.28899999999999</v>
      </c>
      <c r="C34" s="39">
        <f>IF(ISERROR(B34*3.6/1000000/'E Balans VL '!Z22*100),0,B34*3.6/1000000/'E Balans VL '!Z22*100)</f>
        <v>6.6971016145061596E-2</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62.948</v>
      </c>
      <c r="C37" s="39">
        <f>IF(ISERROR(B37*3.6/1000000/'E Balans VL '!Z15*100),0,B37*3.6/1000000/'E Balans VL '!Z15*100)</f>
        <v>4.8509165608105135E-4</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124.39700000000001</v>
      </c>
      <c r="C5" s="17">
        <f>'Eigen informatie GS &amp; warmtenet'!B60</f>
        <v>0</v>
      </c>
      <c r="D5" s="30">
        <f>IF(ISERROR(SUM(LB_lb_gas_kWh,LB_rest_gas_kWh)/1000),0,SUM(LB_lb_gas_kWh,LB_rest_gas_kWh)/1000)*0.902</f>
        <v>46.701952000000006</v>
      </c>
      <c r="E5" s="17">
        <f>B17*'E Balans VL '!I25/3.6*1000000/100</f>
        <v>1.5675624559193257</v>
      </c>
      <c r="F5" s="17">
        <f>B17*('E Balans VL '!L25/3.6*1000000+'E Balans VL '!N25/3.6*1000000)/100</f>
        <v>429.20081331058418</v>
      </c>
      <c r="G5" s="18"/>
      <c r="H5" s="17"/>
      <c r="I5" s="17"/>
      <c r="J5" s="17">
        <f>('E Balans VL '!D25+'E Balans VL '!E25)/3.6*1000000*landbouw!B17/100</f>
        <v>18.707894704812066</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124.39700000000001</v>
      </c>
      <c r="C8" s="21">
        <f>C5+C6</f>
        <v>0</v>
      </c>
      <c r="D8" s="21">
        <f>MAX((D5+D6),0)</f>
        <v>46.701952000000006</v>
      </c>
      <c r="E8" s="21">
        <f>MAX((E5+E6),0)</f>
        <v>1.5675624559193257</v>
      </c>
      <c r="F8" s="21">
        <f>MAX((F5+F6),0)</f>
        <v>429.20081331058418</v>
      </c>
      <c r="G8" s="21"/>
      <c r="H8" s="21"/>
      <c r="I8" s="21"/>
      <c r="J8" s="21">
        <f>MAX((J5+J6),0)</f>
        <v>18.707894704812066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0.20834825116568531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25.917897400257758</v>
      </c>
      <c r="C12" s="23">
        <f ca="1">C8*C10</f>
        <v>0</v>
      </c>
      <c r="D12" s="23">
        <f>D8*D10</f>
        <v>9.433794304000001</v>
      </c>
      <c r="E12" s="23">
        <f>E8*E10</f>
        <v>0.35583667749368697</v>
      </c>
      <c r="F12" s="23">
        <f>F8*F10</f>
        <v>114.59661715392598</v>
      </c>
      <c r="G12" s="23"/>
      <c r="H12" s="23"/>
      <c r="I12" s="23"/>
      <c r="J12" s="23">
        <f>J8*J10</f>
        <v>6.6225947255034709</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1.7349460734145953E-2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9.8669215596269364</v>
      </c>
      <c r="C26" s="245">
        <f>B26*'GWP N2O_CH4'!B5</f>
        <v>207.20535275216565</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2.3647446615869865</v>
      </c>
      <c r="C27" s="245">
        <f>B27*'GWP N2O_CH4'!B5</f>
        <v>49.659637893326718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0.13348824935830522</v>
      </c>
      <c r="C28" s="245">
        <f>B28*'GWP N2O_CH4'!B4</f>
        <v>41.381357301074615</v>
      </c>
      <c r="D28" s="50"/>
    </row>
    <row r="29" spans="1:4">
      <c r="A29" s="41" t="s">
        <v>266</v>
      </c>
      <c r="B29" s="245">
        <f>B34*'ha_N2O bodem landbouw'!B4</f>
        <v>2.3766930381157167</v>
      </c>
      <c r="C29" s="245">
        <f>B29*'GWP N2O_CH4'!B4</f>
        <v>736.77484181587215</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5.9343650303782974E-4</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2.1681103904642036E-5</v>
      </c>
      <c r="C5" s="434" t="s">
        <v>204</v>
      </c>
      <c r="D5" s="419">
        <f>SUM(D6:D11)</f>
        <v>2.2311300376871756E-5</v>
      </c>
      <c r="E5" s="419">
        <f>SUM(E6:E11)</f>
        <v>7.8780075236657894E-4</v>
      </c>
      <c r="F5" s="432" t="s">
        <v>204</v>
      </c>
      <c r="G5" s="419">
        <f>SUM(G6:G11)</f>
        <v>0.18826047654300909</v>
      </c>
      <c r="H5" s="419">
        <f>SUM(H6:H11)</f>
        <v>3.7981614307504845E-2</v>
      </c>
      <c r="I5" s="434" t="s">
        <v>204</v>
      </c>
      <c r="J5" s="434" t="s">
        <v>204</v>
      </c>
      <c r="K5" s="434" t="s">
        <v>204</v>
      </c>
      <c r="L5" s="434" t="s">
        <v>204</v>
      </c>
      <c r="M5" s="419">
        <f>SUM(M6:M11)</f>
        <v>1.0231546370222519E-2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1.5205294774878542E-5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1.3546113250248598E-5</v>
      </c>
      <c r="E6" s="873">
        <f>vkm_GW_PW*SUMIFS(TableVerdeelsleutelVkm[LPG],TableVerdeelsleutelVkm[Voertuigtype],"Lichte voertuigen")*SUMIFS(TableECFTransport[EnergieConsumptieFactor (PJ per km)],TableECFTransport[Index],CONCATENATE($A6,"_LPG_LPG"))</f>
        <v>4.8755622195931393E-4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9.5563651494183791E-2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2.3428229864983326E-2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5.3827840526342275E-3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2.2403557858475612E-7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3.5058428758053622E-2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7.9914747743191974E-7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1.5829420774983542E-3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6.2400434990486179E-6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8.7651871266231584E-6</v>
      </c>
      <c r="E8" s="422">
        <f>vkm_NGW_PW*SUMIFS(TableVerdeelsleutelVkm[LPG],TableVerdeelsleutelVkm[Voertuigtype],"Lichte voertuigen")*SUMIFS(TableECFTransport[EnergieConsumptieFactor (PJ per km)],TableECFTransport[Index],CONCATENATE($A8,"_LPG_LPG"))</f>
        <v>3.0024453040726495E-4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5.5280550228442263E-2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1.4552534790979907E-2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3.159360005149746E-3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1.1730052130120351E-8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2.3578460623294136E-3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5.0504064178021656E-8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1.0646023494018906E-4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6.0225288624005655</v>
      </c>
      <c r="C14" s="21"/>
      <c r="D14" s="21">
        <f t="shared" ref="D14:M14" si="0">((D5)*10^9/3600)+D12</f>
        <v>6.1975834380199322</v>
      </c>
      <c r="E14" s="21">
        <f t="shared" si="0"/>
        <v>218.83354232404969</v>
      </c>
      <c r="F14" s="21"/>
      <c r="G14" s="21">
        <f t="shared" si="0"/>
        <v>52294.57681750253</v>
      </c>
      <c r="H14" s="21">
        <f t="shared" si="0"/>
        <v>10550.448418751346</v>
      </c>
      <c r="I14" s="21"/>
      <c r="J14" s="21"/>
      <c r="K14" s="21"/>
      <c r="L14" s="21"/>
      <c r="M14" s="21">
        <f t="shared" si="0"/>
        <v>2842.0962139506996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0.20834825116568531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1.254783356076022</v>
      </c>
      <c r="C18" s="23"/>
      <c r="D18" s="23">
        <f t="shared" ref="D18:M18" si="1">D14*D16</f>
        <v>1.2519118544800263</v>
      </c>
      <c r="E18" s="23">
        <f t="shared" si="1"/>
        <v>49.675214107559277</v>
      </c>
      <c r="F18" s="23"/>
      <c r="G18" s="23">
        <f t="shared" si="1"/>
        <v>13962.652010273176</v>
      </c>
      <c r="H18" s="23">
        <f t="shared" si="1"/>
        <v>2627.0616562690852</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2.37543109520658E-5</v>
      </c>
      <c r="C50" s="316">
        <f t="shared" ref="C50:P50" si="2">SUM(C51:C52)</f>
        <v>0</v>
      </c>
      <c r="D50" s="316">
        <f t="shared" si="2"/>
        <v>0</v>
      </c>
      <c r="E50" s="316">
        <f t="shared" si="2"/>
        <v>0</v>
      </c>
      <c r="F50" s="316">
        <f t="shared" si="2"/>
        <v>0</v>
      </c>
      <c r="G50" s="316">
        <f t="shared" si="2"/>
        <v>4.6236421036436482E-3</v>
      </c>
      <c r="H50" s="316">
        <f t="shared" si="2"/>
        <v>0</v>
      </c>
      <c r="I50" s="316">
        <f t="shared" si="2"/>
        <v>0</v>
      </c>
      <c r="J50" s="316">
        <f t="shared" si="2"/>
        <v>0</v>
      </c>
      <c r="K50" s="316">
        <f t="shared" si="2"/>
        <v>0</v>
      </c>
      <c r="L50" s="316">
        <f t="shared" si="2"/>
        <v>0</v>
      </c>
      <c r="M50" s="316">
        <f t="shared" si="2"/>
        <v>2.0732799694258482E-4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2.37543109520658E-5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4.6236421036436482E-3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2.0732799694258482E-4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6.5984197089071666</v>
      </c>
      <c r="C54" s="21">
        <f t="shared" ref="C54:P54" si="3">(C50)*10^9/3600</f>
        <v>0</v>
      </c>
      <c r="D54" s="21">
        <f t="shared" si="3"/>
        <v>0</v>
      </c>
      <c r="E54" s="21">
        <f t="shared" si="3"/>
        <v>0</v>
      </c>
      <c r="F54" s="21">
        <f t="shared" si="3"/>
        <v>0</v>
      </c>
      <c r="G54" s="21">
        <f t="shared" si="3"/>
        <v>1284.3450287899022</v>
      </c>
      <c r="H54" s="21">
        <f t="shared" si="3"/>
        <v>0</v>
      </c>
      <c r="I54" s="21">
        <f t="shared" si="3"/>
        <v>0</v>
      </c>
      <c r="J54" s="21">
        <f t="shared" si="3"/>
        <v>0</v>
      </c>
      <c r="K54" s="21">
        <f t="shared" si="3"/>
        <v>0</v>
      </c>
      <c r="L54" s="21">
        <f t="shared" si="3"/>
        <v>0</v>
      </c>
      <c r="M54" s="21">
        <f t="shared" si="3"/>
        <v>57.591110261829115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0.20834825116568531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1.3747692068079984</v>
      </c>
      <c r="C58" s="23">
        <f t="shared" ref="C58:P58" ca="1" si="4">C54*C56</f>
        <v>0</v>
      </c>
      <c r="D58" s="23">
        <f t="shared" si="4"/>
        <v>0</v>
      </c>
      <c r="E58" s="23">
        <f t="shared" si="4"/>
        <v>0</v>
      </c>
      <c r="F58" s="23">
        <f t="shared" si="4"/>
        <v>0</v>
      </c>
      <c r="G58" s="23">
        <f t="shared" si="4"/>
        <v>342.92012268690394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3118.6102696124185</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1323</v>
      </c>
      <c r="C8" s="546">
        <f>B48</f>
        <v>1556.4705882352941</v>
      </c>
      <c r="D8" s="1001"/>
      <c r="E8" s="1001">
        <f>E48</f>
        <v>0</v>
      </c>
      <c r="F8" s="1002"/>
      <c r="G8" s="547"/>
      <c r="H8" s="1001">
        <f>I48</f>
        <v>0</v>
      </c>
      <c r="I8" s="1001">
        <f>G48+F48</f>
        <v>0</v>
      </c>
      <c r="J8" s="1001">
        <f>H48+D48+C48</f>
        <v>0</v>
      </c>
      <c r="K8" s="1001"/>
      <c r="L8" s="1001"/>
      <c r="M8" s="1001"/>
      <c r="N8" s="548"/>
      <c r="O8" s="549">
        <f>C8*$C$12+D8*$D$12+E8*$E$12+F8*$F$12+G8*$G$12+H8*$H$12+I8*$I$12+J8*$J$12</f>
        <v>314.40705882352944</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4441.6102696124181</v>
      </c>
      <c r="C10" s="559">
        <f t="shared" ref="C10:L10" si="0">SUM(C8:C9)</f>
        <v>1556.4705882352941</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314.40705882352944</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1890</v>
      </c>
      <c r="C17" s="571">
        <f>B49</f>
        <v>2223.5294117647063</v>
      </c>
      <c r="D17" s="572"/>
      <c r="E17" s="572">
        <f>E49</f>
        <v>0</v>
      </c>
      <c r="F17" s="1007"/>
      <c r="G17" s="573"/>
      <c r="H17" s="571">
        <f>I49</f>
        <v>0</v>
      </c>
      <c r="I17" s="572">
        <f>G49+F49</f>
        <v>0</v>
      </c>
      <c r="J17" s="572">
        <f>H49+D49+C49</f>
        <v>0</v>
      </c>
      <c r="K17" s="572"/>
      <c r="L17" s="572"/>
      <c r="M17" s="572"/>
      <c r="N17" s="1008"/>
      <c r="O17" s="574">
        <f>C17*$C$22+E17*$E$22+H17*$H$22+I17*$I$22+J17*$J$22+D17*$D$22+F17*$F$22+G17*$G$22+K17*$K$22+L17*$L$22</f>
        <v>449.15294117647068</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1890</v>
      </c>
      <c r="C20" s="558">
        <f>SUM(C17:C19)</f>
        <v>2223.5294117647063</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449.15294117647068</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71034</v>
      </c>
      <c r="C28" s="777">
        <v>3970</v>
      </c>
      <c r="D28" s="630"/>
      <c r="E28" s="629"/>
      <c r="F28" s="629"/>
      <c r="G28" s="629" t="s">
        <v>926</v>
      </c>
      <c r="H28" s="629" t="s">
        <v>927</v>
      </c>
      <c r="I28" s="629"/>
      <c r="J28" s="776"/>
      <c r="K28" s="776"/>
      <c r="L28" s="629" t="s">
        <v>928</v>
      </c>
      <c r="M28" s="629">
        <v>294</v>
      </c>
      <c r="N28" s="629">
        <v>1323</v>
      </c>
      <c r="O28" s="629">
        <v>1890</v>
      </c>
      <c r="P28" s="629">
        <v>3780.0000000000005</v>
      </c>
      <c r="Q28" s="629">
        <v>0</v>
      </c>
      <c r="R28" s="629">
        <v>0</v>
      </c>
      <c r="S28" s="629">
        <v>0</v>
      </c>
      <c r="T28" s="629">
        <v>0</v>
      </c>
      <c r="U28" s="629">
        <v>0</v>
      </c>
      <c r="V28" s="629">
        <v>0</v>
      </c>
      <c r="W28" s="629">
        <v>0</v>
      </c>
      <c r="X28" s="629">
        <v>1300</v>
      </c>
      <c r="Y28" s="629" t="s">
        <v>53</v>
      </c>
      <c r="Z28" s="631" t="s">
        <v>149</v>
      </c>
    </row>
    <row r="29" spans="1:26" s="566" customFormat="1" hidden="1">
      <c r="A29" s="585" t="s">
        <v>269</v>
      </c>
      <c r="B29" s="586"/>
      <c r="C29" s="586"/>
      <c r="D29" s="586"/>
      <c r="E29" s="586"/>
      <c r="F29" s="586"/>
      <c r="G29" s="586"/>
      <c r="H29" s="586"/>
      <c r="I29" s="586"/>
      <c r="J29" s="586"/>
      <c r="K29" s="586"/>
      <c r="L29" s="587"/>
      <c r="M29" s="587">
        <f>SUM(M28:M28)</f>
        <v>294</v>
      </c>
      <c r="N29" s="587">
        <f>SUM(N28:N28)</f>
        <v>1323</v>
      </c>
      <c r="O29" s="587">
        <f>SUM(O28:O28)</f>
        <v>1890</v>
      </c>
      <c r="P29" s="587">
        <f>SUM(P28:P28)</f>
        <v>3780.0000000000005</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294</v>
      </c>
      <c r="N31" s="587">
        <f ca="1">SUMIF($Z$28:AD28,"tertiair",N28:N28)</f>
        <v>1323</v>
      </c>
      <c r="O31" s="587">
        <f ca="1">SUMIF($Z$28:AE28,"tertiair",O28:O28)</f>
        <v>1890</v>
      </c>
      <c r="P31" s="587">
        <f ca="1">SUMIF($Z$28:AF28,"tertiair",P28:P28)</f>
        <v>3780.0000000000005</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1556.4705882352941</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2223.5294117647063</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2021-11-11T13:27:27Z</dcterms:modified>
</cp:coreProperties>
</file>