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2D79842-7536-4572-982C-02B2C38368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B17" i="18"/>
  <c r="B20" i="18" s="1"/>
  <c r="C52" i="18"/>
  <c r="C48" i="18"/>
  <c r="O18" i="18"/>
  <c r="G20" i="18"/>
  <c r="K20" i="18"/>
  <c r="B10" i="18"/>
  <c r="O19" i="18"/>
  <c r="O9" i="18"/>
  <c r="H52" i="18"/>
  <c r="E51" i="18"/>
  <c r="E8" i="18" s="1"/>
  <c r="E10" i="18" s="1"/>
  <c r="N6" i="17"/>
  <c r="B52" i="18" l="1"/>
  <c r="C17" i="18" s="1"/>
  <c r="C20" i="18" s="1"/>
  <c r="I52" i="18"/>
  <c r="H17" i="18" s="1"/>
  <c r="H20" i="18" s="1"/>
  <c r="D52" i="18"/>
  <c r="F52" i="18"/>
  <c r="I17" i="18" s="1"/>
  <c r="I20" i="18" s="1"/>
  <c r="E52" i="18"/>
  <c r="E17" i="18" s="1"/>
  <c r="E20" i="18" s="1"/>
  <c r="I51" i="18"/>
  <c r="H8" i="18" s="1"/>
  <c r="H10" i="18" s="1"/>
  <c r="G51" i="18"/>
  <c r="I8" i="18" s="1"/>
  <c r="I10" i="18" s="1"/>
  <c r="F51" i="18"/>
  <c r="D51" i="18"/>
  <c r="C51" i="18"/>
  <c r="B51" i="18"/>
  <c r="C8" i="18" s="1"/>
  <c r="C10" i="18" s="1"/>
  <c r="H51"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<sst xmlns="http://schemas.openxmlformats.org/spreadsheetml/2006/main" count="2536" uniqueCount="931">
  <si>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</si>
  <si>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</si>
  <si>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</si>
  <si>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</si>
  <si>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</si>
  <si>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</si>
  <si>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</si>
  <si>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</si>
  <si>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</si>
  <si>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</si>
  <si>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</si>
  <si>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</si>
  <si>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</si>
  <si>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</si>
  <si>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</si>
  <si>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</si>
  <si>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</si>
  <si>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</si>
  <si>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</si>
  <si>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</si>
  <si>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</si>
  <si>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</si>
  <si>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</si>
  <si>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</si>
  <si>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</si>
  <si>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</si>
  <si>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</si>
  <si>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</si>
  <si>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</si>
  <si>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</si>
  <si>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</si>
  <si>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</si>
  <si>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</si>
  <si>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</si>
  <si>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</si>
  <si>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</si>
  <si>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</si>
  <si>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</si>
  <si>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</si>
  <si>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</si>
  <si>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</si>
  <si>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</si>
  <si>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</si>
  <si>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</si>
  <si>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</si>
  <si>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</si>
  <si>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</si>
  <si>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</si>
  <si>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</si>
  <si>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</si>
  <si>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</si>
  <si>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</si>
  <si>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</si>
  <si>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</si>
  <si>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</si>
  <si>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</si>
  <si>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</si>
  <si>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</si>
  <si>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</si>
  <si>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</si>
  <si>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</si>
  <si>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</si>
  <si>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</si>
  <si>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</si>
  <si>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</si>
  <si>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</si>
  <si>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</si>
  <si>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</si>
  <si>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</si>
  <si>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</si>
  <si>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</si>
  <si>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</si>
  <si>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</si>
  <si>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</si>
  <si>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</si>
  <si>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</si>
  <si>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</si>
  <si>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</si>
  <si>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</si>
  <si>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</si>
  <si>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</si>
  <si>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</si>
  <si>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</si>
  <si>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</si>
  <si>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</si>
  <si>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</si>
  <si>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</si>
  <si>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</si>
  <si>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</si>
  <si>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</si>
  <si>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</si>
  <si>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</si>
  <si>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</si>
  <si>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</si>
  <si>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</si>
  <si>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</si>
  <si>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</si>
  <si>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</si>
  <si>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</si>
  <si>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</si>
  <si>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</si>
  <si>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</si>
  <si>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</si>
  <si>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</si>
  <si>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</si>
  <si>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</si>
  <si>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</si>
  <si>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</si>
  <si>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</si>
  <si>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</si>
  <si>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</si>
  <si>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</si>
  <si>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</si>
  <si>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</si>
  <si>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</si>
  <si>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</si>
  <si>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</si>
  <si>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</si>
  <si>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</si>
  <si>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</si>
  <si>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</si>
  <si>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</si>
  <si>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</si>
  <si>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</si>
  <si>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</si>
  <si>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</si>
  <si>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</si>
  <si>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</si>
  <si>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</si>
  <si>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</si>
  <si>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</si>
  <si>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</si>
  <si>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</si>
  <si>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</si>
  <si>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</si>
  <si>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</si>
  <si>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</si>
  <si>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</si>
  <si>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</si>
  <si>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</si>
  <si>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</si>
  <si>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</si>
  <si>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</si>
  <si>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</si>
  <si>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</si>
  <si>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</si>
  <si>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</si>
  <si>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</si>
  <si>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</si>
  <si>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</si>
  <si>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</si>
  <si>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</si>
  <si>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</si>
  <si>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</si>
  <si>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</si>
  <si>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</si>
  <si>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</si>
  <si>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</si>
  <si>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</si>
  <si>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</si>
  <si>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</si>
  <si>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</si>
  <si>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</si>
  <si>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</si>
  <si>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</si>
  <si>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</si>
  <si>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</si>
  <si>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</si>
  <si>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</si>
  <si>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</si>
  <si>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</si>
  <si>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</si>
  <si>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</si>
  <si>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</si>
  <si>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</si>
  <si>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</si>
  <si>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</si>
  <si>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</si>
  <si>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</si>
  <si>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</si>
  <si>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</si>
  <si>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</si>
  <si>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</si>
  <si>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</si>
  <si>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</si>
  <si>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</si>
  <si>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</si>
  <si>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</si>
  <si>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</si>
  <si>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</si>
  <si>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</si>
  <si>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</si>
  <si>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</si>
  <si>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</si>
  <si>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</si>
  <si>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</si>
  <si>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</si>
  <si>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</si>
  <si>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</si>
  <si>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</si>
  <si>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</si>
  <si>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</si>
  <si>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</si>
  <si>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</si>
  <si>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</si>
  <si>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</si>
  <si>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</si>
  <si>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</si>
  <si>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</si>
  <si>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</si>
  <si>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</si>
  <si>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</si>
  <si>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</si>
  <si>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</si>
  <si>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</si>
  <si>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</si>
  <si>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</si>
  <si>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</si>
  <si>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</si>
  <si>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</si>
  <si>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</si>
  <si>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</si>
  <si>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</si>
  <si>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</si>
  <si>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</si>
  <si>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</si>
  <si>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</si>
  <si>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</si>
  <si>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</si>
  <si>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</si>
  <si>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</si>
  <si>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</si>
  <si>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</si>
  <si>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</si>
  <si>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</si>
  <si>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</si>
  <si>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</si>
  <si>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</si>
  <si>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</si>
  <si>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</si>
  <si>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</si>
  <si>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</si>
  <si>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</si>
  <si>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</si>
  <si>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</si>
  <si>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</si>
  <si>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</si>
  <si>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</si>
  <si>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</si>
  <si>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</si>
  <si>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</si>
  <si>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</si>
  <si>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</si>
  <si>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</si>
  <si>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</si>
  <si>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</si>
  <si>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</si>
  <si>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</si>
  <si>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</si>
  <si>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</si>
  <si>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</si>
  <si>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</si>
  <si>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</si>
  <si>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</si>
  <si>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</si>
  <si>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</si>
  <si>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</si>
  <si>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</si>
  <si>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</si>
  <si>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</si>
  <si>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</si>
  <si>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</si>
  <si>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</si>
  <si>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</si>
  <si>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</si>
  <si>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</si>
  <si>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</si>
  <si>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</si>
  <si>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</si>
  <si>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</si>
  <si>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</si>
  <si>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</si>
  <si>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</si>
  <si>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</si>
  <si>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</si>
  <si>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</si>
  <si>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</si>
  <si>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</si>
  <si>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</si>
  <si>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</si>
  <si>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</si>
  <si>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</si>
  <si>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</si>
  <si>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</si>
  <si>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</si>
  <si>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</si>
  <si>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</si>
  <si>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</si>
  <si>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</si>
  <si>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</si>
  <si>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</si>
  <si>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</si>
  <si>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</si>
  <si>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</si>
  <si>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</si>
  <si>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</si>
  <si>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</si>
  <si>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</si>
  <si>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</si>
  <si>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</si>
  <si>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</si>
  <si>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</si>
  <si>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</si>
  <si>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</si>
  <si>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</si>
  <si>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</si>
  <si>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</si>
  <si>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</si>
  <si>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</si>
  <si>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</si>
  <si>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</si>
  <si>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</si>
  <si>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</si>
  <si>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</si>
  <si>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</si>
  <si>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</si>
  <si>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</si>
  <si>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</si>
  <si>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</si>
  <si>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</si>
  <si>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</si>
  <si>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</si>
  <si>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</si>
  <si>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</si>
  <si>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</si>
  <si>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</si>
  <si>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</si>
  <si>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</si>
  <si>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</si>
  <si>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</si>
  <si>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</si>
  <si>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</si>
  <si>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</si>
  <si>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</si>
  <si>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</si>
  <si>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</si>
  <si>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</si>
  <si>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</si>
  <si>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</si>
  <si>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</si>
  <si>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</si>
  <si>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</si>
  <si>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</si>
  <si>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</si>
  <si>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</si>
  <si>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</si>
  <si>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</si>
  <si>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</si>
  <si>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</si>
  <si>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</si>
  <si>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</si>
  <si>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</si>
  <si>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</si>
  <si>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</si>
  <si>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</si>
  <si>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</si>
  <si>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</si>
  <si>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</si>
  <si>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</si>
  <si>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</si>
  <si>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</si>
  <si>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</si>
  <si>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</si>
  <si>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</si>
  <si>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</si>
  <si>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</si>
  <si>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</si>
  <si>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</si>
  <si>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</si>
  <si>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</si>
  <si>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</si>
  <si>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</si>
  <si>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</si>
  <si>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</si>
  <si>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</si>
  <si>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</si>
  <si>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</si>
  <si>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</si>
  <si>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</si>
  <si>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</si>
  <si>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</si>
  <si>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</si>
  <si>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</si>
  <si>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</si>
  <si>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</si>
  <si>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</si>
  <si>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</si>
  <si>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</si>
  <si>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</si>
  <si>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</si>
  <si>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</si>
  <si>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</si>
  <si>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</si>
  <si>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</si>
  <si>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</si>
  <si>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</si>
  <si>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</si>
  <si>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</si>
  <si>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</si>
  <si>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</si>
  <si>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</si>
  <si>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</si>
  <si>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</si>
  <si>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</si>
  <si>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</si>
  <si>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</si>
  <si>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</si>
  <si>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</si>
  <si>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</si>
  <si>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</si>
  <si>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</si>
  <si>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</si>
  <si>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</si>
  <si>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</si>
  <si>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</si>
  <si>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</si>
  <si>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</si>
  <si>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</si>
  <si>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</si>
  <si>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</si>
  <si>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</si>
  <si>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</si>
  <si>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</si>
  <si>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</si>
  <si>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</si>
  <si>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</si>
  <si>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</si>
  <si>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</si>
  <si>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</si>
  <si>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</si>
  <si>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</si>
  <si>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</si>
  <si>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</si>
  <si>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</si>
  <si>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</si>
  <si>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</si>
  <si>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</si>
  <si>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</si>
  <si>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</si>
  <si>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</si>
  <si>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</si>
  <si>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</si>
  <si>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</si>
  <si>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</si>
  <si>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</si>
  <si>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</si>
  <si>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</si>
  <si>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</si>
  <si>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</si>
  <si>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</si>
  <si>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</si>
  <si>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</si>
  <si>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</si>
  <si>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</si>
  <si>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</si>
  <si>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</si>
  <si>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</si>
  <si>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</si>
  <si>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</si>
  <si>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</si>
  <si>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</si>
  <si>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</si>
  <si>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</si>
  <si>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</si>
  <si>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</si>
  <si>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</si>
  <si>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</si>
  <si>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</si>
  <si>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</si>
  <si>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</si>
  <si>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</si>
  <si>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</si>
  <si>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</si>
  <si>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</si>
  <si>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</si>
  <si>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</si>
  <si>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</si>
  <si>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</si>
  <si>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</si>
  <si>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</si>
  <si>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</si>
  <si>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</si>
  <si>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</si>
  <si>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</si>
  <si>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</si>
  <si>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</si>
  <si>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</si>
  <si>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</si>
  <si>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</si>
  <si>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</si>
  <si>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</si>
  <si>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</si>
  <si>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</si>
  <si>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</si>
  <si>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</si>
  <si>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</si>
  <si>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</si>
  <si>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</si>
  <si>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</si>
  <si>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</si>
  <si>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</si>
  <si>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</si>
  <si>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</si>
  <si>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</si>
  <si>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</si>
  <si>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</si>
  <si>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</si>
  <si>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</si>
  <si>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</si>
  <si>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</si>
  <si>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</si>
  <si>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</si>
  <si>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</si>
  <si>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</si>
  <si>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</si>
  <si>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</si>
  <si>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</si>
  <si>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</si>
  <si>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</si>
  <si>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</si>
  <si>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</si>
  <si>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</si>
  <si>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</si>
  <si>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</si>
  <si>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</si>
  <si>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</si>
  <si>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</si>
  <si>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</si>
  <si>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</si>
  <si>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</si>
  <si>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</si>
  <si>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</si>
  <si>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</si>
  <si>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</si>
  <si>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</si>
  <si>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</si>
  <si>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</si>
  <si>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</si>
  <si>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</si>
  <si>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</si>
  <si>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</si>
  <si>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</si>
  <si>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</si>
  <si>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</si>
  <si>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</si>
  <si>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</si>
  <si>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</si>
  <si>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</si>
  <si>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</si>
  <si>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</si>
  <si>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</si>
  <si>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</si>
  <si>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</si>
  <si>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</si>
  <si>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</si>
  <si>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</si>
  <si>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</si>
  <si>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</si>
  <si>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</si>
  <si>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</si>
  <si>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</si>
  <si>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</si>
  <si>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</si>
  <si>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</si>
  <si>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</si>
  <si>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</si>
  <si>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</si>
  <si>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</si>
  <si>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</si>
  <si>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</si>
  <si>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</si>
  <si>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</si>
  <si>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</si>
  <si>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</si>
  <si>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</si>
  <si>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</si>
  <si>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</si>
  <si>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</si>
  <si>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</si>
  <si>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</si>
  <si>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</si>
  <si>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</si>
  <si>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</si>
  <si>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</si>
  <si>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</si>
  <si>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</si>
  <si>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</si>
  <si>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</si>
  <si>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</si>
  <si>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</si>
  <si>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</si>
  <si>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</si>
  <si>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</si>
  <si>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</si>
  <si>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</si>
  <si>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</si>
  <si>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</si>
  <si>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</si>
  <si>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</si>
  <si>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</si>
  <si>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</si>
  <si>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</si>
  <si>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</si>
  <si>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</si>
  <si>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</si>
  <si>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</si>
  <si>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</si>
  <si>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</si>
  <si>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</si>
  <si>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</si>
  <si>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</si>
  <si>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</si>
  <si>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</si>
  <si>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</si>
  <si>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</si>
  <si>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</si>
  <si>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</si>
  <si>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</si>
  <si>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</si>
  <si>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</si>
  <si>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</si>
  <si>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</si>
  <si>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</si>
  <si>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</si>
  <si>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</si>
  <si>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</si>
  <si>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</si>
  <si>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</si>
  <si>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</si>
  <si>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</si>
  <si>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</si>
  <si>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</si>
  <si>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</si>
  <si>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</si>
  <si>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</si>
  <si>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</si>
  <si>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</si>
  <si>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</si>
  <si>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</si>
  <si>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</si>
  <si>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</si>
  <si>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</si>
  <si>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</si>
  <si>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</si>
  <si>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</si>
  <si>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</si>
  <si>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</si>
  <si>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</si>
  <si>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</si>
  <si>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</si>
  <si>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</si>
  <si>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</si>
  <si>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</si>
  <si>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</si>
  <si>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</si>
  <si>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</si>
  <si>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</si>
  <si>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</si>
  <si>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</si>
  <si>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</si>
  <si>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</si>
  <si>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</si>
  <si>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</si>
  <si>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</si>
  <si>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</si>
  <si>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</si>
  <si>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</si>
  <si>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</si>
  <si>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</si>
  <si>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</si>
  <si>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</si>
  <si>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</si>
  <si>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</si>
  <si>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</si>
  <si>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</si>
  <si>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</si>
  <si>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</si>
  <si>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</si>
  <si>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</si>
  <si>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</si>
  <si>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</si>
  <si>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</si>
  <si>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</si>
  <si>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</si>
  <si>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</si>
  <si>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</si>
  <si>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</si>
  <si>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</si>
  <si>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</si>
  <si>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</si>
  <si>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</si>
  <si>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</si>
  <si>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</si>
  <si>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</si>
  <si>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</si>
  <si>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</si>
  <si>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</si>
  <si>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</si>
  <si>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</si>
  <si>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</si>
  <si>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</si>
  <si>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</si>
  <si>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</si>
  <si>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</si>
  <si>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</si>
  <si>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</si>
  <si>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</si>
  <si>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</si>
  <si>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</si>
  <si>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</si>
  <si>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</si>
  <si>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</si>
  <si>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</si>
  <si>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</si>
  <si>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</si>
  <si>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</si>
  <si>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</si>
  <si>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</si>
  <si>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</si>
  <si>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</si>
  <si>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</si>
  <si>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</si>
  <si>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</si>
  <si>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</si>
  <si>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</si>
  <si>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</si>
  <si>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</si>
  <si>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</si>
  <si>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</si>
  <si>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</si>
  <si>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</si>
  <si>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</si>
  <si>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</si>
  <si>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</si>
  <si>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</si>
  <si>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</si>
  <si>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</si>
  <si>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</si>
  <si>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</si>
  <si>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</si>
  <si>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</si>
  <si>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</si>
  <si>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</si>
  <si>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</si>
  <si>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</si>
  <si>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</si>
  <si>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</si>
  <si>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</si>
  <si>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</si>
  <si>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</si>
  <si>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</si>
  <si>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</si>
  <si>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</si>
  <si>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</si>
  <si>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</si>
  <si>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</si>
  <si>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</si>
  <si>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</si>
  <si>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</si>
  <si>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</si>
  <si>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</si>
  <si>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</si>
  <si>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</si>
  <si>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</si>
  <si>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</si>
  <si>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</si>
  <si>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</si>
  <si>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</si>
  <si>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</si>
  <si>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</si>
  <si>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</si>
  <si>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</si>
  <si>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</si>
  <si>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</si>
  <si>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</si>
  <si>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</si>
  <si>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</si>
  <si>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</si>
  <si>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</si>
  <si>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</si>
  <si>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</si>
  <si>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</si>
  <si>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</si>
  <si>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</si>
  <si>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</si>
  <si>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</si>
  <si>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</si>
  <si>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</si>
  <si>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</si>
  <si>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</si>
  <si>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</si>
  <si>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</si>
  <si>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</si>
  <si>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</si>
  <si>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</si>
  <si>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</si>
  <si>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</si>
  <si>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</si>
  <si>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</si>
  <si>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</si>
  <si>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</si>
  <si>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</si>
  <si>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</si>
  <si>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</si>
  <si>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</si>
  <si>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</si>
  <si>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</si>
  <si>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</si>
  <si>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</si>
  <si>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</si>
  <si>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</si>
  <si>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</si>
  <si>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</si>
  <si>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</si>
  <si>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</si>
  <si>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</si>
  <si>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</si>
  <si>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</si>
  <si>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</si>
  <si>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</si>
  <si>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</si>
  <si>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</si>
  <si>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</si>
  <si>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</si>
  <si>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</si>
  <si>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</si>
  <si>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</si>
  <si>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</si>
  <si>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</si>
  <si>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</si>
  <si>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</si>
  <si>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</si>
  <si>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</si>
  <si>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</si>
  <si>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</si>
  <si>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</si>
  <si>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</si>
  <si>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</si>
  <si>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</si>
  <si>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</si>
  <si>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</si>
  <si>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</si>
  <si>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</si>
  <si>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</si>
  <si>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</si>
  <si>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</si>
  <si>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</si>
  <si>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</si>
  <si>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</si>
  <si>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</si>
  <si>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</si>
  <si>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</si>
  <si>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</si>
  <si>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</si>
  <si>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</si>
  <si>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</si>
  <si>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</si>
  <si>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</si>
  <si>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</si>
  <si>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</si>
  <si>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</si>
  <si>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</si>
  <si>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</si>
  <si>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</si>
  <si>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</si>
  <si>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</si>
  <si>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</si>
  <si>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</si>
  <si>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</si>
  <si>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</si>
  <si>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</si>
  <si>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</si>
  <si>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</si>
  <si>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</si>
  <si>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</si>
  <si>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</si>
  <si>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</si>
  <si>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</si>
  <si>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</si>
  <si>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</si>
  <si>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</si>
  <si>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</si>
  <si>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</si>
  <si>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</si>
  <si>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</si>
  <si>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</si>
  <si>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</si>
  <si>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</si>
  <si>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</si>
  <si>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</si>
  <si>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</si>
  <si>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</si>
  <si>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</si>
  <si>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</si>
  <si>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</si>
  <si>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</si>
  <si>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</si>
  <si>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</si>
  <si>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</si>
  <si>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</si>
  <si>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</si>
  <si>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</si>
  <si>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</si>
  <si>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</si>
  <si>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</si>
  <si>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</si>
  <si>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</si>
  <si>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</si>
  <si>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</si>
  <si>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</si>
  <si>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</si>
  <si>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Cultuurgrond (ha)</t>
  </si>
  <si>
    <t>Paarden&amp;pony's 200 - 600 kg</t>
  </si>
  <si>
    <t>Paarden&amp;pony's &lt; 200 kg</t>
  </si>
  <si>
    <t>Fluvius</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</si>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</sst>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322C2CE-86E0-44B7-94E8-6E3FA7B9B1B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755021.32621280046</c:v>
                </c:pt>
                <c:pt idx="1">
                  <c:v>400072.33592821116</c:v>
                </c:pt>
                <c:pt idx="2">
                  <c:v>5052.1210000000001</c:v>
                </c:pt>
                <c:pt idx="3">
                  <c:v>11059.013300048795</c:v>
                </c:pt>
                <c:pt idx="4">
                  <c:v>205463.72339958919</c:v>
                </c:pt>
                <c:pt idx="5">
                  <c:v>562634.34851212858</c:v>
                </c:pt>
                <c:pt idx="6">
                  <c:v>18733.084572047828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755021.32621280046</c:v>
                </c:pt>
                <c:pt idx="1">
                  <c:v>400072.33592821116</c:v>
                </c:pt>
                <c:pt idx="2">
                  <c:v>5052.1210000000001</c:v>
                </c:pt>
                <c:pt idx="3">
                  <c:v>11059.013300048795</c:v>
                </c:pt>
                <c:pt idx="4">
                  <c:v>205463.72339958919</c:v>
                </c:pt>
                <c:pt idx="5">
                  <c:v>562634.34851212858</c:v>
                </c:pt>
                <c:pt idx="6">
                  <c:v>18733.084572047828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156731.53359586527</c:v>
                </c:pt>
                <c:pt idx="2">
                  <c:v>81496.747398007021</c:v>
                </c:pt>
                <c:pt idx="3">
                  <c:v>1011.2659357927118</c:v>
                </c:pt>
                <c:pt idx="4">
                  <c:v>2689.426618331287</c:v>
                </c:pt>
                <c:pt idx="5">
                  <c:v>43134.805383354593</c:v>
                </c:pt>
                <c:pt idx="6">
                  <c:v>142205.77832919953</c:v>
                </c:pt>
                <c:pt idx="7">
                  <c:v>4782.0012941074065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156731.53359586527</c:v>
                </c:pt>
                <c:pt idx="2">
                  <c:v>81496.747398007021</c:v>
                </c:pt>
                <c:pt idx="3">
                  <c:v>1011.2659357927118</c:v>
                </c:pt>
                <c:pt idx="4">
                  <c:v>2689.426618331287</c:v>
                </c:pt>
                <c:pt idx="5">
                  <c:v>43134.805383354593</c:v>
                </c:pt>
                <c:pt idx="6">
                  <c:v>142205.77832919953</c:v>
                </c:pt>
                <c:pt idx="7">
                  <c:v>4782.0012941074065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657</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71022</v>
      </c>
      <c r="B6" s="385"/>
      <c r="C6" s="386"/>
    </row>
    <row r="7" spans="1:7" s="383" customFormat="1" ht="15.75" customHeight="1">
      <c r="A7" s="387" t="str">
        <f>txtMunicipality</f>
        <v>HASSELT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920</v>
      </c>
      <c r="B10" s="1066"/>
      <c r="C10" s="1067"/>
    </row>
    <row r="11" spans="1:7" s="377" customFormat="1" ht="15.75" thickBot="1">
      <c r="A11" s="400" t="s">
        <v>347</v>
      </c>
      <c r="B11" s="403"/>
      <c r="C11" s="404"/>
      <c r="G11" s="378"/>
    </row>
    <row r="12" spans="1:7">
      <c r="A12" s="44"/>
      <c r="B12" s="43"/>
      <c r="C12" s="96"/>
    </row>
    <row r="13" spans="1:7" s="377" customFormat="1">
      <c r="A13" s="757" t="s">
        <v>614</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659</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571</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660</v>
      </c>
      <c r="C6" s="411" t="s">
        <v>345</v>
      </c>
    </row>
    <row r="7" spans="1:3" s="327" customFormat="1">
      <c r="A7" s="412" t="s">
        <v>640</v>
      </c>
      <c r="B7" s="413" t="s">
        <v>600</v>
      </c>
      <c r="C7" s="414" t="s">
        <v>599</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205100.66</v>
      </c>
      <c r="D10" s="676">
        <f ca="1">tertiair!C16</f>
        <v>2858.7857142857142</v>
      </c>
      <c r="E10" s="676">
        <f ca="1">tertiair!D16</f>
        <v>148900.86564342858</v>
      </c>
      <c r="F10" s="676">
        <f>tertiair!E16</f>
        <v>2354.0366524784927</v>
      </c>
      <c r="G10" s="676">
        <f ca="1">tertiair!F16</f>
        <v>38059.873551637618</v>
      </c>
      <c r="H10" s="676">
        <f>tertiair!G16</f>
        <v>0</v>
      </c>
      <c r="I10" s="676">
        <f>tertiair!H16</f>
        <v>0</v>
      </c>
      <c r="J10" s="676">
        <f>tertiair!I16</f>
        <v>0</v>
      </c>
      <c r="K10" s="676">
        <f>tertiair!J16</f>
        <v>0</v>
      </c>
      <c r="L10" s="676">
        <f>tertiair!K16</f>
        <v>0</v>
      </c>
      <c r="M10" s="676">
        <f ca="1">tertiair!L16</f>
        <v>0</v>
      </c>
      <c r="N10" s="676">
        <f>tertiair!M16</f>
        <v>0</v>
      </c>
      <c r="O10" s="676">
        <f ca="1">tertiair!N16</f>
        <v>7669.255366380723</v>
      </c>
      <c r="P10" s="676">
        <f>tertiair!O16</f>
        <v>9.3800000000000008</v>
      </c>
      <c r="Q10" s="677">
        <f>tertiair!P16</f>
        <v>171.6</v>
      </c>
      <c r="R10" s="679">
        <f ca="1">SUM(C10:Q10)</f>
        <v>405124.45692821115</v>
      </c>
      <c r="S10" s="67"/>
    </row>
    <row r="11" spans="1:19" s="444" customFormat="1">
      <c r="A11" s="791" t="s">
        <v>214</v>
      </c>
      <c r="B11" s="796"/>
      <c r="C11" s="676">
        <f>huishoudens!B8</f>
        <v>136038.00128728084</v>
      </c>
      <c r="D11" s="676">
        <f>huishoudens!C8</f>
        <v>0</v>
      </c>
      <c r="E11" s="676">
        <f>huishoudens!D8</f>
        <v>321471.82042800001</v>
      </c>
      <c r="F11" s="676">
        <f>huishoudens!E8</f>
        <v>7494.5482170605246</v>
      </c>
      <c r="G11" s="676">
        <f>huishoudens!F8</f>
        <v>229673.9732088969</v>
      </c>
      <c r="H11" s="676">
        <f>huishoudens!G8</f>
        <v>0</v>
      </c>
      <c r="I11" s="676">
        <f>huishoudens!H8</f>
        <v>0</v>
      </c>
      <c r="J11" s="676">
        <f>huishoudens!I8</f>
        <v>0</v>
      </c>
      <c r="K11" s="676">
        <f>huishoudens!J8</f>
        <v>4349.5677316436722</v>
      </c>
      <c r="L11" s="676">
        <f>huishoudens!K8</f>
        <v>0</v>
      </c>
      <c r="M11" s="676">
        <f>huishoudens!L8</f>
        <v>0</v>
      </c>
      <c r="N11" s="676">
        <f>huishoudens!M8</f>
        <v>0</v>
      </c>
      <c r="O11" s="676">
        <f>huishoudens!N8</f>
        <v>53479.532006585112</v>
      </c>
      <c r="P11" s="676">
        <f>huishoudens!O8</f>
        <v>664.41666666666663</v>
      </c>
      <c r="Q11" s="677">
        <f>huishoudens!P8</f>
        <v>1849.4666666666667</v>
      </c>
      <c r="R11" s="679">
        <f>SUM(C11:Q11)</f>
        <v>755021.32621280046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644</v>
      </c>
      <c r="B13" s="800" t="s">
        <v>642</v>
      </c>
      <c r="C13" s="676">
        <f>industrie!B18</f>
        <v>65951.264999999985</v>
      </c>
      <c r="D13" s="676">
        <f>industrie!C18</f>
        <v>321.42857142857144</v>
      </c>
      <c r="E13" s="676">
        <f>industrie!D18</f>
        <v>77528.424441142866</v>
      </c>
      <c r="F13" s="676">
        <f>industrie!E18</f>
        <v>9944.54747071764</v>
      </c>
      <c r="G13" s="676">
        <f>industrie!F18</f>
        <v>44628.165539653077</v>
      </c>
      <c r="H13" s="676">
        <f>industrie!G18</f>
        <v>0</v>
      </c>
      <c r="I13" s="676">
        <f>industrie!H18</f>
        <v>0</v>
      </c>
      <c r="J13" s="676">
        <f>industrie!I18</f>
        <v>0</v>
      </c>
      <c r="K13" s="676">
        <f>industrie!J18</f>
        <v>65.828958894371155</v>
      </c>
      <c r="L13" s="676">
        <f>industrie!K18</f>
        <v>0</v>
      </c>
      <c r="M13" s="676">
        <f>industrie!L18</f>
        <v>0</v>
      </c>
      <c r="N13" s="676">
        <f>industrie!M18</f>
        <v>0</v>
      </c>
      <c r="O13" s="676">
        <f>industrie!N18</f>
        <v>7024.0634177527108</v>
      </c>
      <c r="P13" s="676">
        <f>industrie!O18</f>
        <v>0</v>
      </c>
      <c r="Q13" s="677">
        <f>industrie!P18</f>
        <v>0</v>
      </c>
      <c r="R13" s="679">
        <f>SUM(C13:Q13)</f>
        <v>205463.72339958919</v>
      </c>
      <c r="S13" s="67"/>
    </row>
    <row r="14" spans="1:19" s="444" customFormat="1">
      <c r="A14" s="791"/>
      <c r="B14" s="800" t="s">
        <v>643</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833</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407089.92628728086</v>
      </c>
      <c r="D16" s="711">
        <f t="shared" ref="D16:R16" ca="1" si="0">SUM(D9:D15)</f>
        <v>3180.2142857142858</v>
      </c>
      <c r="E16" s="711">
        <f t="shared" ca="1" si="0"/>
        <v>547901.11051257141</v>
      </c>
      <c r="F16" s="711">
        <f t="shared" si="0"/>
        <v>19793.132340256656</v>
      </c>
      <c r="G16" s="711">
        <f t="shared" ca="1" si="0"/>
        <v>312362.01230018761</v>
      </c>
      <c r="H16" s="711">
        <f t="shared" si="0"/>
        <v>0</v>
      </c>
      <c r="I16" s="711">
        <f t="shared" si="0"/>
        <v>0</v>
      </c>
      <c r="J16" s="711">
        <f t="shared" si="0"/>
        <v>0</v>
      </c>
      <c r="K16" s="711">
        <f t="shared" si="0"/>
        <v>4415.396690538043</v>
      </c>
      <c r="L16" s="711">
        <f t="shared" si="0"/>
        <v>0</v>
      </c>
      <c r="M16" s="711">
        <f t="shared" ca="1" si="0"/>
        <v>0</v>
      </c>
      <c r="N16" s="711">
        <f t="shared" si="0"/>
        <v>0</v>
      </c>
      <c r="O16" s="711">
        <f t="shared" ca="1" si="0"/>
        <v>68172.850790718541</v>
      </c>
      <c r="P16" s="711">
        <f t="shared" si="0"/>
        <v>673.79666666666662</v>
      </c>
      <c r="Q16" s="711">
        <f t="shared" si="0"/>
        <v>2021.0666666666666</v>
      </c>
      <c r="R16" s="711">
        <f t="shared" ca="1" si="0"/>
        <v>1365609.5065406007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91.661540036784061</v>
      </c>
      <c r="D19" s="676">
        <f>transport!C54</f>
        <v>0</v>
      </c>
      <c r="E19" s="676">
        <f>transport!D54</f>
        <v>0</v>
      </c>
      <c r="F19" s="676">
        <f>transport!E54</f>
        <v>0</v>
      </c>
      <c r="G19" s="676">
        <f>transport!F54</f>
        <v>0</v>
      </c>
      <c r="H19" s="676">
        <f>transport!G54</f>
        <v>17841.399679161641</v>
      </c>
      <c r="I19" s="676">
        <f>transport!H54</f>
        <v>0</v>
      </c>
      <c r="J19" s="676">
        <f>transport!I54</f>
        <v>0</v>
      </c>
      <c r="K19" s="676">
        <f>transport!J54</f>
        <v>0</v>
      </c>
      <c r="L19" s="676">
        <f>transport!K54</f>
        <v>0</v>
      </c>
      <c r="M19" s="676">
        <f>transport!L54</f>
        <v>0</v>
      </c>
      <c r="N19" s="676">
        <f>transport!M54</f>
        <v>800.02335284940318</v>
      </c>
      <c r="O19" s="676">
        <f>transport!N54</f>
        <v>0</v>
      </c>
      <c r="P19" s="676">
        <f>transport!O54</f>
        <v>0</v>
      </c>
      <c r="Q19" s="677">
        <f>transport!P54</f>
        <v>0</v>
      </c>
      <c r="R19" s="679">
        <f>SUM(C19:Q19)</f>
        <v>18733.084572047828</v>
      </c>
      <c r="S19" s="67"/>
    </row>
    <row r="20" spans="1:19" s="444" customFormat="1">
      <c r="A20" s="791" t="s">
        <v>296</v>
      </c>
      <c r="B20" s="796"/>
      <c r="C20" s="676">
        <f>transport!B14</f>
        <v>50.008740802564851</v>
      </c>
      <c r="D20" s="676">
        <f>transport!C14</f>
        <v>0</v>
      </c>
      <c r="E20" s="676">
        <f>transport!D14</f>
        <v>46.719833339302404</v>
      </c>
      <c r="F20" s="676">
        <f>transport!E14</f>
        <v>1773.7998256065384</v>
      </c>
      <c r="G20" s="676">
        <f>transport!F14</f>
        <v>0</v>
      </c>
      <c r="H20" s="676">
        <f>transport!G14</f>
        <v>455220.90472501138</v>
      </c>
      <c r="I20" s="676">
        <f>transport!H14</f>
        <v>81283.922573247022</v>
      </c>
      <c r="J20" s="676">
        <f>transport!I14</f>
        <v>0</v>
      </c>
      <c r="K20" s="676">
        <f>transport!J14</f>
        <v>0</v>
      </c>
      <c r="L20" s="676">
        <f>transport!K14</f>
        <v>0</v>
      </c>
      <c r="M20" s="676">
        <f>transport!L14</f>
        <v>0</v>
      </c>
      <c r="N20" s="676">
        <f>transport!M14</f>
        <v>24258.992814121768</v>
      </c>
      <c r="O20" s="676">
        <f>transport!N14</f>
        <v>0</v>
      </c>
      <c r="P20" s="676">
        <f>transport!O14</f>
        <v>0</v>
      </c>
      <c r="Q20" s="677">
        <f>transport!P14</f>
        <v>0</v>
      </c>
      <c r="R20" s="679">
        <f>SUM(C20:Q20)</f>
        <v>562634.34851212858</v>
      </c>
      <c r="S20" s="67"/>
    </row>
    <row r="21" spans="1:19" s="444" customFormat="1" ht="15" thickBot="1">
      <c r="A21" s="813" t="s">
        <v>834</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141.67028083934892</v>
      </c>
      <c r="D22" s="794">
        <f t="shared" ref="D22:R22" si="1">SUM(D18:D21)</f>
        <v>0</v>
      </c>
      <c r="E22" s="794">
        <f t="shared" si="1"/>
        <v>46.719833339302404</v>
      </c>
      <c r="F22" s="794">
        <f t="shared" si="1"/>
        <v>1773.7998256065384</v>
      </c>
      <c r="G22" s="794">
        <f t="shared" si="1"/>
        <v>0</v>
      </c>
      <c r="H22" s="794">
        <f t="shared" si="1"/>
        <v>473062.30440417305</v>
      </c>
      <c r="I22" s="794">
        <f t="shared" si="1"/>
        <v>81283.922573247022</v>
      </c>
      <c r="J22" s="794">
        <f t="shared" si="1"/>
        <v>0</v>
      </c>
      <c r="K22" s="794">
        <f t="shared" si="1"/>
        <v>0</v>
      </c>
      <c r="L22" s="794">
        <f t="shared" si="1"/>
        <v>0</v>
      </c>
      <c r="M22" s="794">
        <f t="shared" si="1"/>
        <v>0</v>
      </c>
      <c r="N22" s="794">
        <f t="shared" si="1"/>
        <v>25059.016166971171</v>
      </c>
      <c r="O22" s="794">
        <f t="shared" si="1"/>
        <v>0</v>
      </c>
      <c r="P22" s="794">
        <f t="shared" si="1"/>
        <v>0</v>
      </c>
      <c r="Q22" s="794">
        <f t="shared" si="1"/>
        <v>0</v>
      </c>
      <c r="R22" s="794">
        <f t="shared" si="1"/>
        <v>581367.43308417639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638</v>
      </c>
      <c r="B24" s="796"/>
      <c r="C24" s="676">
        <f>+landbouw!B8</f>
        <v>1854.6130000000001</v>
      </c>
      <c r="D24" s="676">
        <f>+landbouw!C8</f>
        <v>0</v>
      </c>
      <c r="E24" s="676">
        <f>+landbouw!D8</f>
        <v>2503.2376160000003</v>
      </c>
      <c r="F24" s="676">
        <f>+landbouw!E8</f>
        <v>23.370513027323071</v>
      </c>
      <c r="G24" s="676">
        <f>+landbouw!F8</f>
        <v>6398.8794583179852</v>
      </c>
      <c r="H24" s="676">
        <f>+landbouw!G8</f>
        <v>0</v>
      </c>
      <c r="I24" s="676">
        <f>+landbouw!H8</f>
        <v>0</v>
      </c>
      <c r="J24" s="676">
        <f>+landbouw!I8</f>
        <v>0</v>
      </c>
      <c r="K24" s="676">
        <f>+landbouw!J8</f>
        <v>278.91271270348653</v>
      </c>
      <c r="L24" s="676">
        <f>+landbouw!K8</f>
        <v>0</v>
      </c>
      <c r="M24" s="676">
        <f>+landbouw!L8</f>
        <v>0</v>
      </c>
      <c r="N24" s="676">
        <f>+landbouw!M8</f>
        <v>0</v>
      </c>
      <c r="O24" s="676">
        <f>+landbouw!N8</f>
        <v>0</v>
      </c>
      <c r="P24" s="676">
        <f>+landbouw!O8</f>
        <v>0</v>
      </c>
      <c r="Q24" s="677">
        <f>+landbouw!P8</f>
        <v>0</v>
      </c>
      <c r="R24" s="679">
        <f>SUM(C24:Q24)</f>
        <v>11059.013300048795</v>
      </c>
      <c r="S24" s="67"/>
    </row>
    <row r="25" spans="1:19" s="444" customFormat="1" ht="15" thickBot="1">
      <c r="A25" s="813" t="s">
        <v>835</v>
      </c>
      <c r="B25" s="977"/>
      <c r="C25" s="978">
        <f>IF(Onbekend_ele_kWh="---",0,Onbekend_ele_kWh)/1000+IF(REST_rest_ele_kWh="---",0,REST_rest_ele_kWh)/1000</f>
        <v>7682.2889999999998</v>
      </c>
      <c r="D25" s="978"/>
      <c r="E25" s="978">
        <f>IF(onbekend_gas_kWh="---",0,onbekend_gas_kWh)/1000+IF(REST_rest_gas_kWh="---",0,REST_rest_gas_kWh)/1000</f>
        <v>104429.768</v>
      </c>
      <c r="F25" s="978"/>
      <c r="G25" s="978"/>
      <c r="H25" s="978"/>
      <c r="I25" s="978"/>
      <c r="J25" s="978"/>
      <c r="K25" s="978"/>
      <c r="L25" s="978"/>
      <c r="M25" s="978"/>
      <c r="N25" s="978"/>
      <c r="O25" s="978"/>
      <c r="P25" s="978"/>
      <c r="Q25" s="979"/>
      <c r="R25" s="679">
        <f>SUM(C25:Q25)</f>
        <v>112112.057</v>
      </c>
      <c r="S25" s="67"/>
    </row>
    <row r="26" spans="1:19" s="444" customFormat="1" ht="15.75" thickBot="1">
      <c r="A26" s="684" t="s">
        <v>836</v>
      </c>
      <c r="B26" s="799"/>
      <c r="C26" s="794">
        <f>SUM(C24:C25)</f>
        <v>9536.902</v>
      </c>
      <c r="D26" s="794">
        <f t="shared" ref="D26:R26" si="2">SUM(D24:D25)</f>
        <v>0</v>
      </c>
      <c r="E26" s="794">
        <f t="shared" si="2"/>
        <v>106933.00561599999</v>
      </c>
      <c r="F26" s="794">
        <f t="shared" si="2"/>
        <v>23.370513027323071</v>
      </c>
      <c r="G26" s="794">
        <f t="shared" si="2"/>
        <v>6398.8794583179852</v>
      </c>
      <c r="H26" s="794">
        <f t="shared" si="2"/>
        <v>0</v>
      </c>
      <c r="I26" s="794">
        <f t="shared" si="2"/>
        <v>0</v>
      </c>
      <c r="J26" s="794">
        <f t="shared" si="2"/>
        <v>0</v>
      </c>
      <c r="K26" s="794">
        <f t="shared" si="2"/>
        <v>278.91271270348653</v>
      </c>
      <c r="L26" s="794">
        <f t="shared" si="2"/>
        <v>0</v>
      </c>
      <c r="M26" s="794">
        <f t="shared" si="2"/>
        <v>0</v>
      </c>
      <c r="N26" s="794">
        <f t="shared" si="2"/>
        <v>0</v>
      </c>
      <c r="O26" s="794">
        <f t="shared" si="2"/>
        <v>0</v>
      </c>
      <c r="P26" s="794">
        <f t="shared" si="2"/>
        <v>0</v>
      </c>
      <c r="Q26" s="794">
        <f t="shared" si="2"/>
        <v>0</v>
      </c>
      <c r="R26" s="794">
        <f t="shared" si="2"/>
        <v>123171.0703000488</v>
      </c>
      <c r="S26" s="67"/>
    </row>
    <row r="27" spans="1:19" s="444" customFormat="1" ht="17.25" thickTop="1" thickBot="1">
      <c r="A27" s="685" t="s">
        <v>109</v>
      </c>
      <c r="B27" s="786"/>
      <c r="C27" s="686">
        <f ca="1">C22+C16+C26</f>
        <v>416768.49856812024</v>
      </c>
      <c r="D27" s="686">
        <f t="shared" ref="D27:R27" ca="1" si="3">D22+D16+D26</f>
        <v>3180.2142857142858</v>
      </c>
      <c r="E27" s="686">
        <f t="shared" ca="1" si="3"/>
        <v>654880.83596191078</v>
      </c>
      <c r="F27" s="686">
        <f t="shared" si="3"/>
        <v>21590.302678890519</v>
      </c>
      <c r="G27" s="686">
        <f t="shared" ca="1" si="3"/>
        <v>318760.8917585056</v>
      </c>
      <c r="H27" s="686">
        <f t="shared" si="3"/>
        <v>473062.30440417305</v>
      </c>
      <c r="I27" s="686">
        <f t="shared" si="3"/>
        <v>81283.922573247022</v>
      </c>
      <c r="J27" s="686">
        <f t="shared" si="3"/>
        <v>0</v>
      </c>
      <c r="K27" s="686">
        <f t="shared" si="3"/>
        <v>4694.3094032415293</v>
      </c>
      <c r="L27" s="686">
        <f t="shared" si="3"/>
        <v>0</v>
      </c>
      <c r="M27" s="686">
        <f t="shared" ca="1" si="3"/>
        <v>0</v>
      </c>
      <c r="N27" s="686">
        <f t="shared" si="3"/>
        <v>25059.016166971171</v>
      </c>
      <c r="O27" s="686">
        <f t="shared" ca="1" si="3"/>
        <v>68172.850790718541</v>
      </c>
      <c r="P27" s="686">
        <f t="shared" si="3"/>
        <v>673.79666666666662</v>
      </c>
      <c r="Q27" s="686">
        <f t="shared" si="3"/>
        <v>2021.0666666666666</v>
      </c>
      <c r="R27" s="686">
        <f t="shared" ca="1" si="3"/>
        <v>2070148.0099248257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41054.303898620565</v>
      </c>
      <c r="D40" s="676">
        <f ca="1">tertiair!C20</f>
        <v>679.38201680672285</v>
      </c>
      <c r="E40" s="676">
        <f ca="1">tertiair!D20</f>
        <v>30077.974859972575</v>
      </c>
      <c r="F40" s="676">
        <f>tertiair!E20</f>
        <v>534.36632011261781</v>
      </c>
      <c r="G40" s="676">
        <f ca="1">tertiair!F20</f>
        <v>10161.986238287245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82508.013333799725</v>
      </c>
    </row>
    <row r="41" spans="1:18">
      <c r="A41" s="804" t="s">
        <v>214</v>
      </c>
      <c r="B41" s="811"/>
      <c r="C41" s="676">
        <f ca="1">huishoudens!B12</f>
        <v>27230.265600359176</v>
      </c>
      <c r="D41" s="676">
        <f ca="1">huishoudens!C12</f>
        <v>0</v>
      </c>
      <c r="E41" s="676">
        <f>huishoudens!D12</f>
        <v>64937.307726456005</v>
      </c>
      <c r="F41" s="676">
        <f>huishoudens!E12</f>
        <v>1701.2624452727391</v>
      </c>
      <c r="G41" s="676">
        <f>huishoudens!F12</f>
        <v>61322.950846775479</v>
      </c>
      <c r="H41" s="676">
        <f>huishoudens!G12</f>
        <v>0</v>
      </c>
      <c r="I41" s="676">
        <f>huishoudens!H12</f>
        <v>0</v>
      </c>
      <c r="J41" s="676">
        <f>huishoudens!I12</f>
        <v>0</v>
      </c>
      <c r="K41" s="676">
        <f>huishoudens!J12</f>
        <v>1539.7469770018599</v>
      </c>
      <c r="L41" s="676">
        <f>huishoudens!K12</f>
        <v>0</v>
      </c>
      <c r="M41" s="676">
        <f>huishoudens!L12</f>
        <v>0</v>
      </c>
      <c r="N41" s="676">
        <f>huishoudens!M12</f>
        <v>0</v>
      </c>
      <c r="O41" s="676">
        <f>huishoudens!N12</f>
        <v>0</v>
      </c>
      <c r="P41" s="676">
        <f>huishoudens!O12</f>
        <v>0</v>
      </c>
      <c r="Q41" s="753">
        <f>huishoudens!P12</f>
        <v>0</v>
      </c>
      <c r="R41" s="832">
        <f t="shared" ca="1" si="4"/>
        <v>156731.53359586527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645</v>
      </c>
      <c r="B43" s="819" t="s">
        <v>642</v>
      </c>
      <c r="C43" s="676">
        <f ca="1">industrie!B22</f>
        <v>13201.241165233001</v>
      </c>
      <c r="D43" s="676">
        <f ca="1">industrie!C22</f>
        <v>76.386554621848759</v>
      </c>
      <c r="E43" s="676">
        <f>industrie!D22</f>
        <v>15660.74173711086</v>
      </c>
      <c r="F43" s="676">
        <f>industrie!E22</f>
        <v>2257.4122758529043</v>
      </c>
      <c r="G43" s="676">
        <f>industrie!F22</f>
        <v>11915.720199087373</v>
      </c>
      <c r="H43" s="676">
        <f>industrie!G22</f>
        <v>0</v>
      </c>
      <c r="I43" s="676">
        <f>industrie!H22</f>
        <v>0</v>
      </c>
      <c r="J43" s="676">
        <f>industrie!I22</f>
        <v>0</v>
      </c>
      <c r="K43" s="676">
        <f>industrie!J22</f>
        <v>23.303451448607387</v>
      </c>
      <c r="L43" s="676">
        <f>industrie!K22</f>
        <v>0</v>
      </c>
      <c r="M43" s="676">
        <f>industrie!L22</f>
        <v>0</v>
      </c>
      <c r="N43" s="676">
        <f>industrie!M22</f>
        <v>0</v>
      </c>
      <c r="O43" s="676">
        <f>industrie!N22</f>
        <v>0</v>
      </c>
      <c r="P43" s="676">
        <f>industrie!O22</f>
        <v>0</v>
      </c>
      <c r="Q43" s="753">
        <f>industrie!P22</f>
        <v>0</v>
      </c>
      <c r="R43" s="831">
        <f t="shared" ca="1" si="4"/>
        <v>43134.805383354593</v>
      </c>
    </row>
    <row r="44" spans="1:18">
      <c r="A44" s="804"/>
      <c r="B44" s="811" t="s">
        <v>643</v>
      </c>
      <c r="C44" s="676"/>
      <c r="D44" s="676"/>
      <c r="E44" s="676"/>
      <c r="F44" s="676"/>
      <c r="G44" s="676"/>
      <c r="H44" s="676"/>
      <c r="I44" s="676"/>
      <c r="J44" s="676"/>
      <c r="K44" s="676"/>
      <c r="L44" s="676"/>
      <c r="M44" s="676"/>
      <c r="N44" s="676"/>
      <c r="O44" s="676"/>
      <c r="P44" s="676"/>
      <c r="Q44" s="753"/>
      <c r="R44" s="832">
        <f t="shared" si="4"/>
        <v>0</v>
      </c>
    </row>
    <row r="45" spans="1:18" ht="15" thickBot="1">
      <c r="A45" s="976" t="s">
        <v>833</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81485.810664212753</v>
      </c>
      <c r="D46" s="711">
        <f t="shared" ref="D46:Q46" ca="1" si="5">SUM(D39:D45)</f>
        <v>755.76857142857159</v>
      </c>
      <c r="E46" s="711">
        <f t="shared" ca="1" si="5"/>
        <v>110676.02432353944</v>
      </c>
      <c r="F46" s="711">
        <f t="shared" si="5"/>
        <v>4493.0410412382607</v>
      </c>
      <c r="G46" s="711">
        <f t="shared" ca="1" si="5"/>
        <v>83400.657284150104</v>
      </c>
      <c r="H46" s="711">
        <f t="shared" si="5"/>
        <v>0</v>
      </c>
      <c r="I46" s="711">
        <f t="shared" si="5"/>
        <v>0</v>
      </c>
      <c r="J46" s="711">
        <f t="shared" si="5"/>
        <v>0</v>
      </c>
      <c r="K46" s="711">
        <f t="shared" si="5"/>
        <v>1563.0504284504673</v>
      </c>
      <c r="L46" s="711">
        <f t="shared" si="5"/>
        <v>0</v>
      </c>
      <c r="M46" s="711">
        <f t="shared" ca="1" si="5"/>
        <v>0</v>
      </c>
      <c r="N46" s="711">
        <f t="shared" si="5"/>
        <v>0</v>
      </c>
      <c r="O46" s="711">
        <f t="shared" ca="1" si="5"/>
        <v>0</v>
      </c>
      <c r="P46" s="711">
        <f t="shared" si="5"/>
        <v>0</v>
      </c>
      <c r="Q46" s="711">
        <f t="shared" si="5"/>
        <v>0</v>
      </c>
      <c r="R46" s="711">
        <f ca="1">SUM(R39:R45)</f>
        <v>282374.35231301957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18.347579771248462</v>
      </c>
      <c r="D49" s="676">
        <f ca="1">transport!C58</f>
        <v>0</v>
      </c>
      <c r="E49" s="676">
        <f>transport!D58</f>
        <v>0</v>
      </c>
      <c r="F49" s="676">
        <f>transport!E58</f>
        <v>0</v>
      </c>
      <c r="G49" s="676">
        <f>transport!F58</f>
        <v>0</v>
      </c>
      <c r="H49" s="676">
        <f>transport!G58</f>
        <v>4763.6537143361584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4782.0012941074065</v>
      </c>
    </row>
    <row r="50" spans="1:18">
      <c r="A50" s="807" t="s">
        <v>296</v>
      </c>
      <c r="B50" s="817"/>
      <c r="C50" s="682">
        <f ca="1">transport!B18</f>
        <v>10.010080135753066</v>
      </c>
      <c r="D50" s="682">
        <f>transport!C18</f>
        <v>0</v>
      </c>
      <c r="E50" s="682">
        <f>transport!D18</f>
        <v>9.4374063345390855</v>
      </c>
      <c r="F50" s="682">
        <f>transport!E18</f>
        <v>402.65256041268424</v>
      </c>
      <c r="G50" s="682">
        <f>transport!F18</f>
        <v>0</v>
      </c>
      <c r="H50" s="682">
        <f>transport!G18</f>
        <v>121543.98156157804</v>
      </c>
      <c r="I50" s="682">
        <f>transport!H18</f>
        <v>20239.69672073851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142205.77832919953</v>
      </c>
    </row>
    <row r="51" spans="1:18" ht="15" thickBot="1">
      <c r="A51" s="804" t="s">
        <v>834</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28.357659907001526</v>
      </c>
      <c r="D52" s="711">
        <f t="shared" ref="D52:Q52" ca="1" si="6">SUM(D48:D51)</f>
        <v>0</v>
      </c>
      <c r="E52" s="711">
        <f t="shared" si="6"/>
        <v>9.4374063345390855</v>
      </c>
      <c r="F52" s="711">
        <f t="shared" si="6"/>
        <v>402.65256041268424</v>
      </c>
      <c r="G52" s="711">
        <f t="shared" si="6"/>
        <v>0</v>
      </c>
      <c r="H52" s="711">
        <f t="shared" si="6"/>
        <v>126307.6352759142</v>
      </c>
      <c r="I52" s="711">
        <f t="shared" si="6"/>
        <v>20239.69672073851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146987.77962330694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638</v>
      </c>
      <c r="B54" s="817"/>
      <c r="C54" s="682">
        <f ca="1">+landbouw!B12</f>
        <v>371.2315977741485</v>
      </c>
      <c r="D54" s="682">
        <f ca="1">+landbouw!C12</f>
        <v>0</v>
      </c>
      <c r="E54" s="682">
        <f>+landbouw!D12</f>
        <v>505.65399843200009</v>
      </c>
      <c r="F54" s="682">
        <f>+landbouw!E12</f>
        <v>5.3051064572023376</v>
      </c>
      <c r="G54" s="682">
        <f>+landbouw!F12</f>
        <v>1708.500815370902</v>
      </c>
      <c r="H54" s="682">
        <f>+landbouw!G12</f>
        <v>0</v>
      </c>
      <c r="I54" s="682">
        <f>+landbouw!H12</f>
        <v>0</v>
      </c>
      <c r="J54" s="682">
        <f>+landbouw!I12</f>
        <v>0</v>
      </c>
      <c r="K54" s="682">
        <f>+landbouw!J12</f>
        <v>98.735100297034222</v>
      </c>
      <c r="L54" s="682">
        <f>+landbouw!K12</f>
        <v>0</v>
      </c>
      <c r="M54" s="682">
        <f>+landbouw!L12</f>
        <v>0</v>
      </c>
      <c r="N54" s="682">
        <f>+landbouw!M12</f>
        <v>0</v>
      </c>
      <c r="O54" s="682">
        <f>+landbouw!N12</f>
        <v>0</v>
      </c>
      <c r="P54" s="682">
        <f>+landbouw!O12</f>
        <v>0</v>
      </c>
      <c r="Q54" s="683">
        <f>+landbouw!P12</f>
        <v>0</v>
      </c>
      <c r="R54" s="710">
        <f ca="1">SUM(C54:Q54)</f>
        <v>2689.426618331287</v>
      </c>
    </row>
    <row r="55" spans="1:18" ht="15" thickBot="1">
      <c r="A55" s="807" t="s">
        <v>835</v>
      </c>
      <c r="B55" s="817"/>
      <c r="C55" s="682">
        <f ca="1">C25*'EF ele_warmte'!B12</f>
        <v>1537.7377490790614</v>
      </c>
      <c r="D55" s="682"/>
      <c r="E55" s="682">
        <f>E25*EF_CO2_aardgas</f>
        <v>21094.813136000001</v>
      </c>
      <c r="F55" s="682"/>
      <c r="G55" s="682"/>
      <c r="H55" s="682"/>
      <c r="I55" s="682"/>
      <c r="J55" s="682"/>
      <c r="K55" s="682"/>
      <c r="L55" s="682"/>
      <c r="M55" s="682"/>
      <c r="N55" s="682"/>
      <c r="O55" s="682"/>
      <c r="P55" s="682"/>
      <c r="Q55" s="683"/>
      <c r="R55" s="710">
        <f ca="1">SUM(C55:Q55)</f>
        <v>22632.550885079061</v>
      </c>
    </row>
    <row r="56" spans="1:18" ht="15.75" thickBot="1">
      <c r="A56" s="805" t="s">
        <v>836</v>
      </c>
      <c r="B56" s="818"/>
      <c r="C56" s="711">
        <f ca="1">SUM(C54:C55)</f>
        <v>1908.9693468532098</v>
      </c>
      <c r="D56" s="711">
        <f t="shared" ref="D56:Q56" ca="1" si="7">SUM(D54:D55)</f>
        <v>0</v>
      </c>
      <c r="E56" s="711">
        <f t="shared" si="7"/>
        <v>21600.467134432001</v>
      </c>
      <c r="F56" s="711">
        <f t="shared" si="7"/>
        <v>5.3051064572023376</v>
      </c>
      <c r="G56" s="711">
        <f t="shared" si="7"/>
        <v>1708.500815370902</v>
      </c>
      <c r="H56" s="711">
        <f t="shared" si="7"/>
        <v>0</v>
      </c>
      <c r="I56" s="711">
        <f t="shared" si="7"/>
        <v>0</v>
      </c>
      <c r="J56" s="711">
        <f t="shared" si="7"/>
        <v>0</v>
      </c>
      <c r="K56" s="711">
        <f t="shared" si="7"/>
        <v>98.735100297034222</v>
      </c>
      <c r="L56" s="711">
        <f t="shared" si="7"/>
        <v>0</v>
      </c>
      <c r="M56" s="711">
        <f t="shared" si="7"/>
        <v>0</v>
      </c>
      <c r="N56" s="711">
        <f t="shared" si="7"/>
        <v>0</v>
      </c>
      <c r="O56" s="711">
        <f t="shared" si="7"/>
        <v>0</v>
      </c>
      <c r="P56" s="711">
        <f t="shared" si="7"/>
        <v>0</v>
      </c>
      <c r="Q56" s="712">
        <f t="shared" si="7"/>
        <v>0</v>
      </c>
      <c r="R56" s="713">
        <f ca="1">SUM(R54:R55)</f>
        <v>25321.977503410348</v>
      </c>
    </row>
    <row r="57" spans="1:18" ht="15.75">
      <c r="A57" s="785" t="s">
        <v>639</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83423.137670972967</v>
      </c>
      <c r="D61" s="719">
        <f t="shared" ref="D61:Q61" ca="1" si="8">D46+D52+D56</f>
        <v>755.76857142857159</v>
      </c>
      <c r="E61" s="719">
        <f t="shared" ca="1" si="8"/>
        <v>132285.92886430598</v>
      </c>
      <c r="F61" s="719">
        <f t="shared" si="8"/>
        <v>4900.9987081081481</v>
      </c>
      <c r="G61" s="719">
        <f t="shared" ca="1" si="8"/>
        <v>85109.15809952101</v>
      </c>
      <c r="H61" s="719">
        <f t="shared" si="8"/>
        <v>126307.6352759142</v>
      </c>
      <c r="I61" s="719">
        <f t="shared" si="8"/>
        <v>20239.69672073851</v>
      </c>
      <c r="J61" s="719">
        <f t="shared" si="8"/>
        <v>0</v>
      </c>
      <c r="K61" s="719">
        <f t="shared" si="8"/>
        <v>1661.7855287475015</v>
      </c>
      <c r="L61" s="719">
        <f t="shared" si="8"/>
        <v>0</v>
      </c>
      <c r="M61" s="719">
        <f t="shared" ca="1" si="8"/>
        <v>0</v>
      </c>
      <c r="N61" s="719">
        <f t="shared" si="8"/>
        <v>0</v>
      </c>
      <c r="O61" s="719">
        <f t="shared" ca="1" si="8"/>
        <v>0</v>
      </c>
      <c r="P61" s="719">
        <f t="shared" si="8"/>
        <v>0</v>
      </c>
      <c r="Q61" s="719">
        <f t="shared" si="8"/>
        <v>0</v>
      </c>
      <c r="R61" s="719">
        <f ca="1">R46+R52+R56</f>
        <v>454684.10943973687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0.20016661037863342</v>
      </c>
      <c r="D63" s="762">
        <f t="shared" ca="1" si="9"/>
        <v>0.23764705882352946</v>
      </c>
      <c r="E63" s="984">
        <f t="shared" ca="1" si="9"/>
        <v>0.20200000000000001</v>
      </c>
      <c r="F63" s="762">
        <f t="shared" si="9"/>
        <v>0.22700000000000001</v>
      </c>
      <c r="G63" s="762">
        <f t="shared" ca="1" si="9"/>
        <v>0.26700000000000002</v>
      </c>
      <c r="H63" s="762">
        <f t="shared" si="9"/>
        <v>0.26700000000000002</v>
      </c>
      <c r="I63" s="762">
        <f t="shared" si="9"/>
        <v>0.24900000000000003</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648</v>
      </c>
      <c r="Q69" s="1117" t="s">
        <v>647</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646</v>
      </c>
      <c r="C71" s="970" t="s">
        <v>837</v>
      </c>
      <c r="D71" s="987" t="s">
        <v>192</v>
      </c>
      <c r="E71" s="988" t="s">
        <v>193</v>
      </c>
      <c r="F71" s="965" t="s">
        <v>194</v>
      </c>
      <c r="G71" s="962" t="s">
        <v>196</v>
      </c>
      <c r="H71" s="989" t="s">
        <v>197</v>
      </c>
      <c r="I71" s="966"/>
      <c r="J71" s="966"/>
      <c r="K71" s="966"/>
      <c r="L71" s="966"/>
      <c r="M71" s="963"/>
      <c r="N71" s="966"/>
      <c r="O71" s="971"/>
      <c r="P71" s="990"/>
      <c r="Q71" s="973" t="s">
        <v>649</v>
      </c>
      <c r="R71" s="971" t="s">
        <v>650</v>
      </c>
    </row>
    <row r="72" spans="1:18" ht="15.75" thickTop="1">
      <c r="A72" s="729" t="s">
        <v>238</v>
      </c>
      <c r="B72" s="825">
        <f>'lokale energieproductie'!B4</f>
        <v>15825.32915</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22393.095567563796</v>
      </c>
      <c r="C74" s="1141"/>
      <c r="D74" s="1141"/>
      <c r="E74" s="1123"/>
      <c r="F74" s="1123"/>
      <c r="G74" s="1135"/>
      <c r="H74" s="1138"/>
      <c r="I74" s="1141"/>
      <c r="J74" s="969"/>
      <c r="K74" s="1123"/>
      <c r="L74" s="1123"/>
      <c r="M74" s="1123"/>
      <c r="N74" s="1123"/>
      <c r="O74" s="1126"/>
      <c r="P74" s="834">
        <v>0</v>
      </c>
      <c r="Q74" s="840"/>
      <c r="R74" s="834">
        <v>0</v>
      </c>
    </row>
    <row r="75" spans="1:18" ht="15.75" thickBot="1">
      <c r="A75" s="730" t="s">
        <v>838</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2226.15</v>
      </c>
      <c r="D76" s="994">
        <f>'lokale energieproductie'!C8</f>
        <v>2619.0000000000005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529.03800000000012</v>
      </c>
      <c r="R76" s="834">
        <v>0</v>
      </c>
    </row>
    <row r="77" spans="1:18" ht="30.75" thickBot="1">
      <c r="A77" s="732" t="s">
        <v>340</v>
      </c>
      <c r="B77" s="729">
        <f>'lokale energieproductie'!B9*IFERROR(SUM(I77:O77)/SUM(D77:O77),0)</f>
        <v>1237.5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3535.7142857142858</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39455.924717563794</v>
      </c>
      <c r="C78" s="734">
        <f>SUM(C72:C77)</f>
        <v>2226.15</v>
      </c>
      <c r="D78" s="735">
        <f t="shared" ref="D78:H78" si="10">SUM(D76:D77)</f>
        <v>2619.0000000000005</v>
      </c>
      <c r="E78" s="735">
        <f t="shared" si="10"/>
        <v>0</v>
      </c>
      <c r="F78" s="735">
        <f t="shared" si="10"/>
        <v>0</v>
      </c>
      <c r="G78" s="735">
        <f t="shared" si="10"/>
        <v>0</v>
      </c>
      <c r="H78" s="735">
        <f t="shared" si="10"/>
        <v>0</v>
      </c>
      <c r="I78" s="735">
        <f>SUM(I76:I77)</f>
        <v>0</v>
      </c>
      <c r="J78" s="735">
        <f>SUM(J76:J77)</f>
        <v>3535.7142857142858</v>
      </c>
      <c r="K78" s="735">
        <f t="shared" ref="K78:L78" si="11">SUM(K76:K77)</f>
        <v>0</v>
      </c>
      <c r="L78" s="735">
        <f t="shared" si="11"/>
        <v>0</v>
      </c>
      <c r="M78" s="735">
        <f>SUM(M76:M77)</f>
        <v>0</v>
      </c>
      <c r="N78" s="735">
        <f>SUM(N76:N77)</f>
        <v>0</v>
      </c>
      <c r="O78" s="842">
        <f>SUM(O76:O77)</f>
        <v>0</v>
      </c>
      <c r="P78" s="736">
        <v>0</v>
      </c>
      <c r="Q78" s="736">
        <f>SUM(Q76:Q77)</f>
        <v>529.03800000000012</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648</v>
      </c>
      <c r="Q84" s="1110" t="s">
        <v>647</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646</v>
      </c>
      <c r="C86" s="826" t="s">
        <v>837</v>
      </c>
      <c r="D86" s="973" t="s">
        <v>192</v>
      </c>
      <c r="E86" s="966" t="s">
        <v>193</v>
      </c>
      <c r="F86" s="964" t="s">
        <v>194</v>
      </c>
      <c r="G86" s="966" t="s">
        <v>196</v>
      </c>
      <c r="H86" s="743" t="s">
        <v>197</v>
      </c>
      <c r="I86" s="1152"/>
      <c r="J86" s="1153"/>
      <c r="K86" s="1103"/>
      <c r="L86" s="1103"/>
      <c r="M86" s="1156"/>
      <c r="N86" s="1103"/>
      <c r="O86" s="1158"/>
      <c r="P86" s="990"/>
      <c r="Q86" s="973" t="s">
        <v>649</v>
      </c>
      <c r="R86" s="971" t="s">
        <v>650</v>
      </c>
    </row>
    <row r="87" spans="1:19" ht="15.75" thickTop="1">
      <c r="A87" s="744" t="s">
        <v>241</v>
      </c>
      <c r="B87" s="745">
        <f>'lokale energieproductie'!B17*IFERROR(SUM(I87:O87)/SUM(D87:O87),0)</f>
        <v>0</v>
      </c>
      <c r="C87" s="745">
        <f>'lokale energieproductie'!B17*IFERROR(SUM(D87:H87)/SUM(D87:O87),0)</f>
        <v>3180.2142857142858</v>
      </c>
      <c r="D87" s="756">
        <f>'lokale energieproductie'!C17</f>
        <v>3741.428571428572</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755.76857142857159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3180.2142857142858</v>
      </c>
      <c r="D90" s="734">
        <f t="shared" ref="D90:H90" si="12">SUM(D87:D89)</f>
        <v>3741.428571428572</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755.76857142857159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548</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136038.00128728084</v>
      </c>
      <c r="C4" s="448">
        <f>huishoudens!C8</f>
        <v>0</v>
      </c>
      <c r="D4" s="448">
        <f>huishoudens!D8</f>
        <v>321471.82042800001</v>
      </c>
      <c r="E4" s="448">
        <f>huishoudens!E8</f>
        <v>7494.5482170605246</v>
      </c>
      <c r="F4" s="448">
        <f>huishoudens!F8</f>
        <v>229673.9732088969</v>
      </c>
      <c r="G4" s="448">
        <f>huishoudens!G8</f>
        <v>0</v>
      </c>
      <c r="H4" s="448">
        <f>huishoudens!H8</f>
        <v>0</v>
      </c>
      <c r="I4" s="448">
        <f>huishoudens!I8</f>
        <v>0</v>
      </c>
      <c r="J4" s="448">
        <f>huishoudens!J8</f>
        <v>4349.5677316436722</v>
      </c>
      <c r="K4" s="448">
        <f>huishoudens!K8</f>
        <v>0</v>
      </c>
      <c r="L4" s="448">
        <f>huishoudens!L8</f>
        <v>0</v>
      </c>
      <c r="M4" s="448">
        <f>huishoudens!M8</f>
        <v>0</v>
      </c>
      <c r="N4" s="448">
        <f>huishoudens!N8</f>
        <v>53479.532006585112</v>
      </c>
      <c r="O4" s="448">
        <f>huishoudens!O8</f>
        <v>664.41666666666663</v>
      </c>
      <c r="P4" s="449">
        <f>huishoudens!P8</f>
        <v>1849.4666666666667</v>
      </c>
      <c r="Q4" s="450">
        <f>SUM(B4:P4)</f>
        <v>755021.32621280046</v>
      </c>
    </row>
    <row r="5" spans="1:17">
      <c r="A5" s="447" t="s">
        <v>149</v>
      </c>
      <c r="B5" s="448">
        <f ca="1">tertiair!B16</f>
        <v>200048.53899999999</v>
      </c>
      <c r="C5" s="448">
        <f ca="1">tertiair!C16</f>
        <v>2858.7857142857142</v>
      </c>
      <c r="D5" s="448">
        <f ca="1">tertiair!D16</f>
        <v>148900.86564342858</v>
      </c>
      <c r="E5" s="448">
        <f>tertiair!E16</f>
        <v>2354.0366524784927</v>
      </c>
      <c r="F5" s="448">
        <f ca="1">tertiair!F16</f>
        <v>38059.873551637618</v>
      </c>
      <c r="G5" s="448">
        <f>tertiair!G16</f>
        <v>0</v>
      </c>
      <c r="H5" s="448">
        <f>tertiair!H16</f>
        <v>0</v>
      </c>
      <c r="I5" s="448">
        <f>tertiair!I16</f>
        <v>0</v>
      </c>
      <c r="J5" s="448">
        <f>tertiair!J16</f>
        <v>0</v>
      </c>
      <c r="K5" s="448">
        <f>tertiair!K16</f>
        <v>0</v>
      </c>
      <c r="L5" s="448">
        <f ca="1">tertiair!L16</f>
        <v>0</v>
      </c>
      <c r="M5" s="448">
        <f>tertiair!M16</f>
        <v>0</v>
      </c>
      <c r="N5" s="448">
        <f ca="1">tertiair!N16</f>
        <v>7669.255366380723</v>
      </c>
      <c r="O5" s="448">
        <f>tertiair!O16</f>
        <v>9.3800000000000008</v>
      </c>
      <c r="P5" s="449">
        <f>tertiair!P16</f>
        <v>171.6</v>
      </c>
      <c r="Q5" s="447">
        <f t="shared" ref="Q5:Q14" ca="1" si="0">SUM(B5:P5)</f>
        <v>400072.33592821116</v>
      </c>
    </row>
    <row r="6" spans="1:17">
      <c r="A6" s="447" t="s">
        <v>187</v>
      </c>
      <c r="B6" s="448">
        <f>'openbare verlichting'!B8</f>
        <v>5052.1210000000001</v>
      </c>
      <c r="C6" s="448"/>
      <c r="D6" s="448"/>
      <c r="E6" s="448"/>
      <c r="F6" s="448"/>
      <c r="G6" s="448"/>
      <c r="H6" s="448"/>
      <c r="I6" s="448"/>
      <c r="J6" s="448"/>
      <c r="K6" s="448"/>
      <c r="L6" s="448"/>
      <c r="M6" s="448"/>
      <c r="N6" s="448"/>
      <c r="O6" s="448"/>
      <c r="P6" s="449"/>
      <c r="Q6" s="447">
        <f t="shared" si="0"/>
        <v>5052.1210000000001</v>
      </c>
    </row>
    <row r="7" spans="1:17">
      <c r="A7" s="447" t="s">
        <v>105</v>
      </c>
      <c r="B7" s="448">
        <f>landbouw!B8</f>
        <v>1854.6130000000001</v>
      </c>
      <c r="C7" s="448">
        <f>landbouw!C8</f>
        <v>0</v>
      </c>
      <c r="D7" s="448">
        <f>landbouw!D8</f>
        <v>2503.2376160000003</v>
      </c>
      <c r="E7" s="448">
        <f>landbouw!E8</f>
        <v>23.370513027323071</v>
      </c>
      <c r="F7" s="448">
        <f>landbouw!F8</f>
        <v>6398.8794583179852</v>
      </c>
      <c r="G7" s="448">
        <f>landbouw!G8</f>
        <v>0</v>
      </c>
      <c r="H7" s="448">
        <f>landbouw!H8</f>
        <v>0</v>
      </c>
      <c r="I7" s="448">
        <f>landbouw!I8</f>
        <v>0</v>
      </c>
      <c r="J7" s="448">
        <f>landbouw!J8</f>
        <v>278.91271270348653</v>
      </c>
      <c r="K7" s="448">
        <f>landbouw!K8</f>
        <v>0</v>
      </c>
      <c r="L7" s="448">
        <f>landbouw!L8</f>
        <v>0</v>
      </c>
      <c r="M7" s="448">
        <f>landbouw!M8</f>
        <v>0</v>
      </c>
      <c r="N7" s="448">
        <f>landbouw!N8</f>
        <v>0</v>
      </c>
      <c r="O7" s="448">
        <f>landbouw!O8</f>
        <v>0</v>
      </c>
      <c r="P7" s="449">
        <f>landbouw!P8</f>
        <v>0</v>
      </c>
      <c r="Q7" s="447">
        <f t="shared" si="0"/>
        <v>11059.013300048795</v>
      </c>
    </row>
    <row r="8" spans="1:17">
      <c r="A8" s="447" t="s">
        <v>641</v>
      </c>
      <c r="B8" s="448">
        <f>industrie!B18</f>
        <v>65951.264999999985</v>
      </c>
      <c r="C8" s="448">
        <f>industrie!C18</f>
        <v>321.42857142857144</v>
      </c>
      <c r="D8" s="448">
        <f>industrie!D18</f>
        <v>77528.424441142866</v>
      </c>
      <c r="E8" s="448">
        <f>industrie!E18</f>
        <v>9944.54747071764</v>
      </c>
      <c r="F8" s="448">
        <f>industrie!F18</f>
        <v>44628.165539653077</v>
      </c>
      <c r="G8" s="448">
        <f>industrie!G18</f>
        <v>0</v>
      </c>
      <c r="H8" s="448">
        <f>industrie!H18</f>
        <v>0</v>
      </c>
      <c r="I8" s="448">
        <f>industrie!I18</f>
        <v>0</v>
      </c>
      <c r="J8" s="448">
        <f>industrie!J18</f>
        <v>65.828958894371155</v>
      </c>
      <c r="K8" s="448">
        <f>industrie!K18</f>
        <v>0</v>
      </c>
      <c r="L8" s="448">
        <f>industrie!L18</f>
        <v>0</v>
      </c>
      <c r="M8" s="448">
        <f>industrie!M18</f>
        <v>0</v>
      </c>
      <c r="N8" s="448">
        <f>industrie!N18</f>
        <v>7024.0634177527108</v>
      </c>
      <c r="O8" s="448">
        <f>industrie!O18</f>
        <v>0</v>
      </c>
      <c r="P8" s="449">
        <f>industrie!P18</f>
        <v>0</v>
      </c>
      <c r="Q8" s="447">
        <f t="shared" si="0"/>
        <v>205463.72339958919</v>
      </c>
    </row>
    <row r="9" spans="1:17" s="453" customFormat="1">
      <c r="A9" s="451" t="s">
        <v>559</v>
      </c>
      <c r="B9" s="452">
        <f>transport!B14</f>
        <v>50.008740802564851</v>
      </c>
      <c r="C9" s="452">
        <f>transport!C14</f>
        <v>0</v>
      </c>
      <c r="D9" s="452">
        <f>transport!D14</f>
        <v>46.719833339302404</v>
      </c>
      <c r="E9" s="452">
        <f>transport!E14</f>
        <v>1773.7998256065384</v>
      </c>
      <c r="F9" s="452">
        <f>transport!F14</f>
        <v>0</v>
      </c>
      <c r="G9" s="452">
        <f>transport!G14</f>
        <v>455220.90472501138</v>
      </c>
      <c r="H9" s="452">
        <f>transport!H14</f>
        <v>81283.922573247022</v>
      </c>
      <c r="I9" s="452">
        <f>transport!I14</f>
        <v>0</v>
      </c>
      <c r="J9" s="452">
        <f>transport!J14</f>
        <v>0</v>
      </c>
      <c r="K9" s="452">
        <f>transport!K14</f>
        <v>0</v>
      </c>
      <c r="L9" s="452">
        <f>transport!L14</f>
        <v>0</v>
      </c>
      <c r="M9" s="452">
        <f>transport!M14</f>
        <v>24258.992814121768</v>
      </c>
      <c r="N9" s="452">
        <f>transport!N14</f>
        <v>0</v>
      </c>
      <c r="O9" s="452">
        <f>transport!O14</f>
        <v>0</v>
      </c>
      <c r="P9" s="452">
        <f>transport!P14</f>
        <v>0</v>
      </c>
      <c r="Q9" s="451">
        <f>SUM(B9:P9)</f>
        <v>562634.34851212858</v>
      </c>
    </row>
    <row r="10" spans="1:17">
      <c r="A10" s="447" t="s">
        <v>549</v>
      </c>
      <c r="B10" s="448">
        <f>transport!B54</f>
        <v>91.661540036784061</v>
      </c>
      <c r="C10" s="448">
        <f>transport!C54</f>
        <v>0</v>
      </c>
      <c r="D10" s="448">
        <f>transport!D54</f>
        <v>0</v>
      </c>
      <c r="E10" s="448">
        <f>transport!E54</f>
        <v>0</v>
      </c>
      <c r="F10" s="448">
        <f>transport!F54</f>
        <v>0</v>
      </c>
      <c r="G10" s="448">
        <f>transport!G54</f>
        <v>17841.399679161641</v>
      </c>
      <c r="H10" s="448">
        <f>transport!H54</f>
        <v>0</v>
      </c>
      <c r="I10" s="448">
        <f>transport!I54</f>
        <v>0</v>
      </c>
      <c r="J10" s="448">
        <f>transport!J54</f>
        <v>0</v>
      </c>
      <c r="K10" s="448">
        <f>transport!K54</f>
        <v>0</v>
      </c>
      <c r="L10" s="448">
        <f>transport!L54</f>
        <v>0</v>
      </c>
      <c r="M10" s="448">
        <f>transport!M54</f>
        <v>800.02335284940318</v>
      </c>
      <c r="N10" s="448">
        <f>transport!N54</f>
        <v>0</v>
      </c>
      <c r="O10" s="448">
        <f>transport!O54</f>
        <v>0</v>
      </c>
      <c r="P10" s="449">
        <f>transport!P54</f>
        <v>0</v>
      </c>
      <c r="Q10" s="447">
        <f t="shared" si="0"/>
        <v>18733.084572047828</v>
      </c>
    </row>
    <row r="11" spans="1:17">
      <c r="A11" s="447" t="s">
        <v>550</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551</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552</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841</v>
      </c>
      <c r="B14" s="455">
        <f>'SEAP template'!C25</f>
        <v>7682.2889999999998</v>
      </c>
      <c r="C14" s="455"/>
      <c r="D14" s="455">
        <f>'SEAP template'!E25</f>
        <v>104429.768</v>
      </c>
      <c r="E14" s="455"/>
      <c r="F14" s="455"/>
      <c r="G14" s="455"/>
      <c r="H14" s="455"/>
      <c r="I14" s="455"/>
      <c r="J14" s="455"/>
      <c r="K14" s="455"/>
      <c r="L14" s="455"/>
      <c r="M14" s="455"/>
      <c r="N14" s="455"/>
      <c r="O14" s="455"/>
      <c r="P14" s="456"/>
      <c r="Q14" s="447">
        <f t="shared" si="0"/>
        <v>112112.057</v>
      </c>
    </row>
    <row r="15" spans="1:17" s="460" customFormat="1">
      <c r="A15" s="457" t="s">
        <v>553</v>
      </c>
      <c r="B15" s="458">
        <f ca="1">SUM(B4:B14)</f>
        <v>416768.49856812012</v>
      </c>
      <c r="C15" s="458">
        <f t="shared" ref="C15:Q15" ca="1" si="1">SUM(C4:C14)</f>
        <v>3180.2142857142858</v>
      </c>
      <c r="D15" s="458">
        <f t="shared" ca="1" si="1"/>
        <v>654880.83596191078</v>
      </c>
      <c r="E15" s="458">
        <f t="shared" si="1"/>
        <v>21590.302678890519</v>
      </c>
      <c r="F15" s="458">
        <f t="shared" ca="1" si="1"/>
        <v>318760.8917585056</v>
      </c>
      <c r="G15" s="458">
        <f t="shared" si="1"/>
        <v>473062.30440417305</v>
      </c>
      <c r="H15" s="458">
        <f t="shared" si="1"/>
        <v>81283.922573247022</v>
      </c>
      <c r="I15" s="458">
        <f t="shared" si="1"/>
        <v>0</v>
      </c>
      <c r="J15" s="458">
        <f t="shared" si="1"/>
        <v>4694.3094032415293</v>
      </c>
      <c r="K15" s="458">
        <f t="shared" si="1"/>
        <v>0</v>
      </c>
      <c r="L15" s="458">
        <f t="shared" ca="1" si="1"/>
        <v>0</v>
      </c>
      <c r="M15" s="458">
        <f t="shared" si="1"/>
        <v>25059.016166971171</v>
      </c>
      <c r="N15" s="458">
        <f t="shared" ca="1" si="1"/>
        <v>68172.850790718541</v>
      </c>
      <c r="O15" s="458">
        <f t="shared" si="1"/>
        <v>673.79666666666662</v>
      </c>
      <c r="P15" s="458">
        <f t="shared" si="1"/>
        <v>2021.0666666666666</v>
      </c>
      <c r="Q15" s="458">
        <f t="shared" ca="1" si="1"/>
        <v>2070148.0099248262</v>
      </c>
    </row>
    <row r="17" spans="1:17">
      <c r="A17" s="461" t="s">
        <v>554</v>
      </c>
      <c r="B17" s="767">
        <f ca="1">huishoudens!B10</f>
        <v>0.20016661037863342</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556</v>
      </c>
      <c r="B19" s="1160" t="s">
        <v>555</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27230.265600359176</v>
      </c>
      <c r="C22" s="448">
        <f t="shared" ref="C22:C32" ca="1" si="3">C4*$C$17</f>
        <v>0</v>
      </c>
      <c r="D22" s="448">
        <f t="shared" ref="D22:D32" si="4">D4*$D$17</f>
        <v>64937.307726456005</v>
      </c>
      <c r="E22" s="448">
        <f t="shared" ref="E22:E32" si="5">E4*$E$17</f>
        <v>1701.2624452727391</v>
      </c>
      <c r="F22" s="448">
        <f t="shared" ref="F22:F32" si="6">F4*$F$17</f>
        <v>61322.950846775479</v>
      </c>
      <c r="G22" s="448">
        <f t="shared" ref="G22:G32" si="7">G4*$G$17</f>
        <v>0</v>
      </c>
      <c r="H22" s="448">
        <f t="shared" ref="H22:H32" si="8">H4*$H$17</f>
        <v>0</v>
      </c>
      <c r="I22" s="448">
        <f t="shared" ref="I22:I32" si="9">I4*$I$17</f>
        <v>0</v>
      </c>
      <c r="J22" s="448">
        <f t="shared" ref="J22:J32" si="10">J4*$J$17</f>
        <v>1539.7469770018599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156731.53359586527</v>
      </c>
    </row>
    <row r="23" spans="1:17">
      <c r="A23" s="447" t="s">
        <v>149</v>
      </c>
      <c r="B23" s="448">
        <f t="shared" ca="1" si="2"/>
        <v>40043.037962827853</v>
      </c>
      <c r="C23" s="448">
        <f t="shared" ca="1" si="3"/>
        <v>679.38201680672285</v>
      </c>
      <c r="D23" s="448">
        <f t="shared" ca="1" si="4"/>
        <v>30077.974859972575</v>
      </c>
      <c r="E23" s="448">
        <f t="shared" si="5"/>
        <v>534.36632011261781</v>
      </c>
      <c r="F23" s="448">
        <f t="shared" ca="1" si="6"/>
        <v>10161.986238287245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81496.747398007021</v>
      </c>
    </row>
    <row r="24" spans="1:17">
      <c r="A24" s="447" t="s">
        <v>187</v>
      </c>
      <c r="B24" s="448">
        <f t="shared" ca="1" si="2"/>
        <v>1011.2659357927118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1011.2659357927118</v>
      </c>
    </row>
    <row r="25" spans="1:17">
      <c r="A25" s="447" t="s">
        <v>105</v>
      </c>
      <c r="B25" s="448">
        <f t="shared" ca="1" si="2"/>
        <v>371.2315977741485</v>
      </c>
      <c r="C25" s="448">
        <f t="shared" ca="1" si="3"/>
        <v>0</v>
      </c>
      <c r="D25" s="448">
        <f t="shared" si="4"/>
        <v>505.65399843200009</v>
      </c>
      <c r="E25" s="448">
        <f t="shared" si="5"/>
        <v>5.3051064572023376</v>
      </c>
      <c r="F25" s="448">
        <f t="shared" si="6"/>
        <v>1708.500815370902</v>
      </c>
      <c r="G25" s="448">
        <f t="shared" si="7"/>
        <v>0</v>
      </c>
      <c r="H25" s="448">
        <f t="shared" si="8"/>
        <v>0</v>
      </c>
      <c r="I25" s="448">
        <f t="shared" si="9"/>
        <v>0</v>
      </c>
      <c r="J25" s="448">
        <f t="shared" si="10"/>
        <v>98.735100297034222</v>
      </c>
      <c r="K25" s="448">
        <f t="shared" si="11"/>
        <v>0</v>
      </c>
      <c r="L25" s="448">
        <f t="shared" si="12"/>
        <v>0</v>
      </c>
      <c r="M25" s="448">
        <f t="shared" si="13"/>
        <v>0</v>
      </c>
      <c r="N25" s="448">
        <f t="shared" si="14"/>
        <v>0</v>
      </c>
      <c r="O25" s="448">
        <f t="shared" si="15"/>
        <v>0</v>
      </c>
      <c r="P25" s="449">
        <f t="shared" si="16"/>
        <v>0</v>
      </c>
      <c r="Q25" s="447">
        <f t="shared" ca="1" si="17"/>
        <v>2689.426618331287</v>
      </c>
    </row>
    <row r="26" spans="1:17">
      <c r="A26" s="447" t="s">
        <v>641</v>
      </c>
      <c r="B26" s="448">
        <f t="shared" ca="1" si="2"/>
        <v>13201.241165233001</v>
      </c>
      <c r="C26" s="448">
        <f t="shared" ca="1" si="3"/>
        <v>76.386554621848759</v>
      </c>
      <c r="D26" s="448">
        <f t="shared" si="4"/>
        <v>15660.74173711086</v>
      </c>
      <c r="E26" s="448">
        <f t="shared" si="5"/>
        <v>2257.4122758529043</v>
      </c>
      <c r="F26" s="448">
        <f t="shared" si="6"/>
        <v>11915.720199087373</v>
      </c>
      <c r="G26" s="448">
        <f t="shared" si="7"/>
        <v>0</v>
      </c>
      <c r="H26" s="448">
        <f t="shared" si="8"/>
        <v>0</v>
      </c>
      <c r="I26" s="448">
        <f t="shared" si="9"/>
        <v>0</v>
      </c>
      <c r="J26" s="448">
        <f t="shared" si="10"/>
        <v>23.303451448607387</v>
      </c>
      <c r="K26" s="448">
        <f t="shared" si="11"/>
        <v>0</v>
      </c>
      <c r="L26" s="448">
        <f t="shared" si="12"/>
        <v>0</v>
      </c>
      <c r="M26" s="448">
        <f t="shared" si="13"/>
        <v>0</v>
      </c>
      <c r="N26" s="448">
        <f t="shared" si="14"/>
        <v>0</v>
      </c>
      <c r="O26" s="448">
        <f t="shared" si="15"/>
        <v>0</v>
      </c>
      <c r="P26" s="449">
        <f t="shared" si="16"/>
        <v>0</v>
      </c>
      <c r="Q26" s="447">
        <f t="shared" ca="1" si="17"/>
        <v>43134.805383354593</v>
      </c>
    </row>
    <row r="27" spans="1:17" s="453" customFormat="1">
      <c r="A27" s="451" t="s">
        <v>559</v>
      </c>
      <c r="B27" s="761">
        <f t="shared" ca="1" si="2"/>
        <v>10.010080135753066</v>
      </c>
      <c r="C27" s="452">
        <f t="shared" ca="1" si="3"/>
        <v>0</v>
      </c>
      <c r="D27" s="452">
        <f t="shared" si="4"/>
        <v>9.4374063345390855</v>
      </c>
      <c r="E27" s="452">
        <f t="shared" si="5"/>
        <v>402.65256041268424</v>
      </c>
      <c r="F27" s="452">
        <f t="shared" si="6"/>
        <v>0</v>
      </c>
      <c r="G27" s="452">
        <f t="shared" si="7"/>
        <v>121543.98156157804</v>
      </c>
      <c r="H27" s="452">
        <f t="shared" si="8"/>
        <v>20239.69672073851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142205.77832919953</v>
      </c>
    </row>
    <row r="28" spans="1:17">
      <c r="A28" s="447" t="s">
        <v>549</v>
      </c>
      <c r="B28" s="448">
        <f t="shared" ca="1" si="2"/>
        <v>18.347579771248462</v>
      </c>
      <c r="C28" s="448">
        <f t="shared" ca="1" si="3"/>
        <v>0</v>
      </c>
      <c r="D28" s="448">
        <f t="shared" si="4"/>
        <v>0</v>
      </c>
      <c r="E28" s="448">
        <f t="shared" si="5"/>
        <v>0</v>
      </c>
      <c r="F28" s="448">
        <f t="shared" si="6"/>
        <v>0</v>
      </c>
      <c r="G28" s="448">
        <f t="shared" si="7"/>
        <v>4763.6537143361584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4782.0012941074065</v>
      </c>
    </row>
    <row r="29" spans="1:17">
      <c r="A29" s="447" t="s">
        <v>550</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551</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552</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841</v>
      </c>
      <c r="B32" s="448">
        <f t="shared" ca="1" si="2"/>
        <v>1537.7377490790614</v>
      </c>
      <c r="C32" s="448">
        <f t="shared" ca="1" si="3"/>
        <v>0</v>
      </c>
      <c r="D32" s="448">
        <f t="shared" si="4"/>
        <v>21094.813136000001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22632.550885079061</v>
      </c>
    </row>
    <row r="33" spans="1:17" s="460" customFormat="1">
      <c r="A33" s="457" t="s">
        <v>553</v>
      </c>
      <c r="B33" s="458">
        <f ca="1">SUM(B22:B32)</f>
        <v>83423.137670972967</v>
      </c>
      <c r="C33" s="458">
        <f t="shared" ref="C33:Q33" ca="1" si="18">SUM(C22:C32)</f>
        <v>755.76857142857159</v>
      </c>
      <c r="D33" s="458">
        <f t="shared" ca="1" si="18"/>
        <v>132285.92886430598</v>
      </c>
      <c r="E33" s="458">
        <f t="shared" si="18"/>
        <v>4900.9987081081481</v>
      </c>
      <c r="F33" s="458">
        <f t="shared" ca="1" si="18"/>
        <v>85109.15809952101</v>
      </c>
      <c r="G33" s="458">
        <f t="shared" si="18"/>
        <v>126307.6352759142</v>
      </c>
      <c r="H33" s="458">
        <f t="shared" si="18"/>
        <v>20239.69672073851</v>
      </c>
      <c r="I33" s="458">
        <f t="shared" si="18"/>
        <v>0</v>
      </c>
      <c r="J33" s="458">
        <f t="shared" si="18"/>
        <v>1661.7855287475015</v>
      </c>
      <c r="K33" s="458">
        <f t="shared" si="18"/>
        <v>0</v>
      </c>
      <c r="L33" s="458">
        <f t="shared" ca="1" si="18"/>
        <v>0</v>
      </c>
      <c r="M33" s="458">
        <f t="shared" si="18"/>
        <v>0</v>
      </c>
      <c r="N33" s="458">
        <f t="shared" ca="1" si="18"/>
        <v>0</v>
      </c>
      <c r="O33" s="458">
        <f t="shared" si="18"/>
        <v>0</v>
      </c>
      <c r="P33" s="458">
        <f t="shared" si="18"/>
        <v>0</v>
      </c>
      <c r="Q33" s="458">
        <f t="shared" ca="1" si="18"/>
        <v>454684.10943973687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548</v>
      </c>
      <c r="B1" s="1169" t="s">
        <v>796</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797</v>
      </c>
      <c r="C4" s="921" t="s">
        <v>798</v>
      </c>
      <c r="D4" s="922" t="s">
        <v>799</v>
      </c>
      <c r="E4" s="923" t="s">
        <v>800</v>
      </c>
      <c r="F4" s="923" t="s">
        <v>801</v>
      </c>
      <c r="G4" s="924" t="s">
        <v>804</v>
      </c>
      <c r="H4" s="924" t="s">
        <v>804</v>
      </c>
      <c r="I4" s="924" t="s">
        <v>804</v>
      </c>
      <c r="J4" s="923" t="s">
        <v>803</v>
      </c>
      <c r="K4" s="924" t="s">
        <v>804</v>
      </c>
      <c r="L4" s="924" t="s">
        <v>804</v>
      </c>
      <c r="M4" s="924" t="s">
        <v>804</v>
      </c>
      <c r="N4" s="923" t="s">
        <v>805</v>
      </c>
      <c r="O4" s="925" t="s">
        <v>806</v>
      </c>
      <c r="P4" s="926" t="s">
        <v>807</v>
      </c>
      <c r="Q4" s="927"/>
    </row>
    <row r="5" spans="1:17" ht="124.35" customHeight="1">
      <c r="A5" s="928" t="s">
        <v>149</v>
      </c>
      <c r="B5" s="929" t="s">
        <v>808</v>
      </c>
      <c r="C5" s="930" t="s">
        <v>809</v>
      </c>
      <c r="D5" s="930" t="s">
        <v>810</v>
      </c>
      <c r="E5" s="931" t="s">
        <v>811</v>
      </c>
      <c r="F5" s="931" t="s">
        <v>812</v>
      </c>
      <c r="G5" s="932" t="s">
        <v>804</v>
      </c>
      <c r="H5" s="932" t="s">
        <v>804</v>
      </c>
      <c r="I5" s="932" t="s">
        <v>804</v>
      </c>
      <c r="J5" s="931" t="s">
        <v>813</v>
      </c>
      <c r="K5" s="929" t="s">
        <v>814</v>
      </c>
      <c r="L5" s="932" t="s">
        <v>804</v>
      </c>
      <c r="M5" s="932" t="s">
        <v>804</v>
      </c>
      <c r="N5" s="931" t="s">
        <v>815</v>
      </c>
      <c r="O5" s="933" t="s">
        <v>806</v>
      </c>
      <c r="P5" s="934" t="s">
        <v>807</v>
      </c>
      <c r="Q5" s="935"/>
    </row>
    <row r="6" spans="1:17" ht="124.35" customHeight="1">
      <c r="A6" s="928" t="s">
        <v>187</v>
      </c>
      <c r="B6" s="936" t="s">
        <v>816</v>
      </c>
      <c r="C6" s="937" t="s">
        <v>802</v>
      </c>
      <c r="D6" s="932" t="s">
        <v>802</v>
      </c>
      <c r="E6" s="932" t="s">
        <v>802</v>
      </c>
      <c r="F6" s="932" t="s">
        <v>802</v>
      </c>
      <c r="G6" s="932" t="s">
        <v>802</v>
      </c>
      <c r="H6" s="932" t="s">
        <v>802</v>
      </c>
      <c r="I6" s="932" t="s">
        <v>802</v>
      </c>
      <c r="J6" s="932" t="s">
        <v>802</v>
      </c>
      <c r="K6" s="932" t="s">
        <v>802</v>
      </c>
      <c r="L6" s="932" t="s">
        <v>802</v>
      </c>
      <c r="M6" s="932" t="s">
        <v>802</v>
      </c>
      <c r="N6" s="932" t="s">
        <v>802</v>
      </c>
      <c r="O6" s="938" t="s">
        <v>802</v>
      </c>
      <c r="P6" s="939" t="s">
        <v>802</v>
      </c>
      <c r="Q6" s="940"/>
    </row>
    <row r="7" spans="1:17" ht="124.35" customHeight="1">
      <c r="A7" s="928" t="s">
        <v>105</v>
      </c>
      <c r="B7" s="936" t="s">
        <v>816</v>
      </c>
      <c r="C7" s="930" t="s">
        <v>809</v>
      </c>
      <c r="D7" s="930" t="s">
        <v>810</v>
      </c>
      <c r="E7" s="931" t="s">
        <v>811</v>
      </c>
      <c r="F7" s="931" t="s">
        <v>812</v>
      </c>
      <c r="G7" s="932" t="s">
        <v>804</v>
      </c>
      <c r="H7" s="932" t="s">
        <v>804</v>
      </c>
      <c r="I7" s="932" t="s">
        <v>804</v>
      </c>
      <c r="J7" s="931" t="s">
        <v>813</v>
      </c>
      <c r="K7" s="932" t="s">
        <v>804</v>
      </c>
      <c r="L7" s="932" t="s">
        <v>804</v>
      </c>
      <c r="M7" s="932" t="s">
        <v>804</v>
      </c>
      <c r="N7" s="941" t="s">
        <v>804</v>
      </c>
      <c r="O7" s="937" t="s">
        <v>804</v>
      </c>
      <c r="P7" s="942" t="s">
        <v>804</v>
      </c>
      <c r="Q7" s="935"/>
    </row>
    <row r="8" spans="1:17" ht="124.35" customHeight="1">
      <c r="A8" s="928" t="s">
        <v>641</v>
      </c>
      <c r="B8" s="929" t="s">
        <v>817</v>
      </c>
      <c r="C8" s="930" t="s">
        <v>809</v>
      </c>
      <c r="D8" s="930" t="s">
        <v>810</v>
      </c>
      <c r="E8" s="931" t="s">
        <v>811</v>
      </c>
      <c r="F8" s="931" t="s">
        <v>812</v>
      </c>
      <c r="G8" s="932" t="s">
        <v>804</v>
      </c>
      <c r="H8" s="932" t="s">
        <v>804</v>
      </c>
      <c r="I8" s="932" t="s">
        <v>804</v>
      </c>
      <c r="J8" s="931" t="s">
        <v>813</v>
      </c>
      <c r="K8" s="929" t="s">
        <v>814</v>
      </c>
      <c r="L8" s="932" t="s">
        <v>804</v>
      </c>
      <c r="M8" s="932" t="s">
        <v>804</v>
      </c>
      <c r="N8" s="931" t="s">
        <v>815</v>
      </c>
      <c r="O8" s="933" t="s">
        <v>806</v>
      </c>
      <c r="P8" s="934" t="s">
        <v>807</v>
      </c>
      <c r="Q8" s="935"/>
    </row>
    <row r="9" spans="1:17" s="453" customFormat="1" ht="124.35" customHeight="1">
      <c r="A9" s="943" t="s">
        <v>559</v>
      </c>
      <c r="B9" s="931" t="s">
        <v>818</v>
      </c>
      <c r="C9" s="938" t="s">
        <v>802</v>
      </c>
      <c r="D9" s="931" t="s">
        <v>819</v>
      </c>
      <c r="E9" s="931" t="s">
        <v>820</v>
      </c>
      <c r="F9" s="932" t="s">
        <v>802</v>
      </c>
      <c r="G9" s="931" t="s">
        <v>821</v>
      </c>
      <c r="H9" s="931" t="s">
        <v>822</v>
      </c>
      <c r="I9" s="932" t="s">
        <v>802</v>
      </c>
      <c r="J9" s="932" t="s">
        <v>802</v>
      </c>
      <c r="K9" s="932" t="s">
        <v>802</v>
      </c>
      <c r="L9" s="932" t="s">
        <v>802</v>
      </c>
      <c r="M9" s="931" t="s">
        <v>818</v>
      </c>
      <c r="N9" s="932" t="s">
        <v>802</v>
      </c>
      <c r="O9" s="932" t="s">
        <v>802</v>
      </c>
      <c r="P9" s="944" t="s">
        <v>802</v>
      </c>
      <c r="Q9" s="945"/>
    </row>
    <row r="10" spans="1:17" ht="124.35" customHeight="1">
      <c r="A10" s="928" t="s">
        <v>549</v>
      </c>
      <c r="B10" s="929" t="s">
        <v>830</v>
      </c>
      <c r="C10" s="938" t="s">
        <v>802</v>
      </c>
      <c r="D10" s="938" t="s">
        <v>802</v>
      </c>
      <c r="E10" s="938" t="s">
        <v>802</v>
      </c>
      <c r="F10" s="932" t="s">
        <v>802</v>
      </c>
      <c r="G10" s="929" t="s">
        <v>823</v>
      </c>
      <c r="H10" s="932" t="s">
        <v>802</v>
      </c>
      <c r="I10" s="932" t="s">
        <v>802</v>
      </c>
      <c r="J10" s="932" t="s">
        <v>802</v>
      </c>
      <c r="K10" s="932" t="s">
        <v>802</v>
      </c>
      <c r="L10" s="932" t="s">
        <v>802</v>
      </c>
      <c r="M10" s="929" t="s">
        <v>824</v>
      </c>
      <c r="N10" s="932" t="s">
        <v>802</v>
      </c>
      <c r="O10" s="932" t="s">
        <v>802</v>
      </c>
      <c r="P10" s="944" t="s">
        <v>802</v>
      </c>
      <c r="Q10" s="935"/>
    </row>
    <row r="11" spans="1:17" ht="21">
      <c r="A11" s="928" t="s">
        <v>550</v>
      </c>
      <c r="B11" s="946" t="s">
        <v>825</v>
      </c>
      <c r="C11" s="946" t="s">
        <v>825</v>
      </c>
      <c r="D11" s="946" t="s">
        <v>825</v>
      </c>
      <c r="E11" s="946" t="s">
        <v>825</v>
      </c>
      <c r="F11" s="946" t="s">
        <v>825</v>
      </c>
      <c r="G11" s="946" t="s">
        <v>825</v>
      </c>
      <c r="H11" s="946" t="s">
        <v>825</v>
      </c>
      <c r="I11" s="946" t="s">
        <v>825</v>
      </c>
      <c r="J11" s="946" t="s">
        <v>825</v>
      </c>
      <c r="K11" s="946" t="s">
        <v>825</v>
      </c>
      <c r="L11" s="946" t="s">
        <v>825</v>
      </c>
      <c r="M11" s="946" t="s">
        <v>825</v>
      </c>
      <c r="N11" s="946" t="s">
        <v>825</v>
      </c>
      <c r="O11" s="946" t="s">
        <v>825</v>
      </c>
      <c r="P11" s="960" t="s">
        <v>825</v>
      </c>
      <c r="Q11" s="961"/>
    </row>
    <row r="12" spans="1:17" ht="21">
      <c r="A12" s="928" t="s">
        <v>551</v>
      </c>
      <c r="B12" s="946" t="s">
        <v>825</v>
      </c>
      <c r="C12" s="946" t="s">
        <v>802</v>
      </c>
      <c r="D12" s="946" t="s">
        <v>802</v>
      </c>
      <c r="E12" s="946" t="s">
        <v>802</v>
      </c>
      <c r="F12" s="946" t="s">
        <v>802</v>
      </c>
      <c r="G12" s="946" t="s">
        <v>802</v>
      </c>
      <c r="H12" s="946" t="s">
        <v>802</v>
      </c>
      <c r="I12" s="946" t="s">
        <v>802</v>
      </c>
      <c r="J12" s="946" t="s">
        <v>802</v>
      </c>
      <c r="K12" s="946" t="s">
        <v>802</v>
      </c>
      <c r="L12" s="946" t="s">
        <v>802</v>
      </c>
      <c r="M12" s="946" t="s">
        <v>802</v>
      </c>
      <c r="N12" s="946" t="s">
        <v>802</v>
      </c>
      <c r="O12" s="946" t="s">
        <v>802</v>
      </c>
      <c r="P12" s="947" t="s">
        <v>802</v>
      </c>
      <c r="Q12" s="449"/>
    </row>
    <row r="13" spans="1:17" ht="21">
      <c r="A13" s="928" t="s">
        <v>552</v>
      </c>
      <c r="B13" s="946" t="s">
        <v>825</v>
      </c>
      <c r="C13" s="946" t="s">
        <v>802</v>
      </c>
      <c r="D13" s="946" t="s">
        <v>825</v>
      </c>
      <c r="E13" s="946" t="s">
        <v>825</v>
      </c>
      <c r="F13" s="946" t="s">
        <v>802</v>
      </c>
      <c r="G13" s="946" t="s">
        <v>825</v>
      </c>
      <c r="H13" s="946" t="s">
        <v>825</v>
      </c>
      <c r="I13" s="946" t="s">
        <v>802</v>
      </c>
      <c r="J13" s="946" t="s">
        <v>802</v>
      </c>
      <c r="K13" s="946" t="s">
        <v>802</v>
      </c>
      <c r="L13" s="946" t="s">
        <v>802</v>
      </c>
      <c r="M13" s="946" t="s">
        <v>825</v>
      </c>
      <c r="N13" s="946" t="s">
        <v>802</v>
      </c>
      <c r="O13" s="946" t="s">
        <v>802</v>
      </c>
      <c r="P13" s="947" t="s">
        <v>802</v>
      </c>
      <c r="Q13" s="449"/>
    </row>
    <row r="14" spans="1:17" ht="30">
      <c r="A14" s="948" t="s">
        <v>841</v>
      </c>
      <c r="B14" s="936" t="s">
        <v>816</v>
      </c>
      <c r="C14" s="946" t="s">
        <v>802</v>
      </c>
      <c r="D14" s="936" t="s">
        <v>816</v>
      </c>
      <c r="E14" s="946" t="s">
        <v>802</v>
      </c>
      <c r="F14" s="946" t="s">
        <v>802</v>
      </c>
      <c r="G14" s="946" t="s">
        <v>802</v>
      </c>
      <c r="H14" s="946" t="s">
        <v>802</v>
      </c>
      <c r="I14" s="946" t="s">
        <v>802</v>
      </c>
      <c r="J14" s="946" t="s">
        <v>802</v>
      </c>
      <c r="K14" s="946" t="s">
        <v>802</v>
      </c>
      <c r="L14" s="946" t="s">
        <v>802</v>
      </c>
      <c r="M14" s="946" t="s">
        <v>802</v>
      </c>
      <c r="N14" s="946" t="s">
        <v>802</v>
      </c>
      <c r="O14" s="946" t="s">
        <v>802</v>
      </c>
      <c r="P14" s="960" t="s">
        <v>802</v>
      </c>
      <c r="Q14" s="1017"/>
    </row>
    <row r="15" spans="1:17" s="460" customFormat="1" ht="21">
      <c r="A15" s="949" t="s">
        <v>553</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826</v>
      </c>
      <c r="B18" s="957" t="s">
        <v>827</v>
      </c>
      <c r="C18" s="958" t="s">
        <v>828</v>
      </c>
      <c r="D18" s="959" t="s">
        <v>829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844</v>
      </c>
    </row>
    <row r="2" spans="1:16" ht="60">
      <c r="A2" s="1177"/>
      <c r="B2" s="1178"/>
      <c r="C2" s="1178"/>
      <c r="D2" s="1179" t="s">
        <v>190</v>
      </c>
      <c r="E2" s="1179"/>
      <c r="F2" s="1179"/>
      <c r="G2" s="1179"/>
      <c r="H2" s="1179"/>
      <c r="I2" s="1018" t="s">
        <v>845</v>
      </c>
      <c r="J2" s="1018" t="s">
        <v>223</v>
      </c>
      <c r="K2" s="1018" t="s">
        <v>846</v>
      </c>
      <c r="L2" s="1018" t="s">
        <v>838</v>
      </c>
      <c r="M2" s="1018" t="s">
        <v>234</v>
      </c>
      <c r="N2" s="1018" t="s">
        <v>847</v>
      </c>
      <c r="O2" s="1018" t="s">
        <v>120</v>
      </c>
      <c r="P2" s="1178"/>
    </row>
    <row r="3" spans="1:16" ht="30">
      <c r="A3" s="1177"/>
      <c r="B3" s="1018" t="s">
        <v>848</v>
      </c>
      <c r="C3" s="1018" t="s">
        <v>849</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15825.32915</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22393.095567563796</v>
      </c>
      <c r="C6" s="1020"/>
      <c r="D6" s="1020"/>
      <c r="E6" s="1020"/>
      <c r="F6" s="1020"/>
      <c r="G6" s="1020"/>
      <c r="H6" s="1020"/>
      <c r="I6" s="1020"/>
      <c r="J6" s="1020"/>
      <c r="K6" s="1020"/>
      <c r="L6" s="1020"/>
      <c r="M6" s="1020"/>
      <c r="N6" s="1020"/>
      <c r="O6" s="1020"/>
      <c r="P6" s="1021">
        <f>'SEAP template'!Q74</f>
        <v>0</v>
      </c>
    </row>
    <row r="7" spans="1:16">
      <c r="A7" s="1022" t="s">
        <v>838</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2226.15</v>
      </c>
      <c r="D8" s="1020">
        <f>'SEAP template'!D76</f>
        <v>2619.0000000000005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529.03800000000012</v>
      </c>
    </row>
    <row r="9" spans="1:16">
      <c r="A9" s="1023" t="s">
        <v>850</v>
      </c>
      <c r="B9" s="1020">
        <f>'SEAP template'!B77</f>
        <v>1237.5</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3535.7142857142858</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39455.924717563794</v>
      </c>
      <c r="C10" s="1024">
        <f>SUM(C4:C9)</f>
        <v>2226.15</v>
      </c>
      <c r="D10" s="1024">
        <f t="shared" ref="D10:H10" si="0">SUM(D8:D9)</f>
        <v>2619.0000000000005</v>
      </c>
      <c r="E10" s="1024">
        <f t="shared" si="0"/>
        <v>0</v>
      </c>
      <c r="F10" s="1024">
        <f t="shared" si="0"/>
        <v>0</v>
      </c>
      <c r="G10" s="1024">
        <f t="shared" si="0"/>
        <v>0</v>
      </c>
      <c r="H10" s="1024">
        <f t="shared" si="0"/>
        <v>0</v>
      </c>
      <c r="I10" s="1024">
        <f>SUM(I8:I9)</f>
        <v>0</v>
      </c>
      <c r="J10" s="1024">
        <f>SUM(J8:J9)</f>
        <v>3535.7142857142858</v>
      </c>
      <c r="K10" s="1024">
        <f t="shared" ref="K10:L10" si="1">SUM(K8:K9)</f>
        <v>0</v>
      </c>
      <c r="L10" s="1024">
        <f t="shared" si="1"/>
        <v>0</v>
      </c>
      <c r="M10" s="1024">
        <f>SUM(M8:M9)</f>
        <v>0</v>
      </c>
      <c r="N10" s="1024">
        <f>SUM(N8:N9)</f>
        <v>0</v>
      </c>
      <c r="O10" s="1024">
        <f>SUM(O8:O9)</f>
        <v>0</v>
      </c>
      <c r="P10" s="1024">
        <f>SUM(P8:P9)</f>
        <v>529.03800000000012</v>
      </c>
    </row>
    <row r="11" spans="1:16">
      <c r="A11" s="878"/>
      <c r="B11" s="878"/>
      <c r="C11" s="878"/>
      <c r="D11" s="878"/>
      <c r="E11" s="878"/>
      <c r="F11" s="878"/>
      <c r="G11" s="878"/>
      <c r="H11" s="878"/>
      <c r="I11" s="878"/>
      <c r="J11" s="878"/>
      <c r="K11" s="878"/>
      <c r="L11" s="878"/>
      <c r="M11" s="878"/>
      <c r="N11" s="878"/>
      <c r="O11" s="878"/>
      <c r="P11" s="878"/>
    </row>
    <row r="12" spans="1:16">
      <c r="A12" s="461" t="s">
        <v>851</v>
      </c>
      <c r="B12" s="767" t="s">
        <v>852</v>
      </c>
      <c r="C12" s="767">
        <f ca="1">'EF ele_warmte'!B12</f>
        <v>0.20016661037863342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853</v>
      </c>
    </row>
    <row r="15" spans="1:16">
      <c r="A15" s="1177"/>
      <c r="B15" s="1178"/>
      <c r="C15" s="1178"/>
      <c r="D15" s="1180" t="s">
        <v>190</v>
      </c>
      <c r="E15" s="1180"/>
      <c r="F15" s="1180"/>
      <c r="G15" s="1180"/>
      <c r="H15" s="1180"/>
      <c r="I15" s="1178" t="s">
        <v>845</v>
      </c>
      <c r="J15" s="1178" t="s">
        <v>223</v>
      </c>
      <c r="K15" s="1178" t="s">
        <v>846</v>
      </c>
      <c r="L15" s="1178" t="s">
        <v>838</v>
      </c>
      <c r="M15" s="1178" t="s">
        <v>234</v>
      </c>
      <c r="N15" s="1178" t="s">
        <v>854</v>
      </c>
      <c r="O15" s="1178" t="s">
        <v>120</v>
      </c>
      <c r="P15" s="1178"/>
    </row>
    <row r="16" spans="1:16" ht="30">
      <c r="A16" s="1177"/>
      <c r="B16" s="1018" t="s">
        <v>855</v>
      </c>
      <c r="C16" s="1018" t="s">
        <v>856</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3180.2142857142858</v>
      </c>
      <c r="D17" s="1021">
        <f>'SEAP template'!D87</f>
        <v>3741.428571428572</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755.76857142857159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857</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3180.2142857142858</v>
      </c>
      <c r="D20" s="1024">
        <f t="shared" ref="D20:H20" si="2">SUM(D17:D19)</f>
        <v>3741.428571428572</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755.76857142857159</v>
      </c>
    </row>
    <row r="22" spans="1:16">
      <c r="A22" s="461" t="s">
        <v>858</v>
      </c>
      <c r="B22" s="767" t="s">
        <v>852</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844</v>
      </c>
    </row>
    <row r="2" spans="1:16" ht="15.75">
      <c r="A2" s="1177"/>
      <c r="B2" s="1178"/>
      <c r="C2" s="1178"/>
      <c r="D2" s="1179" t="s">
        <v>190</v>
      </c>
      <c r="E2" s="1179"/>
      <c r="F2" s="1179"/>
      <c r="G2" s="1179"/>
      <c r="H2" s="1179"/>
      <c r="I2" s="1018" t="s">
        <v>845</v>
      </c>
      <c r="J2" s="1018" t="s">
        <v>223</v>
      </c>
      <c r="K2" s="1018" t="s">
        <v>846</v>
      </c>
      <c r="L2" s="1018" t="s">
        <v>838</v>
      </c>
      <c r="M2" s="1018" t="s">
        <v>234</v>
      </c>
      <c r="N2" s="1018" t="s">
        <v>847</v>
      </c>
      <c r="O2" s="1018" t="s">
        <v>120</v>
      </c>
      <c r="P2" s="1178"/>
    </row>
    <row r="3" spans="1:16" ht="30">
      <c r="A3" s="1177"/>
      <c r="B3" s="1018" t="s">
        <v>848</v>
      </c>
      <c r="C3" s="1018" t="s">
        <v>849</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859</v>
      </c>
      <c r="C4" s="1031" t="s">
        <v>802</v>
      </c>
      <c r="D4" s="1031" t="s">
        <v>802</v>
      </c>
      <c r="E4" s="1031" t="s">
        <v>802</v>
      </c>
      <c r="F4" s="1031" t="s">
        <v>802</v>
      </c>
      <c r="G4" s="1031" t="s">
        <v>802</v>
      </c>
      <c r="H4" s="1031" t="s">
        <v>802</v>
      </c>
      <c r="I4" s="1031" t="s">
        <v>802</v>
      </c>
      <c r="J4" s="1031" t="s">
        <v>802</v>
      </c>
      <c r="K4" s="1031" t="s">
        <v>802</v>
      </c>
      <c r="L4" s="1031" t="s">
        <v>802</v>
      </c>
      <c r="M4" s="1031" t="s">
        <v>802</v>
      </c>
      <c r="N4" s="1031" t="s">
        <v>802</v>
      </c>
      <c r="O4" s="1031" t="s">
        <v>802</v>
      </c>
      <c r="P4" s="1032" t="s">
        <v>860</v>
      </c>
    </row>
    <row r="5" spans="1:16" ht="135">
      <c r="A5" s="1033" t="s">
        <v>239</v>
      </c>
      <c r="B5" s="1030" t="s">
        <v>859</v>
      </c>
      <c r="C5" s="1031" t="s">
        <v>802</v>
      </c>
      <c r="D5" s="1031" t="s">
        <v>802</v>
      </c>
      <c r="E5" s="1031" t="s">
        <v>802</v>
      </c>
      <c r="F5" s="1031" t="s">
        <v>802</v>
      </c>
      <c r="G5" s="1031" t="s">
        <v>802</v>
      </c>
      <c r="H5" s="1031" t="s">
        <v>802</v>
      </c>
      <c r="I5" s="1031" t="s">
        <v>802</v>
      </c>
      <c r="J5" s="1031" t="s">
        <v>802</v>
      </c>
      <c r="K5" s="1031" t="s">
        <v>802</v>
      </c>
      <c r="L5" s="1031" t="s">
        <v>802</v>
      </c>
      <c r="M5" s="1031" t="s">
        <v>802</v>
      </c>
      <c r="N5" s="1031" t="s">
        <v>802</v>
      </c>
      <c r="O5" s="1031" t="s">
        <v>802</v>
      </c>
      <c r="P5" s="1032" t="s">
        <v>860</v>
      </c>
    </row>
    <row r="6" spans="1:16" ht="135">
      <c r="A6" s="1033" t="s">
        <v>240</v>
      </c>
      <c r="B6" s="1030" t="s">
        <v>859</v>
      </c>
      <c r="C6" s="1031" t="s">
        <v>802</v>
      </c>
      <c r="D6" s="1031" t="s">
        <v>802</v>
      </c>
      <c r="E6" s="1031" t="s">
        <v>802</v>
      </c>
      <c r="F6" s="1031" t="s">
        <v>802</v>
      </c>
      <c r="G6" s="1031" t="s">
        <v>802</v>
      </c>
      <c r="H6" s="1031" t="s">
        <v>802</v>
      </c>
      <c r="I6" s="1031" t="s">
        <v>802</v>
      </c>
      <c r="J6" s="1031" t="s">
        <v>802</v>
      </c>
      <c r="K6" s="1031" t="s">
        <v>802</v>
      </c>
      <c r="L6" s="1031" t="s">
        <v>802</v>
      </c>
      <c r="M6" s="1031" t="s">
        <v>802</v>
      </c>
      <c r="N6" s="1031" t="s">
        <v>802</v>
      </c>
      <c r="O6" s="1031" t="s">
        <v>802</v>
      </c>
      <c r="P6" s="1032" t="s">
        <v>860</v>
      </c>
    </row>
    <row r="7" spans="1:16" ht="135">
      <c r="A7" s="1033" t="s">
        <v>838</v>
      </c>
      <c r="B7" s="1031" t="s">
        <v>802</v>
      </c>
      <c r="C7" s="1031" t="s">
        <v>802</v>
      </c>
      <c r="D7" s="1031" t="s">
        <v>802</v>
      </c>
      <c r="E7" s="1031" t="s">
        <v>802</v>
      </c>
      <c r="F7" s="1031" t="s">
        <v>802</v>
      </c>
      <c r="G7" s="1031" t="s">
        <v>802</v>
      </c>
      <c r="H7" s="1031" t="s">
        <v>802</v>
      </c>
      <c r="I7" s="1031" t="s">
        <v>802</v>
      </c>
      <c r="J7" s="1031" t="s">
        <v>802</v>
      </c>
      <c r="K7" s="1031" t="s">
        <v>802</v>
      </c>
      <c r="L7" s="1031" t="s">
        <v>802</v>
      </c>
      <c r="M7" s="1031" t="s">
        <v>802</v>
      </c>
      <c r="N7" s="1031" t="s">
        <v>802</v>
      </c>
      <c r="O7" s="1031" t="s">
        <v>802</v>
      </c>
      <c r="P7" s="1032" t="s">
        <v>860</v>
      </c>
    </row>
    <row r="8" spans="1:16" ht="210">
      <c r="A8" s="1029" t="s">
        <v>241</v>
      </c>
      <c r="B8" s="1030" t="s">
        <v>861</v>
      </c>
      <c r="C8" s="1030" t="s">
        <v>861</v>
      </c>
      <c r="D8" s="1030" t="s">
        <v>861</v>
      </c>
      <c r="E8" s="1030" t="s">
        <v>861</v>
      </c>
      <c r="F8" s="1030" t="s">
        <v>861</v>
      </c>
      <c r="G8" s="1030" t="s">
        <v>861</v>
      </c>
      <c r="H8" s="1030" t="s">
        <v>861</v>
      </c>
      <c r="I8" s="1030" t="s">
        <v>861</v>
      </c>
      <c r="J8" s="1030" t="s">
        <v>861</v>
      </c>
      <c r="K8" s="1031" t="s">
        <v>802</v>
      </c>
      <c r="L8" s="1031" t="s">
        <v>802</v>
      </c>
      <c r="M8" s="1031" t="s">
        <v>802</v>
      </c>
      <c r="N8" s="1030" t="s">
        <v>862</v>
      </c>
      <c r="O8" s="1030" t="s">
        <v>862</v>
      </c>
      <c r="P8" s="1034"/>
    </row>
    <row r="9" spans="1:16" ht="210">
      <c r="A9" s="1035" t="s">
        <v>850</v>
      </c>
      <c r="B9" s="1030" t="s">
        <v>862</v>
      </c>
      <c r="C9" s="1030" t="s">
        <v>862</v>
      </c>
      <c r="D9" s="1030" t="s">
        <v>862</v>
      </c>
      <c r="E9" s="1030" t="s">
        <v>862</v>
      </c>
      <c r="F9" s="1030" t="s">
        <v>862</v>
      </c>
      <c r="G9" s="1030" t="s">
        <v>862</v>
      </c>
      <c r="H9" s="1030" t="s">
        <v>862</v>
      </c>
      <c r="I9" s="1030" t="s">
        <v>862</v>
      </c>
      <c r="J9" s="1030" t="s">
        <v>862</v>
      </c>
      <c r="K9" s="1031" t="s">
        <v>802</v>
      </c>
      <c r="L9" s="1030" t="s">
        <v>862</v>
      </c>
      <c r="M9" s="1030" t="s">
        <v>862</v>
      </c>
      <c r="N9" s="1030" t="s">
        <v>862</v>
      </c>
      <c r="O9" s="1030" t="s">
        <v>862</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851</v>
      </c>
      <c r="B12" s="767" t="s">
        <v>852</v>
      </c>
      <c r="C12" s="1037" t="s">
        <v>863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853</v>
      </c>
    </row>
    <row r="15" spans="1:16">
      <c r="A15" s="1177"/>
      <c r="B15" s="1178"/>
      <c r="C15" s="1178"/>
      <c r="D15" s="1180" t="s">
        <v>190</v>
      </c>
      <c r="E15" s="1180"/>
      <c r="F15" s="1180"/>
      <c r="G15" s="1180"/>
      <c r="H15" s="1180"/>
      <c r="I15" s="1178" t="s">
        <v>845</v>
      </c>
      <c r="J15" s="1178" t="s">
        <v>223</v>
      </c>
      <c r="K15" s="1178" t="s">
        <v>846</v>
      </c>
      <c r="L15" s="1178" t="s">
        <v>838</v>
      </c>
      <c r="M15" s="1178" t="s">
        <v>234</v>
      </c>
      <c r="N15" s="1178" t="s">
        <v>854</v>
      </c>
      <c r="O15" s="1178" t="s">
        <v>120</v>
      </c>
      <c r="P15" s="1178"/>
    </row>
    <row r="16" spans="1:16" ht="30">
      <c r="A16" s="1177"/>
      <c r="B16" s="1018" t="s">
        <v>855</v>
      </c>
      <c r="C16" s="1018" t="s">
        <v>856</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862</v>
      </c>
      <c r="C17" s="1030" t="s">
        <v>862</v>
      </c>
      <c r="D17" s="1030" t="s">
        <v>862</v>
      </c>
      <c r="E17" s="1030" t="s">
        <v>862</v>
      </c>
      <c r="F17" s="1030" t="s">
        <v>862</v>
      </c>
      <c r="G17" s="1030" t="s">
        <v>862</v>
      </c>
      <c r="H17" s="1030" t="s">
        <v>862</v>
      </c>
      <c r="I17" s="1030" t="s">
        <v>862</v>
      </c>
      <c r="J17" s="1030" t="s">
        <v>862</v>
      </c>
      <c r="K17" s="1031" t="s">
        <v>802</v>
      </c>
      <c r="L17" s="1031" t="s">
        <v>802</v>
      </c>
      <c r="M17" s="1031" t="s">
        <v>802</v>
      </c>
      <c r="N17" s="1030" t="s">
        <v>862</v>
      </c>
      <c r="O17" s="1030" t="s">
        <v>862</v>
      </c>
      <c r="P17" s="1038"/>
    </row>
    <row r="18" spans="1:16" ht="45">
      <c r="A18" s="1027" t="s">
        <v>247</v>
      </c>
      <c r="B18" s="1032" t="s">
        <v>825</v>
      </c>
      <c r="C18" s="1032" t="s">
        <v>825</v>
      </c>
      <c r="D18" s="1032" t="s">
        <v>825</v>
      </c>
      <c r="E18" s="1032" t="s">
        <v>825</v>
      </c>
      <c r="F18" s="1032" t="s">
        <v>825</v>
      </c>
      <c r="G18" s="1032" t="s">
        <v>825</v>
      </c>
      <c r="H18" s="1032" t="s">
        <v>825</v>
      </c>
      <c r="I18" s="1032" t="s">
        <v>825</v>
      </c>
      <c r="J18" s="1032" t="s">
        <v>825</v>
      </c>
      <c r="K18" s="1032" t="s">
        <v>825</v>
      </c>
      <c r="L18" s="1032" t="s">
        <v>825</v>
      </c>
      <c r="M18" s="1032" t="s">
        <v>825</v>
      </c>
      <c r="N18" s="1032" t="s">
        <v>825</v>
      </c>
      <c r="O18" s="1032" t="s">
        <v>825</v>
      </c>
      <c r="P18" s="1032" t="s">
        <v>825</v>
      </c>
    </row>
    <row r="19" spans="1:16" ht="45">
      <c r="A19" s="1023" t="s">
        <v>857</v>
      </c>
      <c r="B19" s="1032" t="s">
        <v>825</v>
      </c>
      <c r="C19" s="1032" t="s">
        <v>825</v>
      </c>
      <c r="D19" s="1032" t="s">
        <v>825</v>
      </c>
      <c r="E19" s="1032" t="s">
        <v>825</v>
      </c>
      <c r="F19" s="1032" t="s">
        <v>825</v>
      </c>
      <c r="G19" s="1032" t="s">
        <v>825</v>
      </c>
      <c r="H19" s="1032" t="s">
        <v>825</v>
      </c>
      <c r="I19" s="1032" t="s">
        <v>825</v>
      </c>
      <c r="J19" s="1032" t="s">
        <v>825</v>
      </c>
      <c r="K19" s="1032" t="s">
        <v>825</v>
      </c>
      <c r="L19" s="1032" t="s">
        <v>825</v>
      </c>
      <c r="M19" s="1032" t="s">
        <v>825</v>
      </c>
      <c r="N19" s="1032" t="s">
        <v>825</v>
      </c>
      <c r="O19" s="1032" t="s">
        <v>825</v>
      </c>
      <c r="P19" s="1032" t="s">
        <v>825</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858</v>
      </c>
      <c r="B22" s="767" t="s">
        <v>852</v>
      </c>
      <c r="C22" s="1037" t="s">
        <v>864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576</v>
      </c>
      <c r="B6" s="75" t="s">
        <v>577</v>
      </c>
      <c r="C6" s="431" t="s">
        <v>560</v>
      </c>
    </row>
    <row r="7" spans="1:3">
      <c r="A7" s="125"/>
      <c r="B7" s="129"/>
      <c r="C7" s="122"/>
    </row>
    <row r="8" spans="1:3">
      <c r="A8" s="113" t="s">
        <v>579</v>
      </c>
      <c r="B8" s="75" t="s">
        <v>578</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613</v>
      </c>
    </row>
    <row r="13" spans="1:3">
      <c r="A13" s="141"/>
      <c r="B13" s="124"/>
      <c r="C13" s="297"/>
    </row>
    <row r="14" spans="1:3" s="11" customFormat="1">
      <c r="A14" s="113" t="s">
        <v>596</v>
      </c>
      <c r="B14" s="130" t="s">
        <v>597</v>
      </c>
      <c r="C14" s="131" t="s">
        <v>598</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608</v>
      </c>
      <c r="B4" s="464"/>
      <c r="C4" s="464"/>
      <c r="D4" s="464"/>
      <c r="E4" s="464"/>
      <c r="F4" s="464"/>
      <c r="G4" s="496"/>
      <c r="H4" s="496"/>
      <c r="I4" s="464"/>
      <c r="J4" s="464"/>
      <c r="K4" s="464"/>
      <c r="L4" s="464"/>
      <c r="M4" s="464"/>
      <c r="N4" s="464"/>
      <c r="O4" s="464"/>
      <c r="P4" s="464"/>
    </row>
    <row r="5" spans="1:16" outlineLevel="1">
      <c r="A5" s="671" t="s">
        <v>609</v>
      </c>
      <c r="B5" s="464"/>
      <c r="C5" s="464"/>
      <c r="D5" s="464"/>
      <c r="E5" s="464"/>
      <c r="F5" s="464"/>
      <c r="G5" s="496"/>
      <c r="H5" s="496"/>
      <c r="I5" s="464"/>
      <c r="J5" s="464"/>
      <c r="K5" s="464"/>
      <c r="L5" s="464"/>
      <c r="M5" s="464"/>
      <c r="N5" s="464"/>
      <c r="O5" s="464"/>
      <c r="P5" s="464"/>
    </row>
    <row r="6" spans="1:16" outlineLevel="1">
      <c r="A6" s="671" t="s">
        <v>610</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611</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612</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574</v>
      </c>
      <c r="B13" s="448"/>
      <c r="C13" s="468"/>
      <c r="D13" s="468"/>
      <c r="E13" s="468"/>
      <c r="F13" s="468"/>
      <c r="G13" s="468"/>
      <c r="H13" s="468"/>
      <c r="I13" s="468"/>
      <c r="J13" s="468"/>
      <c r="K13" s="468"/>
      <c r="L13" s="468"/>
      <c r="M13" s="468"/>
      <c r="N13" s="468"/>
      <c r="O13" s="768" t="s">
        <v>633</v>
      </c>
      <c r="P13" s="768" t="s">
        <v>632</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601</v>
      </c>
      <c r="B17" s="498">
        <f ca="1">'EF ele_warmte'!B12</f>
        <v>0.20016661037863342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662</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620</v>
      </c>
      <c r="B27" s="775">
        <f>B24*B25*B26</f>
        <v>0</v>
      </c>
      <c r="C27" s="489" t="s">
        <v>621</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620</v>
      </c>
      <c r="B35" s="774">
        <f>B31*B32*B33/1000-B31*B32*B33/1000/B34</f>
        <v>0</v>
      </c>
      <c r="C35" s="495" t="s">
        <v>621</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574</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601</v>
      </c>
      <c r="B17" s="498">
        <f ca="1">'EF ele_warmte'!B12</f>
        <v>0.20016661037863342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574</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592</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601</v>
      </c>
      <c r="B29" s="499">
        <f ca="1">'EF ele_warmte'!B12</f>
        <v>0.20016661037863342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562</v>
      </c>
      <c r="B10" s="501"/>
      <c r="C10" s="142" t="s">
        <v>175</v>
      </c>
      <c r="D10" s="145" t="s">
        <v>379</v>
      </c>
      <c r="I10" s="1190"/>
      <c r="K10" s="58"/>
    </row>
    <row r="11" spans="1:11" s="43" customFormat="1">
      <c r="A11" s="44" t="s">
        <v>563</v>
      </c>
      <c r="B11" s="47"/>
      <c r="D11" s="143" t="s">
        <v>380</v>
      </c>
      <c r="I11" s="1190"/>
      <c r="K11" s="58"/>
    </row>
    <row r="12" spans="1:11" s="43" customFormat="1">
      <c r="A12" s="44" t="s">
        <v>564</v>
      </c>
      <c r="B12" s="47"/>
      <c r="D12" s="143" t="s">
        <v>380</v>
      </c>
      <c r="I12" s="1190"/>
      <c r="K12" s="58"/>
    </row>
    <row r="13" spans="1:11" s="43" customFormat="1">
      <c r="A13" s="44"/>
      <c r="B13" s="448"/>
      <c r="D13" s="96"/>
      <c r="I13" s="1190"/>
    </row>
    <row r="14" spans="1:11" s="43" customFormat="1">
      <c r="A14" s="299" t="s">
        <v>561</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572</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562</v>
      </c>
      <c r="B31" s="501"/>
      <c r="C31" s="142" t="s">
        <v>175</v>
      </c>
      <c r="D31" s="145" t="s">
        <v>379</v>
      </c>
    </row>
    <row r="32" spans="1:11">
      <c r="A32" s="438" t="s">
        <v>563</v>
      </c>
      <c r="B32" s="47"/>
      <c r="C32" s="48"/>
      <c r="D32" s="143" t="s">
        <v>380</v>
      </c>
    </row>
    <row r="33" spans="1:11">
      <c r="A33" s="44"/>
      <c r="B33" s="48"/>
      <c r="C33" s="48"/>
      <c r="D33" s="143"/>
    </row>
    <row r="34" spans="1:11" s="43" customFormat="1">
      <c r="A34" s="299" t="s">
        <v>561</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565</v>
      </c>
      <c r="B50" s="47"/>
      <c r="C50" s="32"/>
      <c r="D50" s="144" t="s">
        <v>381</v>
      </c>
    </row>
    <row r="51" spans="1:4">
      <c r="A51" s="44" t="s">
        <v>566</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567</v>
      </c>
      <c r="B57" s="47"/>
      <c r="C57" s="32"/>
      <c r="D57" s="143" t="s">
        <v>148</v>
      </c>
    </row>
    <row r="58" spans="1:4">
      <c r="A58" s="44" t="s">
        <v>568</v>
      </c>
      <c r="B58" s="47"/>
      <c r="C58" s="32"/>
      <c r="D58" s="143" t="s">
        <v>149</v>
      </c>
    </row>
    <row r="59" spans="1:4">
      <c r="A59" s="44" t="s">
        <v>569</v>
      </c>
      <c r="B59" s="47"/>
      <c r="C59" s="48"/>
      <c r="D59" s="143" t="s">
        <v>377</v>
      </c>
    </row>
    <row r="60" spans="1:4">
      <c r="A60" s="44" t="s">
        <v>570</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587</v>
      </c>
      <c r="B1" s="636"/>
      <c r="C1" s="636"/>
      <c r="D1" s="636"/>
      <c r="E1" s="637"/>
    </row>
    <row r="2" spans="1:5">
      <c r="A2" s="648" t="s">
        <v>382</v>
      </c>
      <c r="B2" s="653" t="s">
        <v>510</v>
      </c>
      <c r="C2" s="649"/>
      <c r="D2" s="649"/>
      <c r="E2" s="650"/>
    </row>
    <row r="3" spans="1:5">
      <c r="A3" s="651"/>
      <c r="B3" s="652"/>
      <c r="C3" s="640"/>
      <c r="D3" s="640"/>
      <c r="E3" s="641"/>
    </row>
    <row r="4" spans="1:5" s="327" customFormat="1" ht="45">
      <c r="A4" s="639" t="s">
        <v>591</v>
      </c>
      <c r="B4" s="647" t="s">
        <v>580</v>
      </c>
      <c r="C4" s="668" t="s">
        <v>602</v>
      </c>
      <c r="D4" s="669" t="s">
        <v>603</v>
      </c>
      <c r="E4" s="670" t="s">
        <v>604</v>
      </c>
    </row>
    <row r="5" spans="1:5">
      <c r="A5" s="642" t="s">
        <v>581</v>
      </c>
      <c r="B5" s="634" t="s">
        <v>582</v>
      </c>
      <c r="C5" s="665">
        <v>3.678273E-2</v>
      </c>
      <c r="D5" s="666">
        <v>0.27778000000000003</v>
      </c>
      <c r="E5" s="658">
        <f>C5*D5</f>
        <v>1.0217506739400001E-2</v>
      </c>
    </row>
    <row r="6" spans="1:5">
      <c r="A6" s="642" t="s">
        <v>581</v>
      </c>
      <c r="B6" s="634" t="s">
        <v>583</v>
      </c>
      <c r="C6" s="665">
        <v>4.2278999999999997E-2</v>
      </c>
      <c r="D6" s="666">
        <v>0.27778000000000003</v>
      </c>
      <c r="E6" s="658">
        <f t="shared" ref="E6:E21" si="0">C6*D6</f>
        <v>1.174426062E-2</v>
      </c>
    </row>
    <row r="7" spans="1:5">
      <c r="A7" s="642" t="s">
        <v>581</v>
      </c>
      <c r="B7" s="634" t="s">
        <v>584</v>
      </c>
      <c r="C7" s="665">
        <v>42.279000000000003</v>
      </c>
      <c r="D7" s="666">
        <v>0.27778000000000003</v>
      </c>
      <c r="E7" s="658">
        <f t="shared" si="0"/>
        <v>11.744260620000002</v>
      </c>
    </row>
    <row r="8" spans="1:5">
      <c r="A8" s="642" t="s">
        <v>585</v>
      </c>
      <c r="B8" s="634" t="s">
        <v>582</v>
      </c>
      <c r="C8" s="665">
        <v>3.8573799999999998E-2</v>
      </c>
      <c r="D8" s="666">
        <v>0.27778000000000003</v>
      </c>
      <c r="E8" s="658">
        <f t="shared" si="0"/>
        <v>1.0715030164E-2</v>
      </c>
    </row>
    <row r="9" spans="1:5">
      <c r="A9" s="642" t="s">
        <v>585</v>
      </c>
      <c r="B9" s="634" t="s">
        <v>583</v>
      </c>
      <c r="C9" s="665">
        <v>4.0604000000000001E-2</v>
      </c>
      <c r="D9" s="666">
        <v>0.27778000000000003</v>
      </c>
      <c r="E9" s="658">
        <f t="shared" si="0"/>
        <v>1.1278979120000001E-2</v>
      </c>
    </row>
    <row r="10" spans="1:5">
      <c r="A10" s="642" t="s">
        <v>585</v>
      </c>
      <c r="B10" s="634" t="s">
        <v>584</v>
      </c>
      <c r="C10" s="665">
        <v>40.603999999999999</v>
      </c>
      <c r="D10" s="666">
        <v>0.27778000000000003</v>
      </c>
      <c r="E10" s="658">
        <f t="shared" si="0"/>
        <v>11.278979120000001</v>
      </c>
    </row>
    <row r="11" spans="1:5">
      <c r="A11" s="642" t="s">
        <v>605</v>
      </c>
      <c r="B11" s="634" t="s">
        <v>582</v>
      </c>
      <c r="C11" s="665">
        <v>2.3511000000000001E-2</v>
      </c>
      <c r="D11" s="666">
        <v>0.27778000000000003</v>
      </c>
      <c r="E11" s="658">
        <f t="shared" si="0"/>
        <v>6.5308855800000004E-3</v>
      </c>
    </row>
    <row r="12" spans="1:5">
      <c r="A12" s="642" t="s">
        <v>605</v>
      </c>
      <c r="B12" s="634" t="s">
        <v>583</v>
      </c>
      <c r="C12" s="665">
        <v>4.6100000000000002E-2</v>
      </c>
      <c r="D12" s="666">
        <v>0.27778000000000003</v>
      </c>
      <c r="E12" s="658">
        <f t="shared" si="0"/>
        <v>1.2805658000000001E-2</v>
      </c>
    </row>
    <row r="13" spans="1:5">
      <c r="A13" s="642" t="s">
        <v>605</v>
      </c>
      <c r="B13" s="634" t="s">
        <v>584</v>
      </c>
      <c r="C13" s="665">
        <v>46.1</v>
      </c>
      <c r="D13" s="666">
        <v>0.27778000000000003</v>
      </c>
      <c r="E13" s="658">
        <f t="shared" si="0"/>
        <v>12.805658000000001</v>
      </c>
    </row>
    <row r="14" spans="1:5">
      <c r="A14" s="642" t="s">
        <v>606</v>
      </c>
      <c r="B14" s="634" t="s">
        <v>582</v>
      </c>
      <c r="C14" s="665">
        <v>2.6525139999999999E-2</v>
      </c>
      <c r="D14" s="666">
        <v>0.27778000000000003</v>
      </c>
      <c r="E14" s="658">
        <f t="shared" si="0"/>
        <v>7.3681533892000009E-3</v>
      </c>
    </row>
    <row r="15" spans="1:5">
      <c r="A15" s="642" t="s">
        <v>606</v>
      </c>
      <c r="B15" s="634" t="s">
        <v>583</v>
      </c>
      <c r="C15" s="665">
        <v>4.5733000000000003E-2</v>
      </c>
      <c r="D15" s="666">
        <v>0.27778000000000003</v>
      </c>
      <c r="E15" s="658">
        <f t="shared" si="0"/>
        <v>1.2703712740000001E-2</v>
      </c>
    </row>
    <row r="16" spans="1:5">
      <c r="A16" s="642" t="s">
        <v>606</v>
      </c>
      <c r="B16" s="634" t="s">
        <v>584</v>
      </c>
      <c r="C16" s="665">
        <v>45.732999999999997</v>
      </c>
      <c r="D16" s="666">
        <v>0.27778000000000003</v>
      </c>
      <c r="E16" s="658">
        <f t="shared" si="0"/>
        <v>12.70371274</v>
      </c>
    </row>
    <row r="17" spans="1:10">
      <c r="A17" s="642" t="s">
        <v>589</v>
      </c>
      <c r="B17" s="634" t="s">
        <v>586</v>
      </c>
      <c r="C17" s="665">
        <v>3.2923000000000001E-2</v>
      </c>
      <c r="D17" s="666">
        <f>0.27778</f>
        <v>0.27778000000000003</v>
      </c>
      <c r="E17" s="658">
        <f t="shared" si="0"/>
        <v>9.1453509400000015E-3</v>
      </c>
    </row>
    <row r="18" spans="1:10">
      <c r="A18" s="642" t="s">
        <v>590</v>
      </c>
      <c r="B18" s="634" t="s">
        <v>586</v>
      </c>
      <c r="C18" s="665">
        <v>3.8852400000000002E-2</v>
      </c>
      <c r="D18" s="666">
        <f>0.27778</f>
        <v>0.27778000000000003</v>
      </c>
      <c r="E18" s="658">
        <f t="shared" si="0"/>
        <v>1.0792419672000002E-2</v>
      </c>
    </row>
    <row r="19" spans="1:10">
      <c r="A19" s="642" t="s">
        <v>593</v>
      </c>
      <c r="B19" s="634" t="s">
        <v>582</v>
      </c>
      <c r="C19" s="665">
        <v>2.4812460000000001E-2</v>
      </c>
      <c r="D19" s="666">
        <v>0.27778000000000003</v>
      </c>
      <c r="E19" s="658">
        <f t="shared" si="0"/>
        <v>6.8924051388000009E-3</v>
      </c>
    </row>
    <row r="20" spans="1:10">
      <c r="A20" s="642" t="s">
        <v>593</v>
      </c>
      <c r="B20" s="634" t="s">
        <v>583</v>
      </c>
      <c r="C20" s="665">
        <v>4.5948999999999997E-2</v>
      </c>
      <c r="D20" s="666">
        <v>0.27778000000000003</v>
      </c>
      <c r="E20" s="658">
        <f t="shared" si="0"/>
        <v>1.276371322E-2</v>
      </c>
    </row>
    <row r="21" spans="1:10">
      <c r="A21" s="642" t="s">
        <v>593</v>
      </c>
      <c r="B21" s="634" t="s">
        <v>584</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588</v>
      </c>
      <c r="B24" s="636"/>
      <c r="C24" s="636"/>
      <c r="D24" s="636"/>
      <c r="E24" s="637"/>
    </row>
    <row r="25" spans="1:10">
      <c r="A25" s="662" t="s">
        <v>382</v>
      </c>
      <c r="B25" s="1041" t="s">
        <v>872</v>
      </c>
      <c r="C25" s="640"/>
      <c r="D25" s="640"/>
      <c r="E25" s="641"/>
    </row>
    <row r="26" spans="1:10">
      <c r="A26" s="44"/>
      <c r="B26" s="43"/>
      <c r="C26" s="43"/>
      <c r="D26" s="43"/>
      <c r="E26" s="96"/>
    </row>
    <row r="27" spans="1:10" s="327" customFormat="1">
      <c r="A27" s="639" t="s">
        <v>591</v>
      </c>
      <c r="B27" s="647" t="s">
        <v>580</v>
      </c>
      <c r="C27" s="655"/>
      <c r="D27" s="654"/>
      <c r="E27" s="670" t="s">
        <v>595</v>
      </c>
    </row>
    <row r="28" spans="1:10">
      <c r="A28" s="642" t="s">
        <v>195</v>
      </c>
      <c r="B28" s="634" t="s">
        <v>582</v>
      </c>
      <c r="C28" s="656"/>
      <c r="D28" s="657"/>
      <c r="E28" s="664">
        <f>E29*0.84</f>
        <v>9.962166666666666E-3</v>
      </c>
      <c r="G28" s="638"/>
      <c r="H28" s="778"/>
      <c r="I28" s="778"/>
      <c r="J28" s="778"/>
    </row>
    <row r="29" spans="1:10">
      <c r="A29" s="642" t="s">
        <v>195</v>
      </c>
      <c r="B29" s="634" t="s">
        <v>583</v>
      </c>
      <c r="C29" s="656"/>
      <c r="D29" s="657"/>
      <c r="E29" s="664">
        <f>0.042695/3.6</f>
        <v>1.1859722222222221E-2</v>
      </c>
      <c r="F29" s="894"/>
      <c r="G29" s="638"/>
      <c r="H29" s="778"/>
      <c r="I29" s="778"/>
      <c r="J29" s="778"/>
    </row>
    <row r="30" spans="1:10">
      <c r="A30" s="642" t="s">
        <v>113</v>
      </c>
      <c r="B30" s="634" t="s">
        <v>582</v>
      </c>
      <c r="C30" s="656"/>
      <c r="D30" s="657"/>
      <c r="E30" s="664">
        <f>E31*0.75</f>
        <v>9.1195833333333337E-3</v>
      </c>
      <c r="H30" s="778"/>
      <c r="I30" s="778"/>
      <c r="J30" s="778"/>
    </row>
    <row r="31" spans="1:10">
      <c r="A31" s="642" t="s">
        <v>113</v>
      </c>
      <c r="B31" s="634" t="s">
        <v>583</v>
      </c>
      <c r="C31" s="656"/>
      <c r="D31" s="657"/>
      <c r="E31" s="664">
        <f>0.043774/3.6</f>
        <v>1.2159444444444445E-2</v>
      </c>
      <c r="H31" s="778"/>
      <c r="I31" s="778"/>
      <c r="J31" s="778"/>
    </row>
    <row r="32" spans="1:10">
      <c r="A32" s="642" t="s">
        <v>593</v>
      </c>
      <c r="B32" s="634" t="s">
        <v>582</v>
      </c>
      <c r="C32" s="656"/>
      <c r="D32" s="657"/>
      <c r="E32" s="664">
        <f>E33*0.52</f>
        <v>6.7259111111111118E-3</v>
      </c>
      <c r="H32" s="778"/>
    </row>
    <row r="33" spans="1:8">
      <c r="A33" s="642" t="s">
        <v>593</v>
      </c>
      <c r="B33" s="634" t="s">
        <v>583</v>
      </c>
      <c r="C33" s="656"/>
      <c r="D33" s="657"/>
      <c r="E33" s="664">
        <f>0.046564/3.6</f>
        <v>1.2934444444444445E-2</v>
      </c>
      <c r="H33" s="778"/>
    </row>
    <row r="34" spans="1:8">
      <c r="A34" s="642" t="s">
        <v>594</v>
      </c>
      <c r="B34" s="634" t="s">
        <v>582</v>
      </c>
      <c r="C34" s="656"/>
      <c r="D34" s="657"/>
      <c r="E34" s="664">
        <f>E35*0.175</f>
        <v>2.3333333333333331E-3</v>
      </c>
      <c r="H34" s="778"/>
    </row>
    <row r="35" spans="1:8">
      <c r="A35" s="642" t="s">
        <v>594</v>
      </c>
      <c r="B35" s="634" t="s">
        <v>583</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607</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663</v>
      </c>
      <c r="C21" s="131" t="s">
        <v>575</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544</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544</v>
      </c>
      <c r="B4" s="327"/>
      <c r="C4" s="327"/>
      <c r="D4" s="327"/>
      <c r="E4" s="327"/>
      <c r="F4" s="327"/>
    </row>
    <row r="5" spans="1:6" ht="22.5">
      <c r="A5" s="1287" t="s">
        <v>545</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34321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625</v>
      </c>
      <c r="D12" s="328"/>
      <c r="E12" s="328"/>
      <c r="F12" s="332"/>
    </row>
    <row r="13" spans="1:6" ht="16.5" thickTop="1" thickBot="1">
      <c r="A13" s="1293" t="s">
        <v>4</v>
      </c>
      <c r="B13" s="1294" t="s">
        <v>5</v>
      </c>
      <c r="C13" s="1294"/>
      <c r="D13" s="1294"/>
      <c r="E13" s="1294"/>
      <c r="F13" s="1295"/>
    </row>
    <row r="14" spans="1:6">
      <c r="A14" s="1296" t="s">
        <v>921</v>
      </c>
      <c r="B14" s="1297">
        <v>3077</v>
      </c>
      <c r="C14" s="327"/>
      <c r="D14" s="327"/>
      <c r="E14" s="327"/>
      <c r="F14" s="327"/>
    </row>
    <row r="15" spans="1:6">
      <c r="A15" s="1296" t="s">
        <v>177</v>
      </c>
      <c r="B15" s="1297">
        <v>3863</v>
      </c>
      <c r="C15" s="327"/>
      <c r="D15" s="327"/>
      <c r="E15" s="327"/>
      <c r="F15" s="327"/>
    </row>
    <row r="16" spans="1:6">
      <c r="A16" s="1296" t="s">
        <v>6</v>
      </c>
      <c r="B16" s="1297">
        <v>543</v>
      </c>
      <c r="C16" s="327"/>
      <c r="D16" s="327"/>
      <c r="E16" s="327"/>
      <c r="F16" s="327"/>
    </row>
    <row r="17" spans="1:6">
      <c r="A17" s="1296" t="s">
        <v>7</v>
      </c>
      <c r="B17" s="1297">
        <v>330</v>
      </c>
      <c r="C17" s="327"/>
      <c r="D17" s="327"/>
      <c r="E17" s="327"/>
      <c r="F17" s="327"/>
    </row>
    <row r="18" spans="1:6">
      <c r="A18" s="1296" t="s">
        <v>8</v>
      </c>
      <c r="B18" s="1297">
        <v>581</v>
      </c>
      <c r="C18" s="327"/>
      <c r="D18" s="327"/>
      <c r="E18" s="327"/>
      <c r="F18" s="327"/>
    </row>
    <row r="19" spans="1:6">
      <c r="A19" s="1296" t="s">
        <v>9</v>
      </c>
      <c r="B19" s="1297">
        <v>539</v>
      </c>
      <c r="C19" s="327"/>
      <c r="D19" s="327"/>
      <c r="E19" s="327"/>
      <c r="F19" s="327"/>
    </row>
    <row r="20" spans="1:6">
      <c r="A20" s="1296" t="s">
        <v>10</v>
      </c>
      <c r="B20" s="1297">
        <v>509</v>
      </c>
      <c r="C20" s="327"/>
      <c r="D20" s="327"/>
      <c r="E20" s="327"/>
      <c r="F20" s="327"/>
    </row>
    <row r="21" spans="1:6">
      <c r="A21" s="1296" t="s">
        <v>11</v>
      </c>
      <c r="B21" s="1297">
        <v>1340</v>
      </c>
      <c r="C21" s="327"/>
      <c r="D21" s="327"/>
      <c r="E21" s="327"/>
      <c r="F21" s="327"/>
    </row>
    <row r="22" spans="1:6">
      <c r="A22" s="1296" t="s">
        <v>12</v>
      </c>
      <c r="B22" s="1297">
        <v>3682</v>
      </c>
      <c r="C22" s="327"/>
      <c r="D22" s="327"/>
      <c r="E22" s="327"/>
      <c r="F22" s="327"/>
    </row>
    <row r="23" spans="1:6">
      <c r="A23" s="1296" t="s">
        <v>13</v>
      </c>
      <c r="B23" s="1297">
        <v>37</v>
      </c>
      <c r="C23" s="327"/>
      <c r="D23" s="327"/>
      <c r="E23" s="327"/>
      <c r="F23" s="327"/>
    </row>
    <row r="24" spans="1:6">
      <c r="A24" s="1296" t="s">
        <v>14</v>
      </c>
      <c r="B24" s="1297">
        <v>3</v>
      </c>
      <c r="C24" s="327"/>
      <c r="D24" s="327"/>
      <c r="E24" s="327"/>
      <c r="F24" s="327"/>
    </row>
    <row r="25" spans="1:6">
      <c r="A25" s="1296" t="s">
        <v>15</v>
      </c>
      <c r="B25" s="1297">
        <v>356</v>
      </c>
      <c r="C25" s="327"/>
      <c r="D25" s="327"/>
      <c r="E25" s="327"/>
      <c r="F25" s="327"/>
    </row>
    <row r="26" spans="1:6">
      <c r="A26" s="1296" t="s">
        <v>16</v>
      </c>
      <c r="B26" s="1297">
        <v>1040</v>
      </c>
      <c r="C26" s="327"/>
      <c r="D26" s="327"/>
      <c r="E26" s="327"/>
      <c r="F26" s="327"/>
    </row>
    <row r="27" spans="1:6">
      <c r="A27" s="1296" t="s">
        <v>17</v>
      </c>
      <c r="B27" s="1297">
        <v>315</v>
      </c>
      <c r="C27" s="327"/>
      <c r="D27" s="327"/>
      <c r="E27" s="327"/>
      <c r="F27" s="327"/>
    </row>
    <row r="28" spans="1:6">
      <c r="A28" s="1296" t="s">
        <v>18</v>
      </c>
      <c r="B28" s="1298">
        <v>50185</v>
      </c>
      <c r="C28" s="327"/>
      <c r="D28" s="327"/>
      <c r="E28" s="327"/>
      <c r="F28" s="327"/>
    </row>
    <row r="29" spans="1:6">
      <c r="A29" s="1296" t="s">
        <v>922</v>
      </c>
      <c r="B29" s="1298">
        <v>461</v>
      </c>
      <c r="C29" s="327"/>
      <c r="D29" s="327"/>
      <c r="E29" s="327"/>
      <c r="F29" s="327"/>
    </row>
    <row r="30" spans="1:6">
      <c r="A30" s="1291" t="s">
        <v>923</v>
      </c>
      <c r="B30" s="1299">
        <v>134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48</v>
      </c>
      <c r="F36" s="1297">
        <v>3566171</v>
      </c>
    </row>
    <row r="37" spans="1:6">
      <c r="A37" s="1296" t="s">
        <v>24</v>
      </c>
      <c r="B37" s="1296" t="s">
        <v>27</v>
      </c>
      <c r="C37" s="1297">
        <v>0</v>
      </c>
      <c r="D37" s="1297">
        <v>0</v>
      </c>
      <c r="E37" s="1297">
        <v>3</v>
      </c>
      <c r="F37" s="1297">
        <v>92291</v>
      </c>
    </row>
    <row r="38" spans="1:6">
      <c r="A38" s="1296" t="s">
        <v>24</v>
      </c>
      <c r="B38" s="1296" t="s">
        <v>28</v>
      </c>
      <c r="C38" s="1297">
        <v>3</v>
      </c>
      <c r="D38" s="1297">
        <v>3920925</v>
      </c>
      <c r="E38" s="1297">
        <v>2</v>
      </c>
      <c r="F38" s="1297">
        <v>593108</v>
      </c>
    </row>
    <row r="39" spans="1:6">
      <c r="A39" s="1296" t="s">
        <v>29</v>
      </c>
      <c r="B39" s="1296" t="s">
        <v>30</v>
      </c>
      <c r="C39" s="1297">
        <v>22287</v>
      </c>
      <c r="D39" s="1297">
        <v>356398914</v>
      </c>
      <c r="E39" s="1297">
        <v>34708</v>
      </c>
      <c r="F39" s="1297">
        <v>123420812</v>
      </c>
    </row>
    <row r="40" spans="1:6">
      <c r="A40" s="1296" t="s">
        <v>29</v>
      </c>
      <c r="B40" s="1296" t="s">
        <v>28</v>
      </c>
      <c r="C40" s="1297">
        <v>0</v>
      </c>
      <c r="D40" s="1297">
        <v>0</v>
      </c>
      <c r="E40" s="1297">
        <v>0</v>
      </c>
      <c r="F40" s="1297">
        <v>0</v>
      </c>
    </row>
    <row r="41" spans="1:6">
      <c r="A41" s="1296" t="s">
        <v>31</v>
      </c>
      <c r="B41" s="1296" t="s">
        <v>32</v>
      </c>
      <c r="C41" s="1297">
        <v>240</v>
      </c>
      <c r="D41" s="1297">
        <v>17412949</v>
      </c>
      <c r="E41" s="1297">
        <v>576</v>
      </c>
      <c r="F41" s="1297">
        <v>32295413</v>
      </c>
    </row>
    <row r="42" spans="1:6">
      <c r="A42" s="1296" t="s">
        <v>31</v>
      </c>
      <c r="B42" s="1296" t="s">
        <v>33</v>
      </c>
      <c r="C42" s="1297">
        <v>4</v>
      </c>
      <c r="D42" s="1297">
        <v>683853</v>
      </c>
      <c r="E42" s="1297">
        <v>10</v>
      </c>
      <c r="F42" s="1297">
        <v>1458032</v>
      </c>
    </row>
    <row r="43" spans="1:6">
      <c r="A43" s="1296" t="s">
        <v>31</v>
      </c>
      <c r="B43" s="1296" t="s">
        <v>34</v>
      </c>
      <c r="C43" s="1297">
        <v>0</v>
      </c>
      <c r="D43" s="1297">
        <v>0</v>
      </c>
      <c r="E43" s="1297">
        <v>0</v>
      </c>
      <c r="F43" s="1297">
        <v>0</v>
      </c>
    </row>
    <row r="44" spans="1:6">
      <c r="A44" s="1296" t="s">
        <v>31</v>
      </c>
      <c r="B44" s="1296" t="s">
        <v>35</v>
      </c>
      <c r="C44" s="1297">
        <v>24</v>
      </c>
      <c r="D44" s="1297">
        <v>4373455</v>
      </c>
      <c r="E44" s="1297">
        <v>82</v>
      </c>
      <c r="F44" s="1297">
        <v>3957952</v>
      </c>
    </row>
    <row r="45" spans="1:6">
      <c r="A45" s="1296" t="s">
        <v>31</v>
      </c>
      <c r="B45" s="1296" t="s">
        <v>36</v>
      </c>
      <c r="C45" s="1297">
        <v>9</v>
      </c>
      <c r="D45" s="1297">
        <v>49772566</v>
      </c>
      <c r="E45" s="1297">
        <v>17</v>
      </c>
      <c r="F45" s="1297">
        <v>11911291</v>
      </c>
    </row>
    <row r="46" spans="1:6">
      <c r="A46" s="1296" t="s">
        <v>31</v>
      </c>
      <c r="B46" s="1296" t="s">
        <v>37</v>
      </c>
      <c r="C46" s="1297">
        <v>0</v>
      </c>
      <c r="D46" s="1297">
        <v>0</v>
      </c>
      <c r="E46" s="1297">
        <v>0</v>
      </c>
      <c r="F46" s="1297">
        <v>0</v>
      </c>
    </row>
    <row r="47" spans="1:6">
      <c r="A47" s="1296" t="s">
        <v>31</v>
      </c>
      <c r="B47" s="1296" t="s">
        <v>38</v>
      </c>
      <c r="C47" s="1297">
        <v>10</v>
      </c>
      <c r="D47" s="1297">
        <v>3533676</v>
      </c>
      <c r="E47" s="1297">
        <v>20</v>
      </c>
      <c r="F47" s="1297">
        <v>4053610</v>
      </c>
    </row>
    <row r="48" spans="1:6">
      <c r="A48" s="1296" t="s">
        <v>31</v>
      </c>
      <c r="B48" s="1296" t="s">
        <v>28</v>
      </c>
      <c r="C48" s="1297">
        <v>1</v>
      </c>
      <c r="D48" s="1297">
        <v>33754</v>
      </c>
      <c r="E48" s="1297">
        <v>2</v>
      </c>
      <c r="F48" s="1297">
        <v>64328</v>
      </c>
    </row>
    <row r="49" spans="1:6">
      <c r="A49" s="1296" t="s">
        <v>31</v>
      </c>
      <c r="B49" s="1296" t="s">
        <v>39</v>
      </c>
      <c r="C49" s="1297">
        <v>9</v>
      </c>
      <c r="D49" s="1297">
        <v>288610</v>
      </c>
      <c r="E49" s="1297">
        <v>18</v>
      </c>
      <c r="F49" s="1297">
        <v>418204</v>
      </c>
    </row>
    <row r="50" spans="1:6">
      <c r="A50" s="1296" t="s">
        <v>31</v>
      </c>
      <c r="B50" s="1296" t="s">
        <v>40</v>
      </c>
      <c r="C50" s="1297">
        <v>43</v>
      </c>
      <c r="D50" s="1297">
        <v>10565529</v>
      </c>
      <c r="E50" s="1297">
        <v>78</v>
      </c>
      <c r="F50" s="1297">
        <v>11567435</v>
      </c>
    </row>
    <row r="51" spans="1:6">
      <c r="A51" s="1296" t="s">
        <v>41</v>
      </c>
      <c r="B51" s="1296" t="s">
        <v>42</v>
      </c>
      <c r="C51" s="1297">
        <v>27</v>
      </c>
      <c r="D51" s="1297">
        <v>2775208</v>
      </c>
      <c r="E51" s="1297">
        <v>116</v>
      </c>
      <c r="F51" s="1297">
        <v>1854613</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360</v>
      </c>
      <c r="F54" s="1297">
        <v>5052121</v>
      </c>
    </row>
    <row r="55" spans="1:6">
      <c r="A55" s="1296" t="s">
        <v>45</v>
      </c>
      <c r="B55" s="1296" t="s">
        <v>28</v>
      </c>
      <c r="C55" s="1297">
        <v>0</v>
      </c>
      <c r="D55" s="1297">
        <v>0</v>
      </c>
      <c r="E55" s="1297">
        <v>0</v>
      </c>
      <c r="F55" s="1297">
        <v>0</v>
      </c>
    </row>
    <row r="56" spans="1:6">
      <c r="A56" s="1296" t="s">
        <v>47</v>
      </c>
      <c r="B56" s="1296" t="s">
        <v>28</v>
      </c>
      <c r="C56" s="1297">
        <v>807</v>
      </c>
      <c r="D56" s="1297">
        <v>104429768</v>
      </c>
      <c r="E56" s="1297">
        <v>1009</v>
      </c>
      <c r="F56" s="1297">
        <v>7682289</v>
      </c>
    </row>
    <row r="57" spans="1:6">
      <c r="A57" s="1296" t="s">
        <v>48</v>
      </c>
      <c r="B57" s="1296" t="s">
        <v>49</v>
      </c>
      <c r="C57" s="1297">
        <v>215</v>
      </c>
      <c r="D57" s="1297">
        <v>17712426</v>
      </c>
      <c r="E57" s="1297">
        <v>543</v>
      </c>
      <c r="F57" s="1297">
        <v>15481598</v>
      </c>
    </row>
    <row r="58" spans="1:6">
      <c r="A58" s="1296" t="s">
        <v>48</v>
      </c>
      <c r="B58" s="1296" t="s">
        <v>50</v>
      </c>
      <c r="C58" s="1297">
        <v>168</v>
      </c>
      <c r="D58" s="1297">
        <v>15969407</v>
      </c>
      <c r="E58" s="1297">
        <v>312</v>
      </c>
      <c r="F58" s="1297">
        <v>18896767</v>
      </c>
    </row>
    <row r="59" spans="1:6">
      <c r="A59" s="1296" t="s">
        <v>48</v>
      </c>
      <c r="B59" s="1296" t="s">
        <v>51</v>
      </c>
      <c r="C59" s="1297">
        <v>619</v>
      </c>
      <c r="D59" s="1297">
        <v>36781092</v>
      </c>
      <c r="E59" s="1297">
        <v>1354</v>
      </c>
      <c r="F59" s="1297">
        <v>63222522</v>
      </c>
    </row>
    <row r="60" spans="1:6">
      <c r="A60" s="1296" t="s">
        <v>48</v>
      </c>
      <c r="B60" s="1296" t="s">
        <v>52</v>
      </c>
      <c r="C60" s="1297">
        <v>248</v>
      </c>
      <c r="D60" s="1297">
        <v>17767270</v>
      </c>
      <c r="E60" s="1297">
        <v>414</v>
      </c>
      <c r="F60" s="1297">
        <v>18896925</v>
      </c>
    </row>
    <row r="61" spans="1:6">
      <c r="A61" s="1296" t="s">
        <v>48</v>
      </c>
      <c r="B61" s="1296" t="s">
        <v>53</v>
      </c>
      <c r="C61" s="1297">
        <v>822</v>
      </c>
      <c r="D61" s="1297">
        <v>71133639</v>
      </c>
      <c r="E61" s="1297">
        <v>2383</v>
      </c>
      <c r="F61" s="1297">
        <v>71826491</v>
      </c>
    </row>
    <row r="62" spans="1:6">
      <c r="A62" s="1296" t="s">
        <v>48</v>
      </c>
      <c r="B62" s="1296" t="s">
        <v>54</v>
      </c>
      <c r="C62" s="1297">
        <v>51</v>
      </c>
      <c r="D62" s="1297">
        <v>12053502</v>
      </c>
      <c r="E62" s="1297">
        <v>98</v>
      </c>
      <c r="F62" s="1297">
        <v>8485586</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2203329</v>
      </c>
      <c r="E65" s="1297">
        <v>0</v>
      </c>
      <c r="F65" s="1297">
        <v>0</v>
      </c>
    </row>
    <row r="66" spans="1:6">
      <c r="A66" s="1296" t="s">
        <v>55</v>
      </c>
      <c r="B66" s="1296" t="s">
        <v>57</v>
      </c>
      <c r="C66" s="1297">
        <v>3</v>
      </c>
      <c r="D66" s="1297">
        <v>51880</v>
      </c>
      <c r="E66" s="1297">
        <v>3</v>
      </c>
      <c r="F66" s="1297">
        <v>59717</v>
      </c>
    </row>
    <row r="67" spans="1:6">
      <c r="A67" s="1296" t="s">
        <v>55</v>
      </c>
      <c r="B67" s="1296" t="s">
        <v>58</v>
      </c>
      <c r="C67" s="1297">
        <v>0</v>
      </c>
      <c r="D67" s="1297">
        <v>0</v>
      </c>
      <c r="E67" s="1297">
        <v>0</v>
      </c>
      <c r="F67" s="1297">
        <v>0</v>
      </c>
    </row>
    <row r="68" spans="1:6">
      <c r="A68" s="1291" t="s">
        <v>55</v>
      </c>
      <c r="B68" s="1291" t="s">
        <v>59</v>
      </c>
      <c r="C68" s="1299">
        <v>19</v>
      </c>
      <c r="D68" s="1299">
        <v>2190423</v>
      </c>
      <c r="E68" s="1299">
        <v>37</v>
      </c>
      <c r="F68" s="1299">
        <v>1051856</v>
      </c>
    </row>
    <row r="69" spans="1:6" ht="15.75" thickBot="1">
      <c r="A69" s="331"/>
      <c r="B69" s="327"/>
      <c r="C69" s="327"/>
      <c r="D69" s="327"/>
      <c r="E69" s="327"/>
      <c r="F69" s="327"/>
    </row>
    <row r="70" spans="1:6" ht="19.5">
      <c r="A70" s="1288" t="s">
        <v>60</v>
      </c>
      <c r="B70" s="328" t="s">
        <v>397</v>
      </c>
      <c r="C70" s="328" t="s">
        <v>738</v>
      </c>
      <c r="D70" s="328"/>
      <c r="E70" s="328"/>
      <c r="F70" s="332"/>
    </row>
    <row r="71" spans="1:6" ht="20.25" thickBot="1">
      <c r="A71" s="1306"/>
      <c r="B71" s="1316"/>
      <c r="C71" s="1316"/>
      <c r="D71" s="1317" t="s">
        <v>438</v>
      </c>
      <c r="E71" s="1316"/>
      <c r="F71" s="334"/>
    </row>
    <row r="72" spans="1:6" ht="16.5" thickTop="1" thickBot="1">
      <c r="A72" s="1293" t="s">
        <v>61</v>
      </c>
      <c r="B72" s="1294" t="s">
        <v>62</v>
      </c>
      <c r="C72" s="1307" t="s">
        <v>705</v>
      </c>
      <c r="D72" s="1308"/>
      <c r="E72" s="1308"/>
      <c r="F72" s="1295"/>
    </row>
    <row r="73" spans="1:6">
      <c r="A73" s="1296" t="s">
        <v>63</v>
      </c>
      <c r="B73" s="1296" t="s">
        <v>706</v>
      </c>
      <c r="C73" s="1309" t="s">
        <v>707</v>
      </c>
      <c r="D73" s="1297">
        <v>352100326</v>
      </c>
      <c r="E73" s="446"/>
      <c r="F73" s="327"/>
    </row>
    <row r="74" spans="1:6">
      <c r="A74" s="1296" t="s">
        <v>63</v>
      </c>
      <c r="B74" s="1296" t="s">
        <v>708</v>
      </c>
      <c r="C74" s="1309" t="s">
        <v>709</v>
      </c>
      <c r="D74" s="1297">
        <v>24140879.317777142</v>
      </c>
      <c r="E74" s="446"/>
      <c r="F74" s="327"/>
    </row>
    <row r="75" spans="1:6">
      <c r="A75" s="1296" t="s">
        <v>64</v>
      </c>
      <c r="B75" s="1296" t="s">
        <v>706</v>
      </c>
      <c r="C75" s="1309" t="s">
        <v>710</v>
      </c>
      <c r="D75" s="1297">
        <v>95782256</v>
      </c>
      <c r="E75" s="446"/>
      <c r="F75" s="327"/>
    </row>
    <row r="76" spans="1:6">
      <c r="A76" s="1296" t="s">
        <v>64</v>
      </c>
      <c r="B76" s="1296" t="s">
        <v>708</v>
      </c>
      <c r="C76" s="1309" t="s">
        <v>711</v>
      </c>
      <c r="D76" s="1297">
        <v>240414.30000000002</v>
      </c>
      <c r="E76" s="446"/>
      <c r="F76" s="327"/>
    </row>
    <row r="77" spans="1:6">
      <c r="A77" s="1296" t="s">
        <v>65</v>
      </c>
      <c r="B77" s="1296" t="s">
        <v>706</v>
      </c>
      <c r="C77" s="1309" t="s">
        <v>712</v>
      </c>
      <c r="D77" s="1297">
        <v>210290184</v>
      </c>
      <c r="E77" s="446"/>
      <c r="F77" s="327"/>
    </row>
    <row r="78" spans="1:6">
      <c r="A78" s="1291" t="s">
        <v>65</v>
      </c>
      <c r="B78" s="1291" t="s">
        <v>708</v>
      </c>
      <c r="C78" s="1291" t="s">
        <v>713</v>
      </c>
      <c r="D78" s="1299">
        <v>22391907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4958093.3644457161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546</v>
      </c>
      <c r="B89" s="1297">
        <v>0</v>
      </c>
      <c r="C89" s="327"/>
      <c r="D89" s="327"/>
      <c r="E89" s="327"/>
      <c r="F89" s="327"/>
    </row>
    <row r="90" spans="1:6">
      <c r="A90" s="1296" t="s">
        <v>547</v>
      </c>
      <c r="B90" s="1297">
        <v>15825.32915</v>
      </c>
      <c r="C90" s="327"/>
      <c r="D90" s="327"/>
      <c r="E90" s="327"/>
      <c r="F90" s="327"/>
    </row>
    <row r="91" spans="1:6">
      <c r="A91" s="1296" t="s">
        <v>67</v>
      </c>
      <c r="B91" s="1297">
        <v>12617.189287280826</v>
      </c>
      <c r="C91" s="327"/>
      <c r="D91" s="327"/>
      <c r="E91" s="327"/>
      <c r="F91" s="327"/>
    </row>
    <row r="92" spans="1:6">
      <c r="A92" s="1291" t="s">
        <v>68</v>
      </c>
      <c r="B92" s="1292">
        <v>9775.9062802829721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12607</v>
      </c>
      <c r="C97" s="327"/>
      <c r="D97" s="327"/>
      <c r="E97" s="327"/>
      <c r="F97" s="327"/>
    </row>
    <row r="98" spans="1:6">
      <c r="A98" s="1296" t="s">
        <v>71</v>
      </c>
      <c r="B98" s="1297">
        <v>2</v>
      </c>
      <c r="C98" s="327"/>
      <c r="D98" s="327"/>
      <c r="E98" s="327"/>
      <c r="F98" s="327"/>
    </row>
    <row r="99" spans="1:6">
      <c r="A99" s="1296" t="s">
        <v>72</v>
      </c>
      <c r="B99" s="1297">
        <v>137</v>
      </c>
      <c r="C99" s="327"/>
      <c r="D99" s="327"/>
      <c r="E99" s="327"/>
      <c r="F99" s="327"/>
    </row>
    <row r="100" spans="1:6">
      <c r="A100" s="1296" t="s">
        <v>73</v>
      </c>
      <c r="B100" s="1297">
        <v>1808</v>
      </c>
      <c r="C100" s="327"/>
      <c r="D100" s="327"/>
      <c r="E100" s="327"/>
      <c r="F100" s="327"/>
    </row>
    <row r="101" spans="1:6">
      <c r="A101" s="1296" t="s">
        <v>74</v>
      </c>
      <c r="B101" s="1297">
        <v>132</v>
      </c>
      <c r="C101" s="327"/>
      <c r="D101" s="327"/>
      <c r="E101" s="327"/>
      <c r="F101" s="327"/>
    </row>
    <row r="102" spans="1:6">
      <c r="A102" s="1296" t="s">
        <v>75</v>
      </c>
      <c r="B102" s="1297">
        <v>416</v>
      </c>
      <c r="C102" s="327"/>
      <c r="D102" s="327"/>
      <c r="E102" s="327"/>
      <c r="F102" s="327"/>
    </row>
    <row r="103" spans="1:6">
      <c r="A103" s="1296" t="s">
        <v>76</v>
      </c>
      <c r="B103" s="1297">
        <v>298</v>
      </c>
      <c r="C103" s="327"/>
      <c r="D103" s="327"/>
      <c r="E103" s="327"/>
      <c r="F103" s="327"/>
    </row>
    <row r="104" spans="1:6">
      <c r="A104" s="1296" t="s">
        <v>77</v>
      </c>
      <c r="B104" s="1297">
        <v>12509</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653</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654</v>
      </c>
      <c r="B110" s="1297">
        <v>0</v>
      </c>
      <c r="C110" s="327"/>
      <c r="D110" s="327"/>
      <c r="E110" s="327"/>
      <c r="F110" s="327"/>
    </row>
    <row r="111" spans="1:6">
      <c r="A111" s="1314" t="s">
        <v>655</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52</v>
      </c>
      <c r="C123" s="1297">
        <v>49</v>
      </c>
      <c r="D123" s="327"/>
      <c r="E123" s="327"/>
      <c r="F123" s="327"/>
    </row>
    <row r="124" spans="1:6">
      <c r="A124" s="1296" t="s">
        <v>88</v>
      </c>
      <c r="B124" s="1297">
        <v>3</v>
      </c>
      <c r="C124" s="1297">
        <v>0</v>
      </c>
      <c r="D124" s="327"/>
      <c r="E124" s="327"/>
      <c r="F124" s="327"/>
    </row>
    <row r="125" spans="1:6">
      <c r="A125" s="1291" t="s">
        <v>881</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376</v>
      </c>
      <c r="C129" s="327"/>
      <c r="D129" s="327"/>
      <c r="E129" s="327"/>
      <c r="F129" s="327"/>
    </row>
    <row r="130" spans="1:6">
      <c r="A130" s="1296" t="s">
        <v>284</v>
      </c>
      <c r="B130" s="1297">
        <v>6</v>
      </c>
      <c r="C130" s="327"/>
      <c r="D130" s="327"/>
      <c r="E130" s="327"/>
      <c r="F130" s="327"/>
    </row>
    <row r="131" spans="1:6">
      <c r="A131" s="1296" t="s">
        <v>285</v>
      </c>
      <c r="B131" s="1297">
        <v>8</v>
      </c>
      <c r="C131" s="327"/>
      <c r="D131" s="327"/>
      <c r="E131" s="327"/>
      <c r="F131" s="327"/>
    </row>
    <row r="132" spans="1:6">
      <c r="A132" s="1291" t="s">
        <v>286</v>
      </c>
      <c r="B132" s="1292">
        <v>42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882</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882</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681</v>
      </c>
      <c r="B44" s="506"/>
      <c r="E44" s="638"/>
      <c r="F44" s="638"/>
    </row>
    <row r="45" spans="1:14">
      <c r="A45" s="44"/>
      <c r="B45" s="506"/>
      <c r="E45" s="638"/>
      <c r="F45" s="638"/>
    </row>
    <row r="46" spans="1:14" ht="18">
      <c r="A46" s="137" t="s">
        <v>183</v>
      </c>
      <c r="B46" s="507" t="s">
        <v>573</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624</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689</v>
      </c>
    </row>
    <row r="5" spans="1:3" ht="15.75" thickBot="1">
      <c r="A5" s="115" t="s">
        <v>623</v>
      </c>
      <c r="B5" s="526">
        <v>672355</v>
      </c>
      <c r="C5" s="140" t="s">
        <v>666</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416768.49856812024</v>
      </c>
      <c r="C3" s="43" t="s">
        <v>163</v>
      </c>
      <c r="D3" s="43"/>
      <c r="E3" s="156"/>
      <c r="F3" s="43"/>
      <c r="G3" s="43"/>
      <c r="H3" s="43"/>
      <c r="I3" s="43"/>
      <c r="J3" s="43"/>
      <c r="K3" s="96"/>
    </row>
    <row r="4" spans="1:11">
      <c r="A4" s="353" t="s">
        <v>164</v>
      </c>
      <c r="B4" s="49">
        <f>IF(ISERROR('SEAP template'!B78+'SEAP template'!C78),0,'SEAP template'!B78+'SEAP template'!C78)</f>
        <v>41682.074717563795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765</v>
      </c>
      <c r="G6" s="43" t="s">
        <v>768</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529.03800000000012</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0.20016661037863342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755.76857142857159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3180.2142857142858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705</v>
      </c>
      <c r="B1" s="871" t="s">
        <v>297</v>
      </c>
      <c r="C1" s="871" t="s">
        <v>301</v>
      </c>
      <c r="D1" s="871" t="s">
        <v>302</v>
      </c>
      <c r="E1" s="871" t="s">
        <v>303</v>
      </c>
      <c r="F1" s="871" t="s">
        <v>304</v>
      </c>
      <c r="G1" s="311"/>
      <c r="H1" s="1054" t="s">
        <v>894</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706</v>
      </c>
      <c r="C3" s="1053" t="s">
        <v>64</v>
      </c>
      <c r="D3" s="1053" t="s">
        <v>889</v>
      </c>
      <c r="E3" s="1053" t="s">
        <v>890</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706</v>
      </c>
      <c r="C4" s="1053" t="s">
        <v>63</v>
      </c>
      <c r="D4" s="1053" t="s">
        <v>889</v>
      </c>
      <c r="E4" s="1053" t="s">
        <v>890</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706</v>
      </c>
      <c r="C5" s="1053" t="s">
        <v>65</v>
      </c>
      <c r="D5" s="1053" t="s">
        <v>889</v>
      </c>
      <c r="E5" s="1053" t="s">
        <v>890</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706</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706</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706</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708</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708</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708</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714</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714</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714</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706</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706</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706</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706</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706</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706</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706</v>
      </c>
      <c r="C21" s="1053" t="s">
        <v>64</v>
      </c>
      <c r="D21" s="1053" t="s">
        <v>891</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706</v>
      </c>
      <c r="C22" s="1053" t="s">
        <v>64</v>
      </c>
      <c r="D22" s="1053" t="s">
        <v>891</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706</v>
      </c>
      <c r="C23" s="1053" t="s">
        <v>63</v>
      </c>
      <c r="D23" s="1053" t="s">
        <v>891</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706</v>
      </c>
      <c r="C24" s="1053" t="s">
        <v>63</v>
      </c>
      <c r="D24" s="1053" t="s">
        <v>891</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706</v>
      </c>
      <c r="C25" s="1053" t="s">
        <v>65</v>
      </c>
      <c r="D25" s="1053" t="s">
        <v>891</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706</v>
      </c>
      <c r="C26" s="1053" t="s">
        <v>65</v>
      </c>
      <c r="D26" s="1053" t="s">
        <v>891</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706</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706</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706</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706</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706</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706</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706</v>
      </c>
      <c r="C33" s="1053" t="s">
        <v>64</v>
      </c>
      <c r="D33" s="1053" t="s">
        <v>892</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706</v>
      </c>
      <c r="C34" s="1053" t="s">
        <v>63</v>
      </c>
      <c r="D34" s="1053" t="s">
        <v>892</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706</v>
      </c>
      <c r="C35" s="1053" t="s">
        <v>65</v>
      </c>
      <c r="D35" s="1053" t="s">
        <v>892</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706</v>
      </c>
      <c r="C36" s="1053" t="s">
        <v>64</v>
      </c>
      <c r="D36" s="1053" t="s">
        <v>893</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706</v>
      </c>
      <c r="C37" s="1053" t="s">
        <v>64</v>
      </c>
      <c r="D37" s="1053" t="s">
        <v>893</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706</v>
      </c>
      <c r="C38" s="1053" t="s">
        <v>63</v>
      </c>
      <c r="D38" s="1053" t="s">
        <v>893</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706</v>
      </c>
      <c r="C39" s="1053" t="s">
        <v>63</v>
      </c>
      <c r="D39" s="1053" t="s">
        <v>893</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706</v>
      </c>
      <c r="C40" s="1053" t="s">
        <v>65</v>
      </c>
      <c r="D40" s="1053" t="s">
        <v>893</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706</v>
      </c>
      <c r="C41" s="1053" t="s">
        <v>65</v>
      </c>
      <c r="D41" s="1053" t="s">
        <v>893</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708</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708</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708</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708</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708</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708</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714</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714</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714</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714</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714</v>
      </c>
      <c r="C52" s="1053" t="s">
        <v>64</v>
      </c>
      <c r="D52" s="1053" t="s">
        <v>891</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714</v>
      </c>
      <c r="C53" s="1053" t="s">
        <v>64</v>
      </c>
      <c r="D53" s="1053" t="s">
        <v>891</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714</v>
      </c>
      <c r="C54" s="1053" t="s">
        <v>63</v>
      </c>
      <c r="D54" s="1053" t="s">
        <v>891</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714</v>
      </c>
      <c r="C55" s="1053" t="s">
        <v>63</v>
      </c>
      <c r="D55" s="1053" t="s">
        <v>891</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673</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5052.1210000000001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5052.1210000000001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0.20016661037863342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1011.2659357927118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123420.81200000001</v>
      </c>
      <c r="C5" s="17">
        <f>IF(ISERROR('Eigen informatie GS &amp; warmtenet'!B57),0,'Eigen informatie GS &amp; warmtenet'!B57)</f>
        <v>0</v>
      </c>
      <c r="D5" s="30">
        <f>(SUM(HH_hh_gas_kWh,HH_rest_gas_kWh)/1000)*0.902</f>
        <v>321471.82042800001</v>
      </c>
      <c r="E5" s="17">
        <f>B32*B41</f>
        <v>7494.5482170605246</v>
      </c>
      <c r="F5" s="17">
        <f>B36*B45</f>
        <v>229673.9732088969</v>
      </c>
      <c r="G5" s="18"/>
      <c r="H5" s="17"/>
      <c r="I5" s="17"/>
      <c r="J5" s="17">
        <f>B35*B44+C35*C44</f>
        <v>4349.5677316436722</v>
      </c>
      <c r="K5" s="17"/>
      <c r="L5" s="17"/>
      <c r="M5" s="17"/>
      <c r="N5" s="17">
        <f>B34*B43+C34*C43</f>
        <v>53479.532006585112</v>
      </c>
      <c r="O5" s="17">
        <f>B52*B53*B54</f>
        <v>664.41666666666663</v>
      </c>
      <c r="P5" s="17">
        <f>B60*B61*B62/1000-B60*B61*B62/1000/B63</f>
        <v>1849.4666666666667</v>
      </c>
    </row>
    <row r="6" spans="1:16">
      <c r="A6" s="16" t="s">
        <v>619</v>
      </c>
      <c r="B6" s="769">
        <f>kWh_PV_kleiner_dan_10kW</f>
        <v>12617.189287280826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136038.00128728084</v>
      </c>
      <c r="C8" s="21">
        <f>C5</f>
        <v>0</v>
      </c>
      <c r="D8" s="21">
        <f>D5</f>
        <v>321471.82042800001</v>
      </c>
      <c r="E8" s="21">
        <f>E5</f>
        <v>7494.5482170605246</v>
      </c>
      <c r="F8" s="21">
        <f>F5</f>
        <v>229673.9732088969</v>
      </c>
      <c r="G8" s="21"/>
      <c r="H8" s="21"/>
      <c r="I8" s="21"/>
      <c r="J8" s="21">
        <f>J5</f>
        <v>4349.5677316436722</v>
      </c>
      <c r="K8" s="21"/>
      <c r="L8" s="21">
        <f>L5</f>
        <v>0</v>
      </c>
      <c r="M8" s="21">
        <f>M5</f>
        <v>0</v>
      </c>
      <c r="N8" s="21">
        <f>N5</f>
        <v>53479.532006585112</v>
      </c>
      <c r="O8" s="21">
        <f>O5</f>
        <v>664.41666666666663</v>
      </c>
      <c r="P8" s="21">
        <f>P5</f>
        <v>1849.4666666666667</v>
      </c>
    </row>
    <row r="9" spans="1:16">
      <c r="B9" s="19"/>
      <c r="C9" s="19"/>
      <c r="D9" s="257"/>
      <c r="E9" s="19"/>
      <c r="F9" s="19"/>
      <c r="G9" s="19"/>
      <c r="H9" s="19"/>
      <c r="I9" s="19"/>
      <c r="J9" s="19"/>
      <c r="K9" s="19"/>
      <c r="L9" s="19"/>
      <c r="M9" s="19"/>
      <c r="N9" s="19"/>
      <c r="O9" s="19"/>
      <c r="P9" s="19"/>
    </row>
    <row r="10" spans="1:16">
      <c r="A10" s="24" t="s">
        <v>207</v>
      </c>
      <c r="B10" s="25">
        <f ca="1">'EF ele_warmte'!B12</f>
        <v>0.20016661037863342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27230.265600359176</v>
      </c>
      <c r="C12" s="23">
        <f ca="1">C10*C8</f>
        <v>0</v>
      </c>
      <c r="D12" s="23">
        <f>D8*D10</f>
        <v>64937.307726456005</v>
      </c>
      <c r="E12" s="23">
        <f>E10*E8</f>
        <v>1701.2624452727391</v>
      </c>
      <c r="F12" s="23">
        <f>F10*F8</f>
        <v>61322.950846775479</v>
      </c>
      <c r="G12" s="23"/>
      <c r="H12" s="23"/>
      <c r="I12" s="23"/>
      <c r="J12" s="23">
        <f>J10*J8</f>
        <v>1539.7469770018599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918</v>
      </c>
      <c r="B17" s="201" t="s">
        <v>910</v>
      </c>
      <c r="C17" s="201" t="s">
        <v>911</v>
      </c>
      <c r="D17" s="226" t="s">
        <v>175</v>
      </c>
      <c r="E17" s="15"/>
    </row>
    <row r="18" spans="1:5">
      <c r="A18" s="243" t="s">
        <v>77</v>
      </c>
      <c r="B18" s="1064">
        <v>0.74774048386342984</v>
      </c>
      <c r="C18" s="1064"/>
      <c r="D18" s="296" t="s">
        <v>912</v>
      </c>
      <c r="E18" s="15"/>
    </row>
    <row r="19" spans="1:5">
      <c r="A19" s="243" t="s">
        <v>913</v>
      </c>
      <c r="B19" s="1064">
        <v>1.5893147770288954E-2</v>
      </c>
      <c r="C19" s="1064"/>
      <c r="D19" s="228"/>
      <c r="E19" s="15"/>
    </row>
    <row r="20" spans="1:5">
      <c r="A20" s="243" t="s">
        <v>914</v>
      </c>
      <c r="B20" s="1064"/>
      <c r="C20" s="1064"/>
      <c r="D20" s="228"/>
      <c r="E20" s="15"/>
    </row>
    <row r="21" spans="1:5">
      <c r="A21" s="243" t="s">
        <v>915</v>
      </c>
      <c r="B21" s="1064">
        <v>2.5041562056607007E-2</v>
      </c>
      <c r="C21" s="1064"/>
      <c r="D21" s="228"/>
      <c r="E21" s="15"/>
    </row>
    <row r="22" spans="1:5">
      <c r="A22" s="243" t="s">
        <v>916</v>
      </c>
      <c r="B22" s="1064">
        <v>0.16855908237424147</v>
      </c>
      <c r="C22" s="1064"/>
      <c r="D22" s="228"/>
      <c r="E22" s="15"/>
    </row>
    <row r="23" spans="1:5">
      <c r="A23" s="243" t="s">
        <v>78</v>
      </c>
      <c r="B23" s="1064"/>
      <c r="C23" s="1064"/>
      <c r="D23" s="227"/>
      <c r="E23" s="52"/>
    </row>
    <row r="24" spans="1:5">
      <c r="A24" s="243" t="s">
        <v>917</v>
      </c>
      <c r="B24" s="1064">
        <v>4.2765723935432799E-2</v>
      </c>
      <c r="C24" s="1064">
        <v>0.20456006762877887</v>
      </c>
      <c r="D24" s="227"/>
      <c r="E24" s="15"/>
    </row>
    <row r="25" spans="1:5" s="15" customFormat="1">
      <c r="A25" s="170"/>
      <c r="B25" s="29"/>
      <c r="C25" s="36"/>
      <c r="D25" s="227"/>
    </row>
    <row r="26" spans="1:5" s="15" customFormat="1">
      <c r="A26" s="229" t="s">
        <v>723</v>
      </c>
      <c r="B26" s="37">
        <f>aantalHuishoudens</f>
        <v>34321</v>
      </c>
      <c r="C26" s="36"/>
      <c r="D26" s="227"/>
    </row>
    <row r="27" spans="1:5" s="15" customFormat="1">
      <c r="A27" s="229" t="s">
        <v>724</v>
      </c>
      <c r="B27" s="37">
        <f>SUM(HH_hh_gas_aantal,HH_rest_gas_aantal)</f>
        <v>22287</v>
      </c>
      <c r="C27" s="36"/>
      <c r="D27" s="227"/>
    </row>
    <row r="28" spans="1:5" s="15" customFormat="1">
      <c r="A28" s="230"/>
      <c r="B28" s="29"/>
      <c r="C28" s="36"/>
      <c r="D28" s="231"/>
    </row>
    <row r="29" spans="1:5">
      <c r="A29" s="3"/>
      <c r="B29" s="43"/>
      <c r="C29" s="43"/>
      <c r="D29" s="173"/>
    </row>
    <row r="30" spans="1:5">
      <c r="A30" s="171" t="s">
        <v>475</v>
      </c>
      <c r="B30" s="168" t="s">
        <v>677</v>
      </c>
      <c r="C30" s="168" t="s">
        <v>678</v>
      </c>
      <c r="D30" s="173"/>
    </row>
    <row r="31" spans="1:5">
      <c r="A31" s="170" t="s">
        <v>919</v>
      </c>
      <c r="B31" s="33">
        <f>B27-0.05*B27</f>
        <v>21172.65</v>
      </c>
      <c r="C31" s="34" t="s">
        <v>104</v>
      </c>
      <c r="D31" s="173"/>
    </row>
    <row r="32" spans="1:5">
      <c r="A32" s="170" t="s">
        <v>72</v>
      </c>
      <c r="B32" s="33">
        <f>IF((B21*($B$26-($B$27-0.05*$B$27)-$B$60))&lt;0,0,B21*($B$26-($B$27-0.05*$B$27)-$B$60))</f>
        <v>326.82619094749782</v>
      </c>
      <c r="C32" s="34" t="s">
        <v>104</v>
      </c>
      <c r="D32" s="173"/>
    </row>
    <row r="33" spans="1:6">
      <c r="A33" s="170" t="s">
        <v>73</v>
      </c>
      <c r="B33" s="33">
        <f>IF((B22*($B$26-($B$27-0.05*$B$27)-$B$60))&lt;0,0,B22*($B$26-($B$27-0.05*$B$27)-$B$60))</f>
        <v>2199.923579745056</v>
      </c>
      <c r="C33" s="34" t="s">
        <v>104</v>
      </c>
      <c r="D33" s="173"/>
    </row>
    <row r="34" spans="1:6">
      <c r="A34" s="170" t="s">
        <v>74</v>
      </c>
      <c r="B34" s="33">
        <f>IF((B24*($B$26-($B$27-0.05*$B$27)-$B$60))&lt;0,0,B24*($B$26-($B$27-0.05*$B$27)-$B$60))</f>
        <v>558.15043108471082</v>
      </c>
      <c r="C34" s="33">
        <f>B26*C24</f>
        <v>7020.7060810873199</v>
      </c>
      <c r="D34" s="232"/>
    </row>
    <row r="35" spans="1:6">
      <c r="A35" s="170" t="s">
        <v>76</v>
      </c>
      <c r="B35" s="33">
        <f>IF((B19*($B$26-($B$27-0.05*$B$27)-$B$60))&lt;0,0,B19*($B$26-($B$27-0.05*$B$27)-$B$60))</f>
        <v>207.42703415176072</v>
      </c>
      <c r="C35" s="33">
        <f>B35/2</f>
        <v>103.71351707588036</v>
      </c>
      <c r="D35" s="232"/>
    </row>
    <row r="36" spans="1:6">
      <c r="A36" s="170" t="s">
        <v>77</v>
      </c>
      <c r="B36" s="33">
        <f>IF((B18*($B$26-($B$27-0.05*$B$27)-$B$60))&lt;0,0,B18*($B$26-($B$27-0.05*$B$27)-$B$60))</f>
        <v>9759.0227640709745</v>
      </c>
      <c r="C36" s="34" t="s">
        <v>104</v>
      </c>
      <c r="D36" s="173"/>
    </row>
    <row r="37" spans="1:6">
      <c r="A37" s="170" t="s">
        <v>78</v>
      </c>
      <c r="B37" s="33">
        <f>B60</f>
        <v>97</v>
      </c>
      <c r="C37" s="34" t="s">
        <v>104</v>
      </c>
      <c r="D37" s="173"/>
    </row>
    <row r="38" spans="1:6">
      <c r="A38" s="3"/>
      <c r="B38" s="43"/>
      <c r="C38" s="43"/>
      <c r="D38" s="173"/>
    </row>
    <row r="39" spans="1:6">
      <c r="A39" s="171" t="s">
        <v>478</v>
      </c>
      <c r="B39" s="167" t="s">
        <v>675</v>
      </c>
      <c r="C39" s="167" t="s">
        <v>676</v>
      </c>
      <c r="D39" s="296" t="s">
        <v>912</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425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97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196809.889</v>
      </c>
      <c r="C5" s="17">
        <f>IF(ISERROR('Eigen informatie GS &amp; warmtenet'!B58),0,'Eigen informatie GS &amp; warmtenet'!B58)</f>
        <v>0</v>
      </c>
      <c r="D5" s="30">
        <f>SUM(D6:D12)</f>
        <v>154618.437072</v>
      </c>
      <c r="E5" s="17">
        <f>SUM(E6:E12)</f>
        <v>2354.0366524784927</v>
      </c>
      <c r="F5" s="17">
        <f>SUM(F6:F12)</f>
        <v>38059.873551637618</v>
      </c>
      <c r="G5" s="18"/>
      <c r="H5" s="17"/>
      <c r="I5" s="17"/>
      <c r="J5" s="17">
        <f>SUM(J6:J12)</f>
        <v>0</v>
      </c>
      <c r="K5" s="17"/>
      <c r="L5" s="17"/>
      <c r="M5" s="17"/>
      <c r="N5" s="17">
        <f>SUM(N6:N12)</f>
        <v>11204.969652095009</v>
      </c>
      <c r="O5" s="17">
        <f>B38*B39*B40</f>
        <v>9.3800000000000008</v>
      </c>
      <c r="P5" s="17">
        <f>B46*B47*B48/1000-B46*B47*B48/1000/B49</f>
        <v>171.6</v>
      </c>
      <c r="R5" s="32"/>
    </row>
    <row r="6" spans="1:18">
      <c r="A6" s="32" t="s">
        <v>53</v>
      </c>
      <c r="B6" s="37">
        <f>B26</f>
        <v>71826.490999999995</v>
      </c>
      <c r="C6" s="33"/>
      <c r="D6" s="37">
        <f>IF(ISERROR(TER_kantoor_gas_kWh/1000),0,TER_kantoor_gas_kWh/1000)*0.902</f>
        <v>64162.542377999998</v>
      </c>
      <c r="E6" s="33">
        <f>$C$26*'E Balans VL '!I12/100/3.6*1000000</f>
        <v>279.06112408915214</v>
      </c>
      <c r="F6" s="33">
        <f>$C$26*('E Balans VL '!L12+'E Balans VL '!N12)/100/3.6*1000000</f>
        <v>10924.155712138938</v>
      </c>
      <c r="G6" s="34"/>
      <c r="H6" s="33"/>
      <c r="I6" s="33"/>
      <c r="J6" s="33">
        <f>$C$26*('E Balans VL '!D12+'E Balans VL '!E12)/100/3.6*1000000</f>
        <v>0</v>
      </c>
      <c r="K6" s="33"/>
      <c r="L6" s="33"/>
      <c r="M6" s="33"/>
      <c r="N6" s="33">
        <f>$C$26*'E Balans VL '!Y12/100/3.6*1000000</f>
        <v>39.585001142716763</v>
      </c>
      <c r="O6" s="33"/>
      <c r="P6" s="33"/>
      <c r="R6" s="32"/>
    </row>
    <row r="7" spans="1:18">
      <c r="A7" s="32" t="s">
        <v>52</v>
      </c>
      <c r="B7" s="37">
        <f t="shared" ref="B7:B12" si="0">B27</f>
        <v>18896.924999999999</v>
      </c>
      <c r="C7" s="33"/>
      <c r="D7" s="37">
        <f>IF(ISERROR(TER_horeca_gas_kWh/1000),0,TER_horeca_gas_kWh/1000)*0.902</f>
        <v>16026.07754</v>
      </c>
      <c r="E7" s="33">
        <f>$C$27*'E Balans VL '!I9/100/3.6*1000000</f>
        <v>1064.4688374506836</v>
      </c>
      <c r="F7" s="33">
        <f>$C$27*('E Balans VL '!L9+'E Balans VL '!N9)/100/3.6*1000000</f>
        <v>5448.7418341953353</v>
      </c>
      <c r="G7" s="34"/>
      <c r="H7" s="33"/>
      <c r="I7" s="33"/>
      <c r="J7" s="33">
        <f>$C$27*('E Balans VL '!D9+'E Balans VL '!E9)/100/3.6*1000000</f>
        <v>0</v>
      </c>
      <c r="K7" s="33"/>
      <c r="L7" s="33"/>
      <c r="M7" s="33"/>
      <c r="N7" s="33">
        <f>$C$27*'E Balans VL '!Y9/100/3.6*1000000</f>
        <v>5.2173427948385829</v>
      </c>
      <c r="O7" s="33"/>
      <c r="P7" s="33"/>
      <c r="R7" s="32"/>
    </row>
    <row r="8" spans="1:18">
      <c r="A8" s="6" t="s">
        <v>51</v>
      </c>
      <c r="B8" s="37">
        <f t="shared" si="0"/>
        <v>63222.521999999997</v>
      </c>
      <c r="C8" s="33"/>
      <c r="D8" s="37">
        <f>IF(ISERROR(TER_handel_gas_kWh/1000),0,TER_handel_gas_kWh/1000)*0.902</f>
        <v>33176.544984</v>
      </c>
      <c r="E8" s="33">
        <f>$C$28*'E Balans VL '!I13/100/3.6*1000000</f>
        <v>911.25103470034162</v>
      </c>
      <c r="F8" s="33">
        <f>$C$28*('E Balans VL '!L13+'E Balans VL '!N13)/100/3.6*1000000</f>
        <v>10983.224424584678</v>
      </c>
      <c r="G8" s="34"/>
      <c r="H8" s="33"/>
      <c r="I8" s="33"/>
      <c r="J8" s="33">
        <f>$C$28*('E Balans VL '!D13+'E Balans VL '!E13)/100/3.6*1000000</f>
        <v>0</v>
      </c>
      <c r="K8" s="33"/>
      <c r="L8" s="33"/>
      <c r="M8" s="33"/>
      <c r="N8" s="33">
        <f>$C$28*'E Balans VL '!Y13/100/3.6*1000000</f>
        <v>189.42171398813451</v>
      </c>
      <c r="O8" s="33"/>
      <c r="P8" s="33"/>
      <c r="R8" s="32"/>
    </row>
    <row r="9" spans="1:18">
      <c r="A9" s="32" t="s">
        <v>50</v>
      </c>
      <c r="B9" s="37">
        <f t="shared" si="0"/>
        <v>18896.767</v>
      </c>
      <c r="C9" s="33"/>
      <c r="D9" s="37">
        <f>IF(ISERROR(TER_gezond_gas_kWh/1000),0,TER_gezond_gas_kWh/1000)*0.902</f>
        <v>14404.405113999999</v>
      </c>
      <c r="E9" s="33">
        <f>$C$29*'E Balans VL '!I10/100/3.6*1000000</f>
        <v>20.186645018138112</v>
      </c>
      <c r="F9" s="33">
        <f>$C$29*('E Balans VL '!L10+'E Balans VL '!N10)/100/3.6*1000000</f>
        <v>3082.6369919996619</v>
      </c>
      <c r="G9" s="34"/>
      <c r="H9" s="33"/>
      <c r="I9" s="33"/>
      <c r="J9" s="33">
        <f>$C$29*('E Balans VL '!D10+'E Balans VL '!E10)/100/3.6*1000000</f>
        <v>0</v>
      </c>
      <c r="K9" s="33"/>
      <c r="L9" s="33"/>
      <c r="M9" s="33"/>
      <c r="N9" s="33">
        <f>$C$29*'E Balans VL '!Y10/100/3.6*1000000</f>
        <v>194.53143398485963</v>
      </c>
      <c r="O9" s="33"/>
      <c r="P9" s="33"/>
      <c r="R9" s="32"/>
    </row>
    <row r="10" spans="1:18">
      <c r="A10" s="32" t="s">
        <v>49</v>
      </c>
      <c r="B10" s="37">
        <f t="shared" si="0"/>
        <v>15481.598</v>
      </c>
      <c r="C10" s="33"/>
      <c r="D10" s="37">
        <f>IF(ISERROR(TER_ander_gas_kWh/1000),0,TER_ander_gas_kWh/1000)*0.902</f>
        <v>15976.608252</v>
      </c>
      <c r="E10" s="33">
        <f>$C$30*'E Balans VL '!I14/100/3.6*1000000</f>
        <v>71.197514276129496</v>
      </c>
      <c r="F10" s="33">
        <f>$C$30*('E Balans VL '!L14+'E Balans VL '!N14)/100/3.6*1000000</f>
        <v>4640.3232540915023</v>
      </c>
      <c r="G10" s="34"/>
      <c r="H10" s="33"/>
      <c r="I10" s="33"/>
      <c r="J10" s="33">
        <f>$C$30*('E Balans VL '!D14+'E Balans VL '!E14)/100/3.6*1000000</f>
        <v>0</v>
      </c>
      <c r="K10" s="33"/>
      <c r="L10" s="33"/>
      <c r="M10" s="33"/>
      <c r="N10" s="33">
        <f>$C$30*'E Balans VL '!Y14/100/3.6*1000000</f>
        <v>10776.21416018446</v>
      </c>
      <c r="O10" s="33"/>
      <c r="P10" s="33"/>
      <c r="R10" s="32"/>
    </row>
    <row r="11" spans="1:18">
      <c r="A11" s="32" t="s">
        <v>54</v>
      </c>
      <c r="B11" s="37">
        <f t="shared" si="0"/>
        <v>8485.5859999999993</v>
      </c>
      <c r="C11" s="33"/>
      <c r="D11" s="37">
        <f>IF(ISERROR(TER_onderwijs_gas_kWh/1000),0,TER_onderwijs_gas_kWh/1000)*0.902</f>
        <v>10872.258804000001</v>
      </c>
      <c r="E11" s="33">
        <f>$C$31*'E Balans VL '!I11/100/3.6*1000000</f>
        <v>7.8714969440473714</v>
      </c>
      <c r="F11" s="33">
        <f>$C$31*('E Balans VL '!L11+'E Balans VL '!N11)/100/3.6*1000000</f>
        <v>2980.7913346275045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energieproductie'!N41+'lokale energieproductie'!N34</f>
        <v>3238.65</v>
      </c>
      <c r="C13" s="245">
        <f ca="1">'lokale energieproductie'!O41+'lokale energieproductie'!O34</f>
        <v>2858.7857142857142</v>
      </c>
      <c r="D13" s="305">
        <f ca="1">('lokale energieproductie'!P34+'lokale energieproductie'!P41)*(-1)</f>
        <v>-5717.5714285714294</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-3535.7142857142858</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200048.53899999999</v>
      </c>
      <c r="C16" s="21">
        <f t="shared" ca="1" si="1"/>
        <v>2858.7857142857142</v>
      </c>
      <c r="D16" s="21">
        <f t="shared" ca="1" si="1"/>
        <v>148900.86564342858</v>
      </c>
      <c r="E16" s="21">
        <f t="shared" si="1"/>
        <v>2354.0366524784927</v>
      </c>
      <c r="F16" s="21">
        <f t="shared" ca="1" si="1"/>
        <v>38059.873551637618</v>
      </c>
      <c r="G16" s="21">
        <f t="shared" si="1"/>
        <v>0</v>
      </c>
      <c r="H16" s="21">
        <f t="shared" si="1"/>
        <v>0</v>
      </c>
      <c r="I16" s="21">
        <f t="shared" si="1"/>
        <v>0</v>
      </c>
      <c r="J16" s="21">
        <f t="shared" si="1"/>
        <v>0</v>
      </c>
      <c r="K16" s="21">
        <f t="shared" si="1"/>
        <v>0</v>
      </c>
      <c r="L16" s="21">
        <f t="shared" ca="1" si="1"/>
        <v>0</v>
      </c>
      <c r="M16" s="21">
        <f t="shared" si="1"/>
        <v>0</v>
      </c>
      <c r="N16" s="21">
        <f t="shared" ca="1" si="1"/>
        <v>7669.255366380723</v>
      </c>
      <c r="O16" s="21">
        <f>O5</f>
        <v>9.3800000000000008</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0.20016661037863342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40043.037962827853</v>
      </c>
      <c r="C20" s="23">
        <f t="shared" ref="C20:P20" ca="1" si="2">C16*C18</f>
        <v>679.38201680672285</v>
      </c>
      <c r="D20" s="23">
        <f t="shared" ca="1" si="2"/>
        <v>30077.974859972575</v>
      </c>
      <c r="E20" s="23">
        <f t="shared" si="2"/>
        <v>534.36632011261781</v>
      </c>
      <c r="F20" s="23">
        <f t="shared" ca="1" si="2"/>
        <v>10161.986238287245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71826.490999999995</v>
      </c>
      <c r="C26" s="39">
        <f>IF(ISERROR(B26*3.6/1000000/'E Balans VL '!Z12*100),0,B26*3.6/1000000/'E Balans VL '!Z12*100)</f>
        <v>1.5256302470585361</v>
      </c>
      <c r="D26" s="235" t="s">
        <v>674</v>
      </c>
      <c r="F26" s="6"/>
    </row>
    <row r="27" spans="1:18">
      <c r="A27" s="230" t="s">
        <v>52</v>
      </c>
      <c r="B27" s="33">
        <f>IF(ISERROR(TER_horeca_ele_kWh/1000),0,TER_horeca_ele_kWh/1000)</f>
        <v>18896.924999999999</v>
      </c>
      <c r="C27" s="39">
        <f>IF(ISERROR(B27*3.6/1000000/'E Balans VL '!Z9*100),0,B27*3.6/1000000/'E Balans VL '!Z9*100)</f>
        <v>1.4693510025027994</v>
      </c>
      <c r="D27" s="235" t="s">
        <v>674</v>
      </c>
      <c r="F27" s="6"/>
    </row>
    <row r="28" spans="1:18">
      <c r="A28" s="170" t="s">
        <v>51</v>
      </c>
      <c r="B28" s="33">
        <f>IF(ISERROR(TER_handel_ele_kWh/1000),0,TER_handel_ele_kWh/1000)</f>
        <v>63222.521999999997</v>
      </c>
      <c r="C28" s="39">
        <f>IF(ISERROR(B28*3.6/1000000/'E Balans VL '!Z13*100),0,B28*3.6/1000000/'E Balans VL '!Z13*100)</f>
        <v>1.8088707598852374</v>
      </c>
      <c r="D28" s="235" t="s">
        <v>674</v>
      </c>
      <c r="F28" s="6"/>
    </row>
    <row r="29" spans="1:18">
      <c r="A29" s="230" t="s">
        <v>50</v>
      </c>
      <c r="B29" s="33">
        <f>IF(ISERROR(TER_gezond_ele_kWh/1000),0,TER_gezond_ele_kWh/1000)</f>
        <v>18896.767</v>
      </c>
      <c r="C29" s="39">
        <f>IF(ISERROR(B29*3.6/1000000/'E Balans VL '!Z10*100),0,B29*3.6/1000000/'E Balans VL '!Z10*100)</f>
        <v>2.0601867112020318</v>
      </c>
      <c r="D29" s="235" t="s">
        <v>674</v>
      </c>
      <c r="F29" s="6"/>
    </row>
    <row r="30" spans="1:18">
      <c r="A30" s="230" t="s">
        <v>49</v>
      </c>
      <c r="B30" s="33">
        <f>IF(ISERROR(TER_ander_ele_kWh/1000),0,TER_ander_ele_kWh/1000)</f>
        <v>15481.598</v>
      </c>
      <c r="C30" s="39">
        <f>IF(ISERROR(B30*3.6/1000000/'E Balans VL '!Z14*100),0,B30*3.6/1000000/'E Balans VL '!Z14*100)</f>
        <v>1.1329082224674527</v>
      </c>
      <c r="D30" s="235" t="s">
        <v>674</v>
      </c>
      <c r="F30" s="6"/>
    </row>
    <row r="31" spans="1:18">
      <c r="A31" s="230" t="s">
        <v>54</v>
      </c>
      <c r="B31" s="33">
        <f>IF(ISERROR(TER_onderwijs_ele_kWh/1000),0,TER_onderwijs_ele_kWh/1000)</f>
        <v>8485.5859999999993</v>
      </c>
      <c r="C31" s="39">
        <f>IF(ISERROR(B31*3.6/1000000/'E Balans VL '!Z11*100),0,B31*3.6/1000000/'E Balans VL '!Z11*100)</f>
        <v>1.7043362493224079</v>
      </c>
      <c r="D31" s="235" t="s">
        <v>674</v>
      </c>
    </row>
    <row r="32" spans="1:18">
      <c r="A32" s="230" t="s">
        <v>249</v>
      </c>
      <c r="B32" s="33">
        <f>IF(ISERROR(TER_rest_ele_kWh/1000),0,TER_rest_ele_kWh/1000)</f>
        <v>0</v>
      </c>
      <c r="C32" s="39">
        <f>IF(ISERROR(B32*3.6/1000000/'E Balans VL '!Z8*100),0,B32*3.6/1000000/'E Balans VL '!Z8*100)</f>
        <v>0</v>
      </c>
      <c r="D32" s="235" t="s">
        <v>674</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9</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65726.264999999985</v>
      </c>
      <c r="C5" s="17">
        <f>IF(ISERROR('Eigen informatie GS &amp; warmtenet'!B59),0,'Eigen informatie GS &amp; warmtenet'!B59)</f>
        <v>0</v>
      </c>
      <c r="D5" s="30">
        <f>SUM(D6:D15)</f>
        <v>78171.281584000011</v>
      </c>
      <c r="E5" s="17">
        <f>SUM(E6:E15)</f>
        <v>9944.54747071764</v>
      </c>
      <c r="F5" s="17">
        <f>SUM(F6:F15)</f>
        <v>44628.165539653077</v>
      </c>
      <c r="G5" s="18"/>
      <c r="H5" s="17"/>
      <c r="I5" s="17"/>
      <c r="J5" s="17">
        <f>SUM(J6:J15)</f>
        <v>65.828958894371155</v>
      </c>
      <c r="K5" s="17"/>
      <c r="L5" s="17"/>
      <c r="M5" s="17"/>
      <c r="N5" s="17">
        <f>SUM(N6:N15)</f>
        <v>7024.0634177527108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3957.9520000000002</v>
      </c>
      <c r="C8" s="33"/>
      <c r="D8" s="37">
        <f>IF( ISERROR(IND_metaal_Gas_kWH/1000),0,IND_metaal_Gas_kWH/1000)*0.902</f>
        <v>3944.8564099999999</v>
      </c>
      <c r="E8" s="33">
        <f>C30*'E Balans VL '!I18/100/3.6*1000000</f>
        <v>113.68723776925496</v>
      </c>
      <c r="F8" s="33">
        <f>C30*'E Balans VL '!L18/100/3.6*1000000+C30*'E Balans VL '!N18/100/3.6*1000000</f>
        <v>1015.1385656433985</v>
      </c>
      <c r="G8" s="34"/>
      <c r="H8" s="33"/>
      <c r="I8" s="33"/>
      <c r="J8" s="40">
        <f>C30*'E Balans VL '!D18/100/3.6*1000000+C30*'E Balans VL '!E18/100/3.6*1000000</f>
        <v>0</v>
      </c>
      <c r="K8" s="33"/>
      <c r="L8" s="33"/>
      <c r="M8" s="33"/>
      <c r="N8" s="33">
        <f>C30*'E Balans VL '!Y18/100/3.6*1000000</f>
        <v>107.46647612469232</v>
      </c>
      <c r="O8" s="33"/>
      <c r="P8" s="33"/>
      <c r="R8" s="32"/>
    </row>
    <row r="9" spans="1:18">
      <c r="A9" s="6" t="s">
        <v>32</v>
      </c>
      <c r="B9" s="37">
        <f t="shared" si="0"/>
        <v>32295.413</v>
      </c>
      <c r="C9" s="33"/>
      <c r="D9" s="37">
        <f>IF( ISERROR(IND_andere_gas_kWh/1000),0,IND_andere_gas_kWh/1000)*0.902</f>
        <v>15706.479998000001</v>
      </c>
      <c r="E9" s="33">
        <f>C31*'E Balans VL '!I19/100/3.6*1000000</f>
        <v>8741.5742504743557</v>
      </c>
      <c r="F9" s="33">
        <f>C31*'E Balans VL '!L19/100/3.6*1000000+C31*'E Balans VL '!N19/100/3.6*1000000</f>
        <v>21512.162626592162</v>
      </c>
      <c r="G9" s="34"/>
      <c r="H9" s="33"/>
      <c r="I9" s="33"/>
      <c r="J9" s="40">
        <f>C31*'E Balans VL '!D19/100/3.6*1000000+C31*'E Balans VL '!E19/100/3.6*1000000</f>
        <v>0</v>
      </c>
      <c r="K9" s="33"/>
      <c r="L9" s="33"/>
      <c r="M9" s="33"/>
      <c r="N9" s="33">
        <f>C31*'E Balans VL '!Y19/100/3.6*1000000</f>
        <v>2730.3632364686555</v>
      </c>
      <c r="O9" s="33"/>
      <c r="P9" s="33"/>
      <c r="R9" s="32"/>
    </row>
    <row r="10" spans="1:18">
      <c r="A10" s="6" t="s">
        <v>40</v>
      </c>
      <c r="B10" s="37">
        <f t="shared" si="0"/>
        <v>11567.434999999999</v>
      </c>
      <c r="C10" s="33"/>
      <c r="D10" s="37">
        <f>IF( ISERROR(IND_voed_gas_kWh/1000),0,IND_voed_gas_kWh/1000)*0.902</f>
        <v>9530.1071580000007</v>
      </c>
      <c r="E10" s="33">
        <f>C32*'E Balans VL '!I20/100/3.6*1000000</f>
        <v>943.4665740903821</v>
      </c>
      <c r="F10" s="33">
        <f>C32*'E Balans VL '!L20/100/3.6*1000000+C32*'E Balans VL '!N20/100/3.6*1000000</f>
        <v>17248.09507466084</v>
      </c>
      <c r="G10" s="34"/>
      <c r="H10" s="33"/>
      <c r="I10" s="33"/>
      <c r="J10" s="40">
        <f>C32*'E Balans VL '!D20/100/3.6*1000000+C32*'E Balans VL '!E20/100/3.6*1000000</f>
        <v>0.15302312406751636</v>
      </c>
      <c r="K10" s="33"/>
      <c r="L10" s="33"/>
      <c r="M10" s="33"/>
      <c r="N10" s="33">
        <f>C32*'E Balans VL '!Y20/100/3.6*1000000</f>
        <v>3398.1042322310309</v>
      </c>
      <c r="O10" s="33"/>
      <c r="P10" s="33"/>
      <c r="R10" s="32"/>
    </row>
    <row r="11" spans="1:18">
      <c r="A11" s="6" t="s">
        <v>39</v>
      </c>
      <c r="B11" s="37">
        <f t="shared" si="0"/>
        <v>418.20400000000001</v>
      </c>
      <c r="C11" s="33"/>
      <c r="D11" s="37">
        <f>IF( ISERROR(IND_textiel_gas_kWh/1000),0,IND_textiel_gas_kWh/1000)*0.902</f>
        <v>260.32622000000003</v>
      </c>
      <c r="E11" s="33">
        <f>C33*'E Balans VL '!I21/100/3.6*1000000</f>
        <v>8.2896589132454943E-2</v>
      </c>
      <c r="F11" s="33">
        <f>C33*'E Balans VL '!L21/100/3.6*1000000+C33*'E Balans VL '!N21/100/3.6*1000000</f>
        <v>15.402957884736729</v>
      </c>
      <c r="G11" s="34"/>
      <c r="H11" s="33"/>
      <c r="I11" s="33"/>
      <c r="J11" s="40">
        <f>C33*'E Balans VL '!D21/100/3.6*1000000+C33*'E Balans VL '!E21/100/3.6*1000000</f>
        <v>0</v>
      </c>
      <c r="K11" s="33"/>
      <c r="L11" s="33"/>
      <c r="M11" s="33"/>
      <c r="N11" s="33">
        <f>C33*'E Balans VL '!Y21/100/3.6*1000000</f>
        <v>1.9445430278099585</v>
      </c>
      <c r="O11" s="33"/>
      <c r="P11" s="33"/>
      <c r="R11" s="32"/>
    </row>
    <row r="12" spans="1:18">
      <c r="A12" s="6" t="s">
        <v>36</v>
      </c>
      <c r="B12" s="37">
        <f t="shared" si="0"/>
        <v>11911.290999999999</v>
      </c>
      <c r="C12" s="33"/>
      <c r="D12" s="37">
        <f>IF( ISERROR(IND_min_gas_kWh/1000),0,IND_min_gas_kWh/1000)*0.902</f>
        <v>44894.854531999998</v>
      </c>
      <c r="E12" s="33">
        <f>C34*'E Balans VL '!I22/100/3.6*1000000</f>
        <v>92.786361530163987</v>
      </c>
      <c r="F12" s="33">
        <f>C34*'E Balans VL '!L22/100/3.6*1000000+C34*'E Balans VL '!N22/100/3.6*1000000</f>
        <v>4492.2069940120073</v>
      </c>
      <c r="G12" s="34"/>
      <c r="H12" s="33"/>
      <c r="I12" s="33"/>
      <c r="J12" s="40">
        <f>C34*'E Balans VL '!D22/100/3.6*1000000+C34*'E Balans VL '!E22/100/3.6*1000000</f>
        <v>65.511059060958331</v>
      </c>
      <c r="K12" s="33"/>
      <c r="L12" s="33"/>
      <c r="M12" s="33"/>
      <c r="N12" s="33">
        <f>C34*'E Balans VL '!Y22/100/3.6*1000000</f>
        <v>0</v>
      </c>
      <c r="O12" s="33"/>
      <c r="P12" s="33"/>
      <c r="R12" s="32"/>
    </row>
    <row r="13" spans="1:18">
      <c r="A13" s="6" t="s">
        <v>38</v>
      </c>
      <c r="B13" s="37">
        <f t="shared" si="0"/>
        <v>4053.61</v>
      </c>
      <c r="C13" s="33"/>
      <c r="D13" s="37">
        <f>IF( ISERROR(IND_papier_gas_kWh/1000),0,IND_papier_gas_kWh/1000)*0.902</f>
        <v>3187.3757519999999</v>
      </c>
      <c r="E13" s="33">
        <f>C35*'E Balans VL '!I23/100/3.6*1000000</f>
        <v>42.468949526180033</v>
      </c>
      <c r="F13" s="33">
        <f>C35*'E Balans VL '!L23/100/3.6*1000000+C35*'E Balans VL '!N23/100/3.6*1000000</f>
        <v>302.48109668629183</v>
      </c>
      <c r="G13" s="34"/>
      <c r="H13" s="33"/>
      <c r="I13" s="33"/>
      <c r="J13" s="40">
        <f>C35*'E Balans VL '!D23/100/3.6*1000000+C35*'E Balans VL '!E23/100/3.6*1000000</f>
        <v>0</v>
      </c>
      <c r="K13" s="33"/>
      <c r="L13" s="33"/>
      <c r="M13" s="33"/>
      <c r="N13" s="33">
        <f>C35*'E Balans VL '!Y23/100/3.6*1000000</f>
        <v>747.80339589293988</v>
      </c>
      <c r="O13" s="33"/>
      <c r="P13" s="33"/>
      <c r="R13" s="32"/>
    </row>
    <row r="14" spans="1:18">
      <c r="A14" s="6" t="s">
        <v>33</v>
      </c>
      <c r="B14" s="37">
        <f t="shared" si="0"/>
        <v>1458.0319999999999</v>
      </c>
      <c r="C14" s="33"/>
      <c r="D14" s="37">
        <f>IF( ISERROR(IND_chemie_gas_kWh/1000),0,IND_chemie_gas_kWh/1000)*0.902</f>
        <v>616.83540599999992</v>
      </c>
      <c r="E14" s="33">
        <f>C36*'E Balans VL '!I24/100/3.6*1000000</f>
        <v>6.8924596539876539</v>
      </c>
      <c r="F14" s="33">
        <f>C36*'E Balans VL '!L24/100/3.6*1000000+C36*'E Balans VL '!N24/100/3.6*1000000</f>
        <v>27.556022185206412</v>
      </c>
      <c r="G14" s="34"/>
      <c r="H14" s="33"/>
      <c r="I14" s="33"/>
      <c r="J14" s="40">
        <f>C36*'E Balans VL '!D24/100/3.6*1000000+C36*'E Balans VL '!E24/100/3.6*1000000</f>
        <v>0</v>
      </c>
      <c r="K14" s="33"/>
      <c r="L14" s="33"/>
      <c r="M14" s="33"/>
      <c r="N14" s="33">
        <f>C36*'E Balans VL '!Y24/100/3.6*1000000</f>
        <v>35.396084392317725</v>
      </c>
      <c r="O14" s="33"/>
      <c r="P14" s="33"/>
      <c r="R14" s="32"/>
    </row>
    <row r="15" spans="1:18">
      <c r="A15" s="6" t="s">
        <v>259</v>
      </c>
      <c r="B15" s="37">
        <f t="shared" si="0"/>
        <v>64.328000000000003</v>
      </c>
      <c r="C15" s="33"/>
      <c r="D15" s="37">
        <f>IF( ISERROR(IND_rest_gas_kWh/1000),0,IND_rest_gas_kWh/1000)*0.902</f>
        <v>30.446107999999999</v>
      </c>
      <c r="E15" s="33">
        <f>C37*'E Balans VL '!I15/100/3.6*1000000</f>
        <v>3.5887410841849854</v>
      </c>
      <c r="F15" s="33">
        <f>C37*'E Balans VL '!L15/100/3.6*1000000+C37*'E Balans VL '!N15/100/3.6*1000000</f>
        <v>15.122201988429779</v>
      </c>
      <c r="G15" s="34"/>
      <c r="H15" s="33"/>
      <c r="I15" s="33"/>
      <c r="J15" s="40">
        <f>C37*'E Balans VL '!D15/100/3.6*1000000+C37*'E Balans VL '!E15/100/3.6*1000000</f>
        <v>0.16487670934530294</v>
      </c>
      <c r="K15" s="33"/>
      <c r="L15" s="33"/>
      <c r="M15" s="33"/>
      <c r="N15" s="33">
        <f>C37*'E Balans VL '!Y15/100/3.6*1000000</f>
        <v>2.9854496152641681</v>
      </c>
      <c r="O15" s="33"/>
      <c r="P15" s="33"/>
      <c r="R15" s="32"/>
    </row>
    <row r="16" spans="1:18">
      <c r="A16" s="16" t="s">
        <v>484</v>
      </c>
      <c r="B16" s="245">
        <f>'lokale energieproductie'!N40+'lokale energieproductie'!N33</f>
        <v>225</v>
      </c>
      <c r="C16" s="245">
        <f>'lokale energieproductie'!O40+'lokale energieproductie'!O33</f>
        <v>321.42857142857144</v>
      </c>
      <c r="D16" s="305">
        <f>('lokale energieproductie'!P33+'lokale energieproductie'!P40)*(-1)</f>
        <v>-642.85714285714289</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65951.264999999985</v>
      </c>
      <c r="C18" s="21">
        <f>C5+C16</f>
        <v>321.42857142857144</v>
      </c>
      <c r="D18" s="21">
        <f>MAX((D5+D16),0)</f>
        <v>77528.424441142866</v>
      </c>
      <c r="E18" s="21">
        <f>MAX((E5+E16),0)</f>
        <v>9944.54747071764</v>
      </c>
      <c r="F18" s="21">
        <f>MAX((F5+F16),0)</f>
        <v>44628.165539653077</v>
      </c>
      <c r="G18" s="21"/>
      <c r="H18" s="21"/>
      <c r="I18" s="21"/>
      <c r="J18" s="21">
        <f>MAX((J5+J16),0)</f>
        <v>65.828958894371155</v>
      </c>
      <c r="K18" s="21"/>
      <c r="L18" s="21">
        <f>MAX((L5+L16),0)</f>
        <v>0</v>
      </c>
      <c r="M18" s="21"/>
      <c r="N18" s="21">
        <f>MAX((N5+N16),0)</f>
        <v>7024.0634177527108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0.20016661037863342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13201.241165233001</v>
      </c>
      <c r="C22" s="23">
        <f ca="1">C18*C20</f>
        <v>76.386554621848759</v>
      </c>
      <c r="D22" s="23">
        <f>D18*D20</f>
        <v>15660.74173711086</v>
      </c>
      <c r="E22" s="23">
        <f>E18*E20</f>
        <v>2257.4122758529043</v>
      </c>
      <c r="F22" s="23">
        <f>F18*F20</f>
        <v>11915.720199087373</v>
      </c>
      <c r="G22" s="23"/>
      <c r="H22" s="23"/>
      <c r="I22" s="23"/>
      <c r="J22" s="23">
        <f>J18*J20</f>
        <v>23.303451448607387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674</v>
      </c>
    </row>
    <row r="29" spans="1:18">
      <c r="A29" s="170" t="s">
        <v>37</v>
      </c>
      <c r="B29" s="37">
        <f>IF( ISERROR(IND_nonf_ele_kWh/1000),0,IND_nonf_ele_kWh/1000)</f>
        <v>0</v>
      </c>
      <c r="C29" s="39">
        <f>IF(ISERROR(B29*3.6/1000000/'E Balans VL '!Z17*100),0,B29*3.6/1000000/'E Balans VL '!Z17*100)</f>
        <v>0</v>
      </c>
      <c r="D29" s="235" t="s">
        <v>674</v>
      </c>
    </row>
    <row r="30" spans="1:18">
      <c r="A30" s="170" t="s">
        <v>35</v>
      </c>
      <c r="B30" s="37">
        <f>IF( ISERROR(IND_metaal_ele_kWh/1000),0,IND_metaal_ele_kWh/1000)</f>
        <v>3957.9520000000002</v>
      </c>
      <c r="C30" s="39">
        <f>IF(ISERROR(B30*3.6/1000000/'E Balans VL '!Z18*100),0,B30*3.6/1000000/'E Balans VL '!Z18*100)</f>
        <v>0.38945237322482795</v>
      </c>
      <c r="D30" s="235" t="s">
        <v>674</v>
      </c>
    </row>
    <row r="31" spans="1:18">
      <c r="A31" s="6" t="s">
        <v>32</v>
      </c>
      <c r="B31" s="37">
        <f>IF( ISERROR(IND_ander_ele_kWh/1000),0,IND_ander_ele_kWh/1000)</f>
        <v>32295.413</v>
      </c>
      <c r="C31" s="39">
        <f>IF(ISERROR(B31*3.6/1000000/'E Balans VL '!Z19*100),0,B31*3.6/1000000/'E Balans VL '!Z19*100)</f>
        <v>1.4064394743528204</v>
      </c>
      <c r="D31" s="235" t="s">
        <v>674</v>
      </c>
    </row>
    <row r="32" spans="1:18">
      <c r="A32" s="170" t="s">
        <v>40</v>
      </c>
      <c r="B32" s="37">
        <f>IF( ISERROR(IND_voed_ele_kWh/1000),0,IND_voed_ele_kWh/1000)</f>
        <v>11567.434999999999</v>
      </c>
      <c r="C32" s="39">
        <f>IF(ISERROR(B32*3.6/1000000/'E Balans VL '!Z20*100),0,B32*3.6/1000000/'E Balans VL '!Z20*100)</f>
        <v>2.1947539706893915</v>
      </c>
      <c r="D32" s="235" t="s">
        <v>674</v>
      </c>
    </row>
    <row r="33" spans="1:5">
      <c r="A33" s="170" t="s">
        <v>39</v>
      </c>
      <c r="B33" s="37">
        <f>IF( ISERROR(IND_textiel_ele_kWh/1000),0,IND_textiel_ele_kWh/1000)</f>
        <v>418.20400000000001</v>
      </c>
      <c r="C33" s="39">
        <f>IF(ISERROR(B33*3.6/1000000/'E Balans VL '!Z21*100),0,B33*3.6/1000000/'E Balans VL '!Z21*100)</f>
        <v>2.3877327580721228E-2</v>
      </c>
      <c r="D33" s="235" t="s">
        <v>674</v>
      </c>
    </row>
    <row r="34" spans="1:5">
      <c r="A34" s="170" t="s">
        <v>36</v>
      </c>
      <c r="B34" s="37">
        <f>IF( ISERROR(IND_min_ele_kWh/1000),0,IND_min_ele_kWh/1000)</f>
        <v>11911.290999999999</v>
      </c>
      <c r="C34" s="39">
        <f>IF(ISERROR(B34*3.6/1000000/'E Balans VL '!Z22*100),0,B34*3.6/1000000/'E Balans VL '!Z22*100)</f>
        <v>1.6748471240560392</v>
      </c>
      <c r="D34" s="235" t="s">
        <v>674</v>
      </c>
    </row>
    <row r="35" spans="1:5">
      <c r="A35" s="170" t="s">
        <v>38</v>
      </c>
      <c r="B35" s="37">
        <f>IF( ISERROR(IND_papier_ele_kWh/1000),0,IND_papier_ele_kWh/1000)</f>
        <v>4053.61</v>
      </c>
      <c r="C35" s="39">
        <f>IF(ISERROR(B35*3.6/1000000/'E Balans VL '!Z22*100),0,B35*3.6/1000000/'E Balans VL '!Z22*100)</f>
        <v>0.56997827108285759</v>
      </c>
      <c r="D35" s="235" t="s">
        <v>674</v>
      </c>
    </row>
    <row r="36" spans="1:5">
      <c r="A36" s="170" t="s">
        <v>33</v>
      </c>
      <c r="B36" s="37">
        <f>IF( ISERROR(IND_chemie_ele_kWh/1000),0,IND_chemie_ele_kWh/1000)</f>
        <v>1458.0319999999999</v>
      </c>
      <c r="C36" s="39">
        <f>IF(ISERROR(B36*3.6/1000000/'E Balans VL '!Z24*100),0,B36*3.6/1000000/'E Balans VL '!Z24*100)</f>
        <v>4.2491360880626106E-2</v>
      </c>
      <c r="D36" s="235" t="s">
        <v>674</v>
      </c>
    </row>
    <row r="37" spans="1:5">
      <c r="A37" s="170" t="s">
        <v>259</v>
      </c>
      <c r="B37" s="37">
        <f>IF( ISERROR(IND_rest_ele_kWh/1000),0,IND_rest_ele_kWh/1000)</f>
        <v>64.328000000000003</v>
      </c>
      <c r="C37" s="39">
        <f>IF(ISERROR(B37*3.6/1000000/'E Balans VL '!Z15*100),0,B37*3.6/1000000/'E Balans VL '!Z15*100)</f>
        <v>4.9572625107043716E-4</v>
      </c>
      <c r="D37" s="235" t="s">
        <v>674</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1854.6130000000001</v>
      </c>
      <c r="C5" s="17">
        <f>'Eigen informatie GS &amp; warmtenet'!B60</f>
        <v>0</v>
      </c>
      <c r="D5" s="30">
        <f>IF(ISERROR(SUM(LB_lb_gas_kWh,LB_rest_gas_kWh)/1000),0,SUM(LB_lb_gas_kWh,LB_rest_gas_kWh)/1000)*0.902</f>
        <v>2503.2376160000003</v>
      </c>
      <c r="E5" s="17">
        <f>B17*'E Balans VL '!I25/3.6*1000000/100</f>
        <v>23.370513027323071</v>
      </c>
      <c r="F5" s="17">
        <f>B17*('E Balans VL '!L25/3.6*1000000+'E Balans VL '!N25/3.6*1000000)/100</f>
        <v>6398.8794583179852</v>
      </c>
      <c r="G5" s="18"/>
      <c r="H5" s="17"/>
      <c r="I5" s="17"/>
      <c r="J5" s="17">
        <f>('E Balans VL '!D25+'E Balans VL '!E25)/3.6*1000000*landbouw!B17/100</f>
        <v>278.91271270348653</v>
      </c>
      <c r="K5" s="17"/>
      <c r="L5" s="17">
        <f>L6*(-1)</f>
        <v>0</v>
      </c>
      <c r="M5" s="17"/>
      <c r="N5" s="17">
        <f>N6*(-1)</f>
        <v>0</v>
      </c>
      <c r="O5" s="17"/>
      <c r="P5" s="17"/>
      <c r="R5" s="32"/>
    </row>
    <row r="6" spans="1:18">
      <c r="A6" s="16" t="s">
        <v>484</v>
      </c>
      <c r="B6" s="17" t="s">
        <v>204</v>
      </c>
      <c r="C6" s="17">
        <f>'lokale energieproductie'!O42+'lokale energieproductie'!O35</f>
        <v>0</v>
      </c>
      <c r="D6" s="305">
        <f>('lokale energieproductie'!P35+'lokale energieproductie'!P42)*(-1)</f>
        <v>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1854.6130000000001</v>
      </c>
      <c r="C8" s="21">
        <f>C5+C6</f>
        <v>0</v>
      </c>
      <c r="D8" s="21">
        <f>MAX((D5+D6),0)</f>
        <v>2503.2376160000003</v>
      </c>
      <c r="E8" s="21">
        <f>MAX((E5+E6),0)</f>
        <v>23.370513027323071</v>
      </c>
      <c r="F8" s="21">
        <f>MAX((F5+F6),0)</f>
        <v>6398.8794583179852</v>
      </c>
      <c r="G8" s="21"/>
      <c r="H8" s="21"/>
      <c r="I8" s="21"/>
      <c r="J8" s="21">
        <f>MAX((J5+J6),0)</f>
        <v>278.91271270348653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0.20016661037863342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371.2315977741485</v>
      </c>
      <c r="C12" s="23">
        <f ca="1">C8*C10</f>
        <v>0</v>
      </c>
      <c r="D12" s="23">
        <f>D8*D10</f>
        <v>505.65399843200009</v>
      </c>
      <c r="E12" s="23">
        <f>E8*E10</f>
        <v>5.3051064572023376</v>
      </c>
      <c r="F12" s="23">
        <f>F8*F10</f>
        <v>1708.500815370902</v>
      </c>
      <c r="G12" s="23"/>
      <c r="H12" s="23"/>
      <c r="I12" s="23"/>
      <c r="J12" s="23">
        <f>J8*J10</f>
        <v>98.735100297034222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0.2586600594912789</v>
      </c>
      <c r="C17" s="235" t="s">
        <v>674</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197.9373343662302</v>
      </c>
      <c r="C26" s="245">
        <f>B26*'GWP N2O_CH4'!B5</f>
        <v>4156.684021690834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65.259736229982465</v>
      </c>
      <c r="C27" s="245">
        <f>B27*'GWP N2O_CH4'!B5</f>
        <v>1370.4544608296317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6.1427403666216902</v>
      </c>
      <c r="C28" s="245">
        <f>B28*'GWP N2O_CH4'!B4</f>
        <v>1904.2495136527239</v>
      </c>
      <c r="D28" s="50"/>
    </row>
    <row r="29" spans="1:4">
      <c r="A29" s="41" t="s">
        <v>266</v>
      </c>
      <c r="B29" s="245">
        <f>B34*'ha_N2O bodem landbouw'!B4</f>
        <v>18.328532527022709</v>
      </c>
      <c r="C29" s="245">
        <f>B29*'GWP N2O_CH4'!B4</f>
        <v>5681.8450833770394</v>
      </c>
      <c r="D29" s="50"/>
    </row>
    <row r="31" spans="1:4">
      <c r="A31" s="192" t="s">
        <v>491</v>
      </c>
      <c r="B31" s="202"/>
      <c r="C31" s="224"/>
    </row>
    <row r="32" spans="1:4">
      <c r="A32" s="234"/>
      <c r="B32" s="32"/>
      <c r="C32" s="235"/>
    </row>
    <row r="33" spans="1:5">
      <c r="A33" s="236"/>
      <c r="B33" s="223" t="s">
        <v>622</v>
      </c>
      <c r="C33" s="237" t="s">
        <v>175</v>
      </c>
    </row>
    <row r="34" spans="1:5">
      <c r="A34" s="255" t="s">
        <v>105</v>
      </c>
      <c r="B34" s="35">
        <f>IF(ISERROR(aantalCultuurgronden/'ha_N2O bodem landbouw'!B5),0,aantalCultuurgronden/'ha_N2O bodem landbouw'!B5)</f>
        <v>4.5764514281889778E-3</v>
      </c>
      <c r="C34" s="256" t="s">
        <v>666</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1.8003146688923348E-4</v>
      </c>
      <c r="C5" s="434" t="s">
        <v>204</v>
      </c>
      <c r="D5" s="419">
        <f>SUM(D6:D11)</f>
        <v>1.6819140002148866E-4</v>
      </c>
      <c r="E5" s="419">
        <f>SUM(E6:E11)</f>
        <v>6.3856793721835383E-3</v>
      </c>
      <c r="F5" s="432" t="s">
        <v>204</v>
      </c>
      <c r="G5" s="419">
        <f>SUM(G6:G11)</f>
        <v>1.638795257010041</v>
      </c>
      <c r="H5" s="419">
        <f>SUM(H6:H11)</f>
        <v>0.29262212126368931</v>
      </c>
      <c r="I5" s="434" t="s">
        <v>204</v>
      </c>
      <c r="J5" s="434" t="s">
        <v>204</v>
      </c>
      <c r="K5" s="434" t="s">
        <v>204</v>
      </c>
      <c r="L5" s="434" t="s">
        <v>204</v>
      </c>
      <c r="M5" s="419">
        <f>SUM(M6:M11)</f>
        <v>8.7332374130838358E-2</v>
      </c>
      <c r="N5" s="434" t="s">
        <v>204</v>
      </c>
      <c r="O5" s="434" t="s">
        <v>204</v>
      </c>
      <c r="P5" s="435" t="s">
        <v>204</v>
      </c>
    </row>
    <row r="6" spans="1:18">
      <c r="A6" s="260" t="s">
        <v>707</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9.179825486878396E-5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8.1781351498834415E-5</v>
      </c>
      <c r="E6" s="873">
        <f>vkm_GW_PW*SUMIFS(TableVerdeelsleutelVkm[LPG],TableVerdeelsleutelVkm[Voertuigtype],"Lichte voertuigen")*SUMIFS(TableECFTransport[EnergieConsumptieFactor (PJ per km)],TableECFTransport[Index],CONCATENATE($A6,"_LPG_LPG"))</f>
        <v>2.9435016544518138E-3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0.57694221427054204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0.14144221786633362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3.2497244524566586E-2</v>
      </c>
      <c r="N6" s="420"/>
      <c r="O6" s="420"/>
      <c r="P6" s="421"/>
    </row>
    <row r="7" spans="1:18">
      <c r="A7" s="260" t="s">
        <v>709</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1.4601072231122218E-6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0.228486320717286</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5.2082843783172728E-6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1.0316509438920325E-2</v>
      </c>
      <c r="N7" s="420"/>
      <c r="O7" s="420"/>
      <c r="P7" s="421"/>
    </row>
    <row r="8" spans="1:18">
      <c r="A8" s="260" t="s">
        <v>710</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2.7006500057475973E-5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3.7935156489698636E-5</v>
      </c>
      <c r="E8" s="422">
        <f>vkm_NGW_PW*SUMIFS(TableVerdeelsleutelVkm[LPG],TableVerdeelsleutelVkm[Voertuigtype],"Lichte voertuigen")*SUMIFS(TableECFTransport[EnergieConsumptieFactor (PJ per km)],TableECFTransport[Index],CONCATENATE($A8,"_LPG_LPG"))</f>
        <v>1.2994386864349438E-3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0.23925060508782484</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6.2982418588739042E-2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1.3673503425684875E-2</v>
      </c>
      <c r="N8" s="420"/>
      <c r="O8" s="420"/>
      <c r="P8" s="421"/>
    </row>
    <row r="9" spans="1:18">
      <c r="A9" s="260" t="s">
        <v>711</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1.4540922530148791E-8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2.9228563138531095E-3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6.2606344500767442E-8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1.3197128296060231E-4</v>
      </c>
      <c r="N9" s="420"/>
      <c r="O9" s="420"/>
      <c r="P9" s="421"/>
    </row>
    <row r="10" spans="1:18">
      <c r="A10" s="260" t="s">
        <v>712</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5.8397739282603834E-5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4.847489203295561E-5</v>
      </c>
      <c r="E10" s="422">
        <f>vkm_SW_PW*SUMIFS(TableVerdeelsleutelVkm[LPG],TableVerdeelsleutelVkm[Voertuigtype],"Lichte voertuigen")*SUMIFS(TableECFTransport[EnergieConsumptieFactor (PJ per km)],TableECFTransport[Index],CONCATENATE($A10,"_LPG_LPG"))</f>
        <v>2.1427390312967805E-3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0.38926565434931676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8.8187241551469106E-2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2.1595786055733458E-2</v>
      </c>
      <c r="N10" s="420"/>
      <c r="O10" s="420"/>
      <c r="P10" s="421"/>
    </row>
    <row r="11" spans="1:18">
      <c r="A11" s="4" t="s">
        <v>713</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1.3543245347273287E-6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0.20192760627121825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4.9723664247384384E-6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9.1173594029725011E-3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50.008740802564851</v>
      </c>
      <c r="C14" s="21"/>
      <c r="D14" s="21">
        <f t="shared" ref="D14:M14" si="0">((D5)*10^9/3600)+D12</f>
        <v>46.719833339302404</v>
      </c>
      <c r="E14" s="21">
        <f t="shared" si="0"/>
        <v>1773.7998256065384</v>
      </c>
      <c r="F14" s="21"/>
      <c r="G14" s="21">
        <f t="shared" si="0"/>
        <v>455220.90472501138</v>
      </c>
      <c r="H14" s="21">
        <f t="shared" si="0"/>
        <v>81283.922573247022</v>
      </c>
      <c r="I14" s="21"/>
      <c r="J14" s="21"/>
      <c r="K14" s="21"/>
      <c r="L14" s="21"/>
      <c r="M14" s="21">
        <f t="shared" si="0"/>
        <v>24258.992814121768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0.20016661037863342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10.010080135753066</v>
      </c>
      <c r="C18" s="23"/>
      <c r="D18" s="23">
        <f t="shared" ref="D18:M18" si="1">D14*D16</f>
        <v>9.4374063345390855</v>
      </c>
      <c r="E18" s="23">
        <f t="shared" si="1"/>
        <v>402.65256041268424</v>
      </c>
      <c r="F18" s="23"/>
      <c r="G18" s="23">
        <f t="shared" si="1"/>
        <v>121543.98156157804</v>
      </c>
      <c r="H18" s="23">
        <f t="shared" si="1"/>
        <v>20239.69672073851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715</v>
      </c>
      <c r="D23" s="900" t="s">
        <v>716</v>
      </c>
      <c r="E23" s="900" t="s">
        <v>717</v>
      </c>
      <c r="F23" s="900" t="s">
        <v>656</v>
      </c>
      <c r="G23" s="900" t="s">
        <v>718</v>
      </c>
      <c r="H23" s="900" t="s">
        <v>719</v>
      </c>
      <c r="I23" s="900" t="s">
        <v>112</v>
      </c>
      <c r="J23" s="900" t="s">
        <v>720</v>
      </c>
      <c r="K23" s="900" t="s">
        <v>721</v>
      </c>
      <c r="L23" s="901" t="s">
        <v>722</v>
      </c>
      <c r="M23" s="129" t="s">
        <v>175</v>
      </c>
      <c r="N23" s="267" t="s">
        <v>305</v>
      </c>
    </row>
    <row r="24" spans="1:18">
      <c r="A24" s="32" t="s">
        <v>706</v>
      </c>
      <c r="B24" s="1049">
        <v>9.0584094997558823E-5</v>
      </c>
      <c r="C24" s="1049">
        <v>0.79255752765054543</v>
      </c>
      <c r="D24" s="1049" t="s">
        <v>887</v>
      </c>
      <c r="E24" s="1049">
        <v>3.7876965279153736E-5</v>
      </c>
      <c r="F24" s="1050"/>
      <c r="G24" s="1049">
        <v>3.379640669428631E-4</v>
      </c>
      <c r="H24" s="1049" t="s">
        <v>887</v>
      </c>
      <c r="I24" s="1049">
        <v>3.6821160983672081E-3</v>
      </c>
      <c r="J24" s="1049">
        <v>0.20098925657405553</v>
      </c>
      <c r="K24" s="1049">
        <v>2.2620093728658659E-3</v>
      </c>
      <c r="L24" s="1049">
        <v>4.2665176946103459E-5</v>
      </c>
      <c r="M24" s="1040" t="s">
        <v>888</v>
      </c>
      <c r="N24" s="872">
        <f>SUM(B24:L24)</f>
        <v>0.99999999999999967</v>
      </c>
    </row>
    <row r="25" spans="1:18">
      <c r="A25" s="32" t="s">
        <v>708</v>
      </c>
      <c r="B25" s="1049" t="s">
        <v>887</v>
      </c>
      <c r="C25" s="1049">
        <v>0.9999509298945044</v>
      </c>
      <c r="D25" s="1049" t="s">
        <v>887</v>
      </c>
      <c r="E25" s="1049" t="s">
        <v>887</v>
      </c>
      <c r="F25" s="1050"/>
      <c r="G25" s="1049">
        <v>1.3549007354225309E-5</v>
      </c>
      <c r="H25" s="1049" t="s">
        <v>887</v>
      </c>
      <c r="I25" s="1049" t="s">
        <v>887</v>
      </c>
      <c r="J25" s="1049">
        <v>3.5521098141450554E-5</v>
      </c>
      <c r="K25" s="1049" t="s">
        <v>887</v>
      </c>
      <c r="L25" s="1049" t="s">
        <v>887</v>
      </c>
      <c r="M25" s="1040" t="s">
        <v>888</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907</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3.2998154413242257E-4</v>
      </c>
      <c r="C50" s="316">
        <f t="shared" ref="C50:P50" si="2">SUM(C51:C52)</f>
        <v>0</v>
      </c>
      <c r="D50" s="316">
        <f t="shared" si="2"/>
        <v>0</v>
      </c>
      <c r="E50" s="316">
        <f t="shared" si="2"/>
        <v>0</v>
      </c>
      <c r="F50" s="316">
        <f t="shared" si="2"/>
        <v>0</v>
      </c>
      <c r="G50" s="316">
        <f t="shared" si="2"/>
        <v>6.4229038844981906E-2</v>
      </c>
      <c r="H50" s="316">
        <f t="shared" si="2"/>
        <v>0</v>
      </c>
      <c r="I50" s="316">
        <f t="shared" si="2"/>
        <v>0</v>
      </c>
      <c r="J50" s="316">
        <f t="shared" si="2"/>
        <v>0</v>
      </c>
      <c r="K50" s="316">
        <f t="shared" si="2"/>
        <v>0</v>
      </c>
      <c r="L50" s="316">
        <f t="shared" si="2"/>
        <v>0</v>
      </c>
      <c r="M50" s="316">
        <f t="shared" si="2"/>
        <v>2.8800840702578514E-3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3.2998154413242257E-4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6.4229038844981906E-2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2.8800840702578514E-3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91.661540036784061</v>
      </c>
      <c r="C54" s="21">
        <f t="shared" ref="C54:P54" si="3">(C50)*10^9/3600</f>
        <v>0</v>
      </c>
      <c r="D54" s="21">
        <f t="shared" si="3"/>
        <v>0</v>
      </c>
      <c r="E54" s="21">
        <f t="shared" si="3"/>
        <v>0</v>
      </c>
      <c r="F54" s="21">
        <f t="shared" si="3"/>
        <v>0</v>
      </c>
      <c r="G54" s="21">
        <f t="shared" si="3"/>
        <v>17841.399679161641</v>
      </c>
      <c r="H54" s="21">
        <f t="shared" si="3"/>
        <v>0</v>
      </c>
      <c r="I54" s="21">
        <f t="shared" si="3"/>
        <v>0</v>
      </c>
      <c r="J54" s="21">
        <f t="shared" si="3"/>
        <v>0</v>
      </c>
      <c r="K54" s="21">
        <f t="shared" si="3"/>
        <v>0</v>
      </c>
      <c r="L54" s="21">
        <f t="shared" si="3"/>
        <v>0</v>
      </c>
      <c r="M54" s="21">
        <f t="shared" si="3"/>
        <v>800.02335284940318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0.20016661037863342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18.347579771248462</v>
      </c>
      <c r="C58" s="23">
        <f t="shared" ref="C58:P58" ca="1" si="4">C54*C56</f>
        <v>0</v>
      </c>
      <c r="D58" s="23">
        <f t="shared" si="4"/>
        <v>0</v>
      </c>
      <c r="E58" s="23">
        <f t="shared" si="4"/>
        <v>0</v>
      </c>
      <c r="F58" s="23">
        <f t="shared" si="4"/>
        <v>0</v>
      </c>
      <c r="G58" s="23">
        <f t="shared" si="4"/>
        <v>4763.6537143361584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557</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886</v>
      </c>
      <c r="B65" s="1048">
        <v>2.1999999999999999E-2</v>
      </c>
      <c r="C65" s="173" t="s">
        <v>737</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558</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839</v>
      </c>
      <c r="N2" s="1246" t="s">
        <v>840</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15825.32915</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22393.095567563796</v>
      </c>
      <c r="C6" s="1249"/>
      <c r="D6" s="1252"/>
      <c r="E6" s="1252"/>
      <c r="F6" s="1255"/>
      <c r="G6" s="1258"/>
      <c r="H6" s="1261"/>
      <c r="I6" s="1252"/>
      <c r="J6" s="1252"/>
      <c r="K6" s="1252"/>
      <c r="L6" s="1252"/>
      <c r="M6" s="1252"/>
      <c r="N6" s="999"/>
      <c r="O6" s="543"/>
      <c r="P6" s="1244"/>
      <c r="Q6" s="1245"/>
      <c r="S6" s="1013"/>
      <c r="T6" s="1265"/>
      <c r="U6" s="1265"/>
    </row>
    <row r="7" spans="1:21" s="534" customFormat="1">
      <c r="A7" s="542" t="s">
        <v>838</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2226.15</v>
      </c>
      <c r="C8" s="546">
        <f>B51</f>
        <v>2619.0000000000005</v>
      </c>
      <c r="D8" s="1001"/>
      <c r="E8" s="1001">
        <f>E51</f>
        <v>0</v>
      </c>
      <c r="F8" s="1002"/>
      <c r="G8" s="547"/>
      <c r="H8" s="1001">
        <f>I51</f>
        <v>0</v>
      </c>
      <c r="I8" s="1001">
        <f>G51+F51</f>
        <v>0</v>
      </c>
      <c r="J8" s="1001">
        <f>H51+D51+C51</f>
        <v>0</v>
      </c>
      <c r="K8" s="1001"/>
      <c r="L8" s="1001"/>
      <c r="M8" s="1001"/>
      <c r="N8" s="548"/>
      <c r="O8" s="549">
        <f>C8*$C$12+D8*$D$12+E8*$E$12+F8*$F$12+G8*$G$12+H8*$H$12+I8*$I$12+J8*$J$12</f>
        <v>529.03800000000012</v>
      </c>
      <c r="P8" s="1244"/>
      <c r="Q8" s="1245"/>
      <c r="S8" s="1013"/>
      <c r="T8" s="1265"/>
      <c r="U8" s="1265"/>
    </row>
    <row r="9" spans="1:21" s="534" customFormat="1" ht="17.45" customHeight="1" thickBot="1">
      <c r="A9" s="550" t="s">
        <v>237</v>
      </c>
      <c r="B9" s="551">
        <f>N39+'Eigen informatie GS &amp; warmtenet'!B12</f>
        <v>1237.5</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41682.074717563795</v>
      </c>
      <c r="C10" s="559">
        <f t="shared" ref="C10:L10" si="0">SUM(C8:C9)</f>
        <v>2619.0000000000005</v>
      </c>
      <c r="D10" s="559">
        <f t="shared" si="0"/>
        <v>0</v>
      </c>
      <c r="E10" s="559">
        <f t="shared" si="0"/>
        <v>0</v>
      </c>
      <c r="F10" s="559">
        <f t="shared" si="0"/>
        <v>0</v>
      </c>
      <c r="G10" s="559">
        <f t="shared" si="0"/>
        <v>0</v>
      </c>
      <c r="H10" s="559">
        <f t="shared" si="0"/>
        <v>0</v>
      </c>
      <c r="I10" s="559">
        <f t="shared" si="0"/>
        <v>0</v>
      </c>
      <c r="J10" s="559">
        <f t="shared" si="0"/>
        <v>3535.7142857142858</v>
      </c>
      <c r="K10" s="559">
        <f t="shared" si="0"/>
        <v>0</v>
      </c>
      <c r="L10" s="559">
        <f t="shared" si="0"/>
        <v>0</v>
      </c>
      <c r="M10" s="1004"/>
      <c r="N10" s="1004"/>
      <c r="O10" s="560">
        <f>SUM(O4:O9)</f>
        <v>529.03800000000012</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839</v>
      </c>
      <c r="N15" s="1246" t="s">
        <v>840</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3180.2142857142858</v>
      </c>
      <c r="C17" s="571">
        <f>B52</f>
        <v>3741.428571428572</v>
      </c>
      <c r="D17" s="572"/>
      <c r="E17" s="572">
        <f>E52</f>
        <v>0</v>
      </c>
      <c r="F17" s="1007"/>
      <c r="G17" s="573"/>
      <c r="H17" s="571">
        <f>I52</f>
        <v>0</v>
      </c>
      <c r="I17" s="572">
        <f>G52+F52</f>
        <v>0</v>
      </c>
      <c r="J17" s="572">
        <f>H52+D52+C52</f>
        <v>0</v>
      </c>
      <c r="K17" s="572"/>
      <c r="L17" s="572"/>
      <c r="M17" s="572"/>
      <c r="N17" s="1008"/>
      <c r="O17" s="574">
        <f>C17*$C$22+E17*$E$22+H17*$H$22+I17*$I$22+J17*$J$22+D17*$D$22+F17*$F$22+G17*$G$22+K17*$K$22+L17*$L$22</f>
        <v>755.76857142857159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3180.2142857142858</v>
      </c>
      <c r="C20" s="558">
        <f>SUM(C17:C19)</f>
        <v>3741.428571428572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755.76857142857159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71022</v>
      </c>
      <c r="C28" s="777">
        <v>3500</v>
      </c>
      <c r="D28" s="630"/>
      <c r="E28" s="629"/>
      <c r="F28" s="629"/>
      <c r="G28" s="629" t="s">
        <v>926</v>
      </c>
      <c r="H28" s="629" t="s">
        <v>927</v>
      </c>
      <c r="I28" s="629"/>
      <c r="J28" s="776"/>
      <c r="K28" s="776"/>
      <c r="L28" s="629" t="s">
        <v>928</v>
      </c>
      <c r="M28" s="629">
        <v>4.7</v>
      </c>
      <c r="N28" s="629">
        <v>21.150000000000002</v>
      </c>
      <c r="O28" s="629">
        <v>30.214285714285719</v>
      </c>
      <c r="P28" s="629">
        <v>60.428571428571438</v>
      </c>
      <c r="Q28" s="629">
        <v>0</v>
      </c>
      <c r="R28" s="629">
        <v>0</v>
      </c>
      <c r="S28" s="629">
        <v>0</v>
      </c>
      <c r="T28" s="629">
        <v>0</v>
      </c>
      <c r="U28" s="629">
        <v>0</v>
      </c>
      <c r="V28" s="629">
        <v>0</v>
      </c>
      <c r="W28" s="629">
        <v>0</v>
      </c>
      <c r="X28" s="629">
        <v>1600</v>
      </c>
      <c r="Y28" s="629" t="s">
        <v>49</v>
      </c>
      <c r="Z28" s="631" t="s">
        <v>149</v>
      </c>
    </row>
    <row r="29" spans="1:26" s="583" customFormat="1" ht="51" hidden="1">
      <c r="A29" s="582"/>
      <c r="B29" s="777">
        <v>71022</v>
      </c>
      <c r="C29" s="777">
        <v>3500</v>
      </c>
      <c r="D29" s="630"/>
      <c r="E29" s="629"/>
      <c r="F29" s="629"/>
      <c r="G29" s="629" t="s">
        <v>926</v>
      </c>
      <c r="H29" s="629" t="s">
        <v>927</v>
      </c>
      <c r="I29" s="629"/>
      <c r="J29" s="776"/>
      <c r="K29" s="776"/>
      <c r="L29" s="629" t="s">
        <v>928</v>
      </c>
      <c r="M29" s="629">
        <v>220</v>
      </c>
      <c r="N29" s="629">
        <v>990</v>
      </c>
      <c r="O29" s="629">
        <v>1414.2857142857142</v>
      </c>
      <c r="P29" s="629">
        <v>2828.5714285714289</v>
      </c>
      <c r="Q29" s="629">
        <v>0</v>
      </c>
      <c r="R29" s="629">
        <v>0</v>
      </c>
      <c r="S29" s="629">
        <v>0</v>
      </c>
      <c r="T29" s="629">
        <v>0</v>
      </c>
      <c r="U29" s="629">
        <v>0</v>
      </c>
      <c r="V29" s="629">
        <v>0</v>
      </c>
      <c r="W29" s="629">
        <v>0</v>
      </c>
      <c r="X29" s="629">
        <v>1500</v>
      </c>
      <c r="Y29" s="629" t="s">
        <v>50</v>
      </c>
      <c r="Z29" s="631" t="s">
        <v>149</v>
      </c>
    </row>
    <row r="30" spans="1:26" s="583" customFormat="1" ht="25.5" hidden="1">
      <c r="A30" s="582"/>
      <c r="B30" s="777">
        <v>71022</v>
      </c>
      <c r="C30" s="777">
        <v>3511</v>
      </c>
      <c r="D30" s="630"/>
      <c r="E30" s="629"/>
      <c r="F30" s="629"/>
      <c r="G30" s="629" t="s">
        <v>926</v>
      </c>
      <c r="H30" s="629" t="s">
        <v>927</v>
      </c>
      <c r="I30" s="629"/>
      <c r="J30" s="776"/>
      <c r="K30" s="776"/>
      <c r="L30" s="629" t="s">
        <v>928</v>
      </c>
      <c r="M30" s="629">
        <v>50</v>
      </c>
      <c r="N30" s="629">
        <v>225</v>
      </c>
      <c r="O30" s="629">
        <v>321.42857142857144</v>
      </c>
      <c r="P30" s="629">
        <v>642.85714285714289</v>
      </c>
      <c r="Q30" s="629">
        <v>0</v>
      </c>
      <c r="R30" s="629">
        <v>0</v>
      </c>
      <c r="S30" s="629">
        <v>0</v>
      </c>
      <c r="T30" s="629">
        <v>0</v>
      </c>
      <c r="U30" s="629">
        <v>0</v>
      </c>
      <c r="V30" s="629">
        <v>0</v>
      </c>
      <c r="W30" s="629">
        <v>0</v>
      </c>
      <c r="X30" s="629">
        <v>800</v>
      </c>
      <c r="Y30" s="629" t="s">
        <v>35</v>
      </c>
      <c r="Z30" s="631" t="s">
        <v>377</v>
      </c>
    </row>
    <row r="31" spans="1:26" s="583" customFormat="1" ht="51" hidden="1">
      <c r="A31" s="582"/>
      <c r="B31" s="777">
        <v>71022</v>
      </c>
      <c r="C31" s="777">
        <v>3500</v>
      </c>
      <c r="D31" s="630"/>
      <c r="E31" s="629"/>
      <c r="F31" s="629"/>
      <c r="G31" s="629" t="s">
        <v>926</v>
      </c>
      <c r="H31" s="629" t="s">
        <v>927</v>
      </c>
      <c r="I31" s="629"/>
      <c r="J31" s="776"/>
      <c r="K31" s="776"/>
      <c r="L31" s="629" t="s">
        <v>928</v>
      </c>
      <c r="M31" s="629">
        <v>220</v>
      </c>
      <c r="N31" s="629">
        <v>990</v>
      </c>
      <c r="O31" s="629">
        <v>1414.2857142857142</v>
      </c>
      <c r="P31" s="629">
        <v>2828.5714285714289</v>
      </c>
      <c r="Q31" s="629">
        <v>0</v>
      </c>
      <c r="R31" s="629">
        <v>0</v>
      </c>
      <c r="S31" s="629">
        <v>0</v>
      </c>
      <c r="T31" s="629">
        <v>0</v>
      </c>
      <c r="U31" s="629">
        <v>0</v>
      </c>
      <c r="V31" s="629">
        <v>0</v>
      </c>
      <c r="W31" s="629">
        <v>0</v>
      </c>
      <c r="X31" s="629">
        <v>1500</v>
      </c>
      <c r="Y31" s="629" t="s">
        <v>50</v>
      </c>
      <c r="Z31" s="631" t="s">
        <v>149</v>
      </c>
    </row>
    <row r="32" spans="1:26" s="566" customFormat="1" hidden="1">
      <c r="A32" s="585" t="s">
        <v>269</v>
      </c>
      <c r="B32" s="586"/>
      <c r="C32" s="586"/>
      <c r="D32" s="586"/>
      <c r="E32" s="586"/>
      <c r="F32" s="586"/>
      <c r="G32" s="586"/>
      <c r="H32" s="586"/>
      <c r="I32" s="586"/>
      <c r="J32" s="586"/>
      <c r="K32" s="586"/>
      <c r="L32" s="587"/>
      <c r="M32" s="587">
        <f>SUM(M28:M31)</f>
        <v>494.7</v>
      </c>
      <c r="N32" s="587">
        <f>SUM(N28:N31)</f>
        <v>2226.15</v>
      </c>
      <c r="O32" s="587">
        <f>SUM(O28:O31)</f>
        <v>3180.2142857142858</v>
      </c>
      <c r="P32" s="587">
        <f>SUM(P28:P31)</f>
        <v>6360.4285714285725</v>
      </c>
      <c r="Q32" s="587">
        <f>SUM(Q28:Q31)</f>
        <v>0</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50</v>
      </c>
      <c r="N33" s="587">
        <f>SUMIF($Z$28:$Z$31,"industrie",N28:N31)</f>
        <v>225</v>
      </c>
      <c r="O33" s="587">
        <f>SUMIF($Z$28:$Z$31,"industrie",O28:O31)</f>
        <v>321.42857142857144</v>
      </c>
      <c r="P33" s="587">
        <f>SUMIF($Z$28:$Z$31,"industrie",P28:P31)</f>
        <v>642.85714285714289</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444.7</v>
      </c>
      <c r="N34" s="587">
        <f ca="1">SUMIF($Z$28:AD31,"tertiair",N28:N31)</f>
        <v>2001.15</v>
      </c>
      <c r="O34" s="587">
        <f ca="1">SUMIF($Z$28:AE31,"tertiair",O28:O31)</f>
        <v>2858.7857142857142</v>
      </c>
      <c r="P34" s="587">
        <f ca="1">SUMIF($Z$28:AF31,"tertiair",P28:P31)</f>
        <v>5717.5714285714294</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63.75" hidden="1">
      <c r="A38" s="584"/>
      <c r="B38" s="777">
        <v>71022</v>
      </c>
      <c r="C38" s="777">
        <v>3511</v>
      </c>
      <c r="D38" s="632"/>
      <c r="E38" s="632"/>
      <c r="F38" s="632"/>
      <c r="G38" s="632" t="s">
        <v>929</v>
      </c>
      <c r="H38" s="632" t="s">
        <v>930</v>
      </c>
      <c r="I38" s="632"/>
      <c r="J38" s="776"/>
      <c r="K38" s="776"/>
      <c r="L38" s="632" t="s">
        <v>928</v>
      </c>
      <c r="M38" s="632">
        <v>275</v>
      </c>
      <c r="N38" s="632">
        <v>1237.5</v>
      </c>
      <c r="O38" s="632">
        <v>0</v>
      </c>
      <c r="P38" s="632">
        <v>0</v>
      </c>
      <c r="Q38" s="632">
        <v>3535.7142857142858</v>
      </c>
      <c r="R38" s="632">
        <v>0</v>
      </c>
      <c r="S38" s="632">
        <v>0</v>
      </c>
      <c r="T38" s="632">
        <v>0</v>
      </c>
      <c r="U38" s="632">
        <v>0</v>
      </c>
      <c r="V38" s="632">
        <v>0</v>
      </c>
      <c r="W38" s="632">
        <v>0</v>
      </c>
      <c r="X38" s="632">
        <v>1600</v>
      </c>
      <c r="Y38" s="632" t="s">
        <v>49</v>
      </c>
      <c r="Z38" s="633" t="s">
        <v>149</v>
      </c>
    </row>
    <row r="39" spans="1:27" s="566" customFormat="1" hidden="1">
      <c r="A39" s="585" t="s">
        <v>269</v>
      </c>
      <c r="B39" s="586"/>
      <c r="C39" s="586"/>
      <c r="D39" s="586"/>
      <c r="E39" s="586"/>
      <c r="F39" s="586"/>
      <c r="G39" s="586"/>
      <c r="H39" s="586"/>
      <c r="I39" s="586"/>
      <c r="J39" s="586"/>
      <c r="K39" s="586"/>
      <c r="L39" s="587"/>
      <c r="M39" s="587">
        <f>SUM(M38:M38)</f>
        <v>275</v>
      </c>
      <c r="N39" s="587">
        <f>SUM(N38:N38)</f>
        <v>1237.5</v>
      </c>
      <c r="O39" s="587">
        <f>SUM(O38:O38)</f>
        <v>0</v>
      </c>
      <c r="P39" s="587">
        <f>SUM(P38:P38)</f>
        <v>0</v>
      </c>
      <c r="Q39" s="587">
        <f>SUM(Q38:Q38)</f>
        <v>3535.7142857142858</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275</v>
      </c>
      <c r="N41" s="587">
        <f>SUMIF($Z$38:$Z$39,"tertiair",N38:N39)</f>
        <v>1237.5</v>
      </c>
      <c r="O41" s="587">
        <f>SUMIF($Z$38:$Z$39,"tertiair",O38:O39)</f>
        <v>0</v>
      </c>
      <c r="P41" s="587">
        <f>SUMIF($Z$38:$Z$39,"tertiair",P38:P39)</f>
        <v>0</v>
      </c>
      <c r="Q41" s="587">
        <f>SUMIF($Z$38:$Z$39,"tertiair",Q38:Q39)</f>
        <v>3535.7142857142858</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2619.0000000000005</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3741.428571428572</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872</v>
      </c>
      <c r="B2" s="1056" t="s">
        <v>895</v>
      </c>
      <c r="C2" s="1055" t="s">
        <v>658</v>
      </c>
      <c r="D2" s="1055" t="s">
        <v>744</v>
      </c>
      <c r="E2" s="344"/>
      <c r="F2" s="909" t="s">
        <v>751</v>
      </c>
      <c r="G2" s="909" t="s">
        <v>752</v>
      </c>
      <c r="H2" s="342" t="s">
        <v>753</v>
      </c>
      <c r="I2" s="870"/>
    </row>
    <row r="3" spans="1:9" s="11" customFormat="1">
      <c r="A3" s="1055" t="s">
        <v>907</v>
      </c>
      <c r="B3" s="1056" t="s">
        <v>908</v>
      </c>
      <c r="C3" s="1055" t="s">
        <v>186</v>
      </c>
      <c r="D3" s="1057" t="s">
        <v>909</v>
      </c>
      <c r="E3" s="905"/>
      <c r="F3" s="881" t="s">
        <v>731</v>
      </c>
      <c r="G3" s="881" t="s">
        <v>732</v>
      </c>
      <c r="H3" s="881" t="s">
        <v>733</v>
      </c>
    </row>
    <row r="4" spans="1:9" s="870" customFormat="1">
      <c r="A4" s="904" t="s">
        <v>399</v>
      </c>
      <c r="B4" s="911">
        <v>2014</v>
      </c>
      <c r="C4" s="904" t="s">
        <v>399</v>
      </c>
      <c r="D4" s="904" t="s">
        <v>749</v>
      </c>
      <c r="E4" s="905"/>
      <c r="F4" s="906" t="s">
        <v>734</v>
      </c>
      <c r="G4" s="906" t="s">
        <v>735</v>
      </c>
      <c r="H4" s="906" t="s">
        <v>736</v>
      </c>
    </row>
    <row r="5" spans="1:9">
      <c r="A5" s="338" t="s">
        <v>389</v>
      </c>
      <c r="B5" s="339" t="s">
        <v>661</v>
      </c>
      <c r="C5" s="338" t="s">
        <v>389</v>
      </c>
      <c r="D5" s="338" t="s">
        <v>667</v>
      </c>
      <c r="E5" s="340"/>
      <c r="F5" s="341" t="s">
        <v>390</v>
      </c>
      <c r="G5" s="341" t="s">
        <v>391</v>
      </c>
      <c r="H5" s="342" t="s">
        <v>392</v>
      </c>
    </row>
    <row r="6" spans="1:9">
      <c r="A6" s="338" t="s">
        <v>393</v>
      </c>
      <c r="B6" s="339" t="s">
        <v>661</v>
      </c>
      <c r="C6" s="338" t="s">
        <v>393</v>
      </c>
      <c r="D6" s="338" t="s">
        <v>668</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748</v>
      </c>
      <c r="B8" s="913">
        <v>2014</v>
      </c>
      <c r="C8" s="343" t="s">
        <v>399</v>
      </c>
      <c r="D8" s="343" t="s">
        <v>897</v>
      </c>
      <c r="E8" s="905" t="s">
        <v>750</v>
      </c>
      <c r="F8" s="881"/>
      <c r="G8" s="881"/>
      <c r="H8" s="881"/>
    </row>
    <row r="9" spans="1:9" s="11" customFormat="1">
      <c r="A9" s="343" t="s">
        <v>769</v>
      </c>
      <c r="B9" s="781" t="s">
        <v>770</v>
      </c>
      <c r="C9" s="343" t="s">
        <v>771</v>
      </c>
      <c r="D9" s="343" t="s">
        <v>767</v>
      </c>
      <c r="E9" s="345" t="s">
        <v>766</v>
      </c>
      <c r="F9" s="881"/>
      <c r="G9" s="881"/>
      <c r="H9" s="881"/>
    </row>
    <row r="10" spans="1:9">
      <c r="A10" s="343" t="s">
        <v>625</v>
      </c>
      <c r="B10" s="877" t="s">
        <v>669</v>
      </c>
      <c r="C10" s="343" t="s">
        <v>630</v>
      </c>
      <c r="D10" s="343" t="s">
        <v>631</v>
      </c>
      <c r="E10" s="340"/>
      <c r="F10" s="341" t="s">
        <v>627</v>
      </c>
      <c r="G10" s="341" t="s">
        <v>628</v>
      </c>
      <c r="H10" s="342" t="s">
        <v>629</v>
      </c>
    </row>
    <row r="11" spans="1:9" s="870" customFormat="1">
      <c r="A11" s="907" t="s">
        <v>738</v>
      </c>
      <c r="B11" s="908" t="s">
        <v>739</v>
      </c>
      <c r="C11" s="907" t="s">
        <v>740</v>
      </c>
      <c r="D11" s="1051" t="s">
        <v>900</v>
      </c>
      <c r="E11" s="675"/>
      <c r="F11" s="909" t="s">
        <v>741</v>
      </c>
      <c r="G11" s="909" t="s">
        <v>742</v>
      </c>
      <c r="H11" s="342" t="s">
        <v>743</v>
      </c>
    </row>
    <row r="12" spans="1:9" s="870" customFormat="1">
      <c r="A12" s="904" t="s">
        <v>754</v>
      </c>
      <c r="B12" s="911">
        <v>2017</v>
      </c>
      <c r="C12" s="904" t="s">
        <v>418</v>
      </c>
      <c r="D12" s="904" t="s">
        <v>755</v>
      </c>
      <c r="E12" s="912"/>
      <c r="F12" s="909" t="s">
        <v>751</v>
      </c>
      <c r="G12" s="909" t="s">
        <v>752</v>
      </c>
      <c r="H12" s="342" t="s">
        <v>753</v>
      </c>
    </row>
    <row r="13" spans="1:9" s="10" customFormat="1">
      <c r="A13" s="343" t="s">
        <v>401</v>
      </c>
      <c r="B13" s="339" t="s">
        <v>417</v>
      </c>
      <c r="C13" s="338"/>
      <c r="D13" s="347" t="s">
        <v>416</v>
      </c>
      <c r="E13" s="340"/>
      <c r="F13" s="341"/>
      <c r="G13" s="341"/>
      <c r="H13" s="342"/>
    </row>
    <row r="14" spans="1:9">
      <c r="A14" s="338" t="s">
        <v>383</v>
      </c>
      <c r="B14" s="339" t="s">
        <v>626</v>
      </c>
      <c r="C14" s="338"/>
      <c r="D14" s="338" t="s">
        <v>388</v>
      </c>
      <c r="E14" s="345" t="s">
        <v>384</v>
      </c>
      <c r="F14" s="341" t="s">
        <v>385</v>
      </c>
      <c r="G14" s="341" t="s">
        <v>386</v>
      </c>
      <c r="H14" s="341" t="s">
        <v>387</v>
      </c>
    </row>
    <row r="15" spans="1:9">
      <c r="A15" s="338" t="s">
        <v>400</v>
      </c>
      <c r="B15" s="339" t="s">
        <v>661</v>
      </c>
      <c r="C15" s="338" t="s">
        <v>400</v>
      </c>
      <c r="D15" s="338" t="s">
        <v>414</v>
      </c>
      <c r="E15" s="340"/>
      <c r="F15" s="341" t="s">
        <v>781</v>
      </c>
      <c r="G15" s="341" t="s">
        <v>782</v>
      </c>
      <c r="H15" s="342" t="s">
        <v>783</v>
      </c>
    </row>
    <row r="16" spans="1:9" s="878" customFormat="1">
      <c r="A16" s="882" t="s">
        <v>502</v>
      </c>
      <c r="B16" s="883" t="s">
        <v>368</v>
      </c>
      <c r="C16" s="882" t="s">
        <v>366</v>
      </c>
      <c r="D16" s="884" t="s">
        <v>367</v>
      </c>
      <c r="E16" s="885" t="s">
        <v>369</v>
      </c>
      <c r="F16" s="910" t="s">
        <v>745</v>
      </c>
      <c r="G16" s="910" t="s">
        <v>746</v>
      </c>
      <c r="H16" s="342" t="s">
        <v>747</v>
      </c>
    </row>
    <row r="17" spans="1:8" s="878" customFormat="1">
      <c r="A17" s="882" t="s">
        <v>502</v>
      </c>
      <c r="B17" s="883" t="s">
        <v>775</v>
      </c>
      <c r="C17" s="882" t="s">
        <v>777</v>
      </c>
      <c r="D17" s="884" t="s">
        <v>778</v>
      </c>
      <c r="E17" s="885"/>
      <c r="F17" s="910" t="s">
        <v>745</v>
      </c>
      <c r="G17" s="910" t="s">
        <v>746</v>
      </c>
      <c r="H17" s="342" t="s">
        <v>747</v>
      </c>
    </row>
    <row r="18" spans="1:8" s="11" customFormat="1">
      <c r="A18" s="343" t="s">
        <v>501</v>
      </c>
      <c r="B18" s="346" t="s">
        <v>661</v>
      </c>
      <c r="C18" s="343" t="s">
        <v>418</v>
      </c>
      <c r="D18" s="343" t="s">
        <v>672</v>
      </c>
      <c r="E18" s="344"/>
      <c r="F18" s="906" t="s">
        <v>745</v>
      </c>
      <c r="G18" s="910" t="s">
        <v>746</v>
      </c>
      <c r="H18" s="342" t="s">
        <v>747</v>
      </c>
    </row>
    <row r="19" spans="1:8">
      <c r="A19" s="343" t="s">
        <v>186</v>
      </c>
      <c r="B19" s="781" t="s">
        <v>682</v>
      </c>
      <c r="C19" s="343" t="s">
        <v>419</v>
      </c>
      <c r="D19" s="343" t="s">
        <v>420</v>
      </c>
      <c r="E19" s="340"/>
      <c r="F19" s="341" t="s">
        <v>421</v>
      </c>
      <c r="G19" s="341" t="s">
        <v>422</v>
      </c>
      <c r="H19" s="342" t="s">
        <v>423</v>
      </c>
    </row>
    <row r="20" spans="1:8" s="11" customFormat="1">
      <c r="A20" s="1062" t="s">
        <v>898</v>
      </c>
      <c r="B20" s="1063" t="s">
        <v>896</v>
      </c>
      <c r="C20" s="1062" t="s">
        <v>186</v>
      </c>
      <c r="D20" s="1062" t="s">
        <v>899</v>
      </c>
      <c r="E20" s="905"/>
      <c r="F20" s="906" t="s">
        <v>731</v>
      </c>
      <c r="G20" s="906" t="s">
        <v>732</v>
      </c>
      <c r="H20" s="906" t="s">
        <v>733</v>
      </c>
    </row>
    <row r="21" spans="1:8" s="870" customFormat="1">
      <c r="A21" s="343" t="s">
        <v>400</v>
      </c>
      <c r="B21" s="781" t="s">
        <v>775</v>
      </c>
      <c r="C21" s="343" t="s">
        <v>400</v>
      </c>
      <c r="D21" s="343" t="s">
        <v>779</v>
      </c>
      <c r="E21" s="340"/>
      <c r="F21" s="341" t="s">
        <v>784</v>
      </c>
      <c r="G21" s="341" t="s">
        <v>785</v>
      </c>
      <c r="H21" s="342" t="s">
        <v>786</v>
      </c>
    </row>
    <row r="22" spans="1:8" s="870" customFormat="1">
      <c r="A22" s="343" t="s">
        <v>400</v>
      </c>
      <c r="B22" s="781" t="s">
        <v>776</v>
      </c>
      <c r="C22" s="343" t="s">
        <v>400</v>
      </c>
      <c r="D22" s="343" t="s">
        <v>780</v>
      </c>
      <c r="E22" s="340"/>
      <c r="F22" s="341" t="s">
        <v>787</v>
      </c>
      <c r="G22" s="341" t="s">
        <v>788</v>
      </c>
      <c r="H22" s="342" t="s">
        <v>789</v>
      </c>
    </row>
    <row r="23" spans="1:8">
      <c r="A23" s="343" t="s">
        <v>398</v>
      </c>
      <c r="B23" s="339" t="s">
        <v>636</v>
      </c>
      <c r="C23" s="343" t="s">
        <v>398</v>
      </c>
      <c r="D23" s="343" t="s">
        <v>670</v>
      </c>
      <c r="E23" s="340" t="s">
        <v>671</v>
      </c>
      <c r="F23" s="341" t="s">
        <v>790</v>
      </c>
      <c r="G23" s="341" t="s">
        <v>791</v>
      </c>
      <c r="H23" s="342" t="s">
        <v>792</v>
      </c>
    </row>
    <row r="24" spans="1:8">
      <c r="A24" s="338" t="s">
        <v>398</v>
      </c>
      <c r="B24" s="877" t="s">
        <v>636</v>
      </c>
      <c r="C24" s="338" t="s">
        <v>398</v>
      </c>
      <c r="D24" s="347" t="s">
        <v>637</v>
      </c>
      <c r="E24" s="340" t="s">
        <v>415</v>
      </c>
      <c r="F24" s="341" t="s">
        <v>790</v>
      </c>
      <c r="G24" s="341" t="s">
        <v>791</v>
      </c>
      <c r="H24" s="342" t="s">
        <v>792</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615</v>
      </c>
      <c r="B1" s="886" t="s">
        <v>616</v>
      </c>
      <c r="C1" s="886" t="s">
        <v>618</v>
      </c>
      <c r="D1" s="886" t="s">
        <v>617</v>
      </c>
    </row>
    <row r="2" spans="1:4" s="870" customFormat="1">
      <c r="A2" s="870" t="s">
        <v>664</v>
      </c>
      <c r="B2" s="758">
        <v>42283</v>
      </c>
      <c r="C2" s="870" t="s">
        <v>694</v>
      </c>
      <c r="D2" s="875" t="s">
        <v>688</v>
      </c>
    </row>
    <row r="3" spans="1:4" s="870" customFormat="1">
      <c r="A3" s="870" t="s">
        <v>664</v>
      </c>
      <c r="B3" s="758">
        <v>42282</v>
      </c>
      <c r="C3" s="870" t="s">
        <v>693</v>
      </c>
      <c r="D3" s="875" t="s">
        <v>684</v>
      </c>
    </row>
    <row r="4" spans="1:4" s="870" customFormat="1">
      <c r="A4" s="870" t="s">
        <v>664</v>
      </c>
      <c r="B4" s="758">
        <v>42282</v>
      </c>
      <c r="C4" s="870" t="s">
        <v>692</v>
      </c>
      <c r="D4" s="875" t="s">
        <v>685</v>
      </c>
    </row>
    <row r="5" spans="1:4" s="870" customFormat="1">
      <c r="A5" s="870" t="s">
        <v>664</v>
      </c>
      <c r="B5" s="758">
        <v>42282</v>
      </c>
      <c r="C5" s="870" t="s">
        <v>691</v>
      </c>
      <c r="D5" s="875" t="s">
        <v>686</v>
      </c>
    </row>
    <row r="6" spans="1:4" s="870" customFormat="1">
      <c r="A6" s="870" t="s">
        <v>664</v>
      </c>
      <c r="B6" s="758">
        <v>42282</v>
      </c>
      <c r="C6" s="870" t="s">
        <v>690</v>
      </c>
      <c r="D6" s="875" t="s">
        <v>687</v>
      </c>
    </row>
    <row r="7" spans="1:4">
      <c r="A7" t="s">
        <v>664</v>
      </c>
      <c r="B7" s="758">
        <v>42275</v>
      </c>
      <c r="C7" t="s">
        <v>683</v>
      </c>
      <c r="D7" s="759" t="s">
        <v>634</v>
      </c>
    </row>
    <row r="8" spans="1:4">
      <c r="A8" t="s">
        <v>664</v>
      </c>
      <c r="B8" s="758">
        <v>42234</v>
      </c>
      <c r="C8" t="s">
        <v>665</v>
      </c>
      <c r="D8" s="759" t="s">
        <v>635</v>
      </c>
    </row>
    <row r="9" spans="1:4" s="878" customFormat="1">
      <c r="A9" s="878" t="s">
        <v>664</v>
      </c>
      <c r="B9" s="879">
        <v>42234</v>
      </c>
      <c r="C9" s="878" t="s">
        <v>679</v>
      </c>
      <c r="D9" s="875" t="s">
        <v>651</v>
      </c>
    </row>
    <row r="10" spans="1:4" s="878" customFormat="1">
      <c r="A10" s="878" t="s">
        <v>664</v>
      </c>
      <c r="B10" s="879">
        <v>42234</v>
      </c>
      <c r="C10" s="878" t="s">
        <v>680</v>
      </c>
      <c r="D10" s="875" t="s">
        <v>652</v>
      </c>
    </row>
    <row r="11" spans="1:4" s="878" customFormat="1">
      <c r="A11" s="878" t="s">
        <v>695</v>
      </c>
      <c r="B11" s="879">
        <v>42430</v>
      </c>
      <c r="C11" s="878" t="s">
        <v>696</v>
      </c>
      <c r="D11" s="875" t="s">
        <v>686</v>
      </c>
    </row>
    <row r="12" spans="1:4" s="7" customFormat="1">
      <c r="A12" s="878" t="s">
        <v>695</v>
      </c>
      <c r="B12" s="879">
        <v>42468</v>
      </c>
      <c r="C12" s="878" t="s">
        <v>697</v>
      </c>
      <c r="D12" s="895" t="s">
        <v>651</v>
      </c>
    </row>
    <row r="13" spans="1:4" s="7" customFormat="1">
      <c r="A13" s="878" t="s">
        <v>695</v>
      </c>
      <c r="B13" s="897">
        <v>42538</v>
      </c>
      <c r="C13" s="897" t="s">
        <v>698</v>
      </c>
      <c r="D13" s="897"/>
    </row>
    <row r="14" spans="1:4" s="7" customFormat="1">
      <c r="A14" s="878" t="s">
        <v>695</v>
      </c>
      <c r="B14" s="897">
        <v>42538</v>
      </c>
      <c r="C14" s="897" t="s">
        <v>699</v>
      </c>
      <c r="D14" s="898" t="s">
        <v>700</v>
      </c>
    </row>
    <row r="15" spans="1:4" s="7" customFormat="1">
      <c r="A15" s="878" t="s">
        <v>695</v>
      </c>
      <c r="B15" s="897">
        <v>42538</v>
      </c>
      <c r="C15" s="897" t="s">
        <v>701</v>
      </c>
      <c r="D15" s="899" t="s">
        <v>702</v>
      </c>
    </row>
    <row r="16" spans="1:4" s="7" customFormat="1">
      <c r="A16" s="878" t="s">
        <v>695</v>
      </c>
      <c r="B16" s="897">
        <v>42538</v>
      </c>
      <c r="C16" s="897" t="s">
        <v>703</v>
      </c>
      <c r="D16" s="898" t="s">
        <v>704</v>
      </c>
    </row>
    <row r="17" spans="1:4" s="7" customFormat="1">
      <c r="A17" s="878" t="s">
        <v>725</v>
      </c>
      <c r="B17" s="897">
        <v>42583</v>
      </c>
      <c r="C17" s="897" t="s">
        <v>726</v>
      </c>
      <c r="D17" s="875" t="s">
        <v>651</v>
      </c>
    </row>
    <row r="18" spans="1:4" s="7" customFormat="1">
      <c r="A18" s="878" t="s">
        <v>728</v>
      </c>
      <c r="B18" s="758">
        <v>42877</v>
      </c>
      <c r="C18" s="870" t="s">
        <v>772</v>
      </c>
      <c r="D18" s="875" t="s">
        <v>687</v>
      </c>
    </row>
    <row r="19" spans="1:4" s="7" customFormat="1">
      <c r="A19" s="878" t="s">
        <v>728</v>
      </c>
      <c r="B19" s="758">
        <v>42877</v>
      </c>
      <c r="C19" s="870" t="s">
        <v>773</v>
      </c>
      <c r="D19" s="903" t="s">
        <v>729</v>
      </c>
    </row>
    <row r="20" spans="1:4" s="7" customFormat="1">
      <c r="A20" s="878" t="s">
        <v>728</v>
      </c>
      <c r="B20" s="758">
        <v>42877</v>
      </c>
      <c r="C20" s="870" t="s">
        <v>774</v>
      </c>
      <c r="D20" s="875" t="s">
        <v>730</v>
      </c>
    </row>
    <row r="21" spans="1:4" s="7" customFormat="1">
      <c r="A21" s="878" t="s">
        <v>756</v>
      </c>
      <c r="B21" s="897">
        <v>43167</v>
      </c>
      <c r="C21" s="897" t="s">
        <v>757</v>
      </c>
      <c r="D21" s="903" t="s">
        <v>758</v>
      </c>
    </row>
    <row r="22" spans="1:4" s="7" customFormat="1">
      <c r="A22" s="878" t="s">
        <v>756</v>
      </c>
      <c r="B22" s="897">
        <v>43167</v>
      </c>
      <c r="C22" s="897" t="s">
        <v>759</v>
      </c>
      <c r="D22" s="875" t="s">
        <v>760</v>
      </c>
    </row>
    <row r="23" spans="1:4">
      <c r="A23" s="878" t="s">
        <v>756</v>
      </c>
      <c r="B23" s="897">
        <v>43167</v>
      </c>
      <c r="C23" s="897" t="s">
        <v>761</v>
      </c>
      <c r="D23" s="875" t="s">
        <v>762</v>
      </c>
    </row>
    <row r="24" spans="1:4">
      <c r="A24" s="878" t="s">
        <v>756</v>
      </c>
      <c r="B24" s="897">
        <v>43167</v>
      </c>
      <c r="C24" s="897" t="s">
        <v>763</v>
      </c>
      <c r="D24" s="875" t="s">
        <v>764</v>
      </c>
    </row>
    <row r="25" spans="1:4">
      <c r="A25" s="878" t="s">
        <v>756</v>
      </c>
      <c r="B25" s="897">
        <v>43278</v>
      </c>
      <c r="C25" s="897" t="s">
        <v>793</v>
      </c>
      <c r="D25" s="903"/>
    </row>
    <row r="26" spans="1:4">
      <c r="A26" s="878" t="s">
        <v>794</v>
      </c>
      <c r="B26" s="758">
        <v>43425</v>
      </c>
      <c r="C26" s="897" t="s">
        <v>795</v>
      </c>
    </row>
    <row r="27" spans="1:4">
      <c r="A27" s="878" t="s">
        <v>794</v>
      </c>
      <c r="B27" s="758">
        <v>43444</v>
      </c>
      <c r="C27" s="897" t="s">
        <v>831</v>
      </c>
      <c r="D27" s="903" t="s">
        <v>832</v>
      </c>
    </row>
    <row r="28" spans="1:4">
      <c r="A28" s="878" t="s">
        <v>842</v>
      </c>
      <c r="B28" s="758">
        <v>43573</v>
      </c>
      <c r="C28" s="897" t="s">
        <v>843</v>
      </c>
    </row>
    <row r="29" spans="1:4">
      <c r="A29" s="878" t="s">
        <v>865</v>
      </c>
      <c r="B29" s="758">
        <v>43678</v>
      </c>
      <c r="C29" s="897" t="s">
        <v>866</v>
      </c>
      <c r="D29" s="875" t="s">
        <v>867</v>
      </c>
    </row>
    <row r="30" spans="1:4">
      <c r="A30" s="1039" t="s">
        <v>871</v>
      </c>
      <c r="B30" s="1046">
        <v>43930</v>
      </c>
      <c r="C30" s="1043" t="s">
        <v>868</v>
      </c>
      <c r="D30" s="1045" t="s">
        <v>869</v>
      </c>
    </row>
    <row r="31" spans="1:4">
      <c r="A31" s="1039" t="s">
        <v>871</v>
      </c>
      <c r="B31" s="1046">
        <v>43930</v>
      </c>
      <c r="C31" s="1043" t="s">
        <v>870</v>
      </c>
      <c r="D31" s="1045" t="s">
        <v>869</v>
      </c>
    </row>
    <row r="32" spans="1:4">
      <c r="A32" s="1047" t="s">
        <v>871</v>
      </c>
      <c r="B32" s="1046">
        <v>43943</v>
      </c>
      <c r="C32" s="1043" t="s">
        <v>873</v>
      </c>
      <c r="D32" s="1044" t="s">
        <v>687</v>
      </c>
    </row>
    <row r="33" spans="1:4">
      <c r="A33" s="1047" t="s">
        <v>871</v>
      </c>
      <c r="B33" s="1046">
        <v>43943</v>
      </c>
      <c r="C33" s="1043" t="s">
        <v>874</v>
      </c>
      <c r="D33" s="1045" t="s">
        <v>729</v>
      </c>
    </row>
    <row r="34" spans="1:4" ht="14.25" customHeight="1">
      <c r="A34" s="1047" t="s">
        <v>871</v>
      </c>
      <c r="B34" s="1046">
        <v>43943</v>
      </c>
      <c r="C34" s="1043" t="s">
        <v>875</v>
      </c>
      <c r="D34" s="1045" t="s">
        <v>730</v>
      </c>
    </row>
    <row r="35" spans="1:4">
      <c r="A35" s="1047" t="s">
        <v>871</v>
      </c>
      <c r="B35" s="1046">
        <v>43943</v>
      </c>
      <c r="C35" s="1043" t="s">
        <v>876</v>
      </c>
      <c r="D35" s="1045" t="s">
        <v>877</v>
      </c>
    </row>
    <row r="36" spans="1:4">
      <c r="A36" s="1047" t="s">
        <v>871</v>
      </c>
      <c r="B36" s="1046">
        <v>43951</v>
      </c>
      <c r="C36" t="s">
        <v>878</v>
      </c>
      <c r="D36" s="1045" t="s">
        <v>879</v>
      </c>
    </row>
    <row r="37" spans="1:4">
      <c r="A37" s="1047" t="s">
        <v>871</v>
      </c>
      <c r="B37" s="1046">
        <v>43965</v>
      </c>
      <c r="C37" t="s">
        <v>880</v>
      </c>
      <c r="D37" s="1044" t="s">
        <v>651</v>
      </c>
    </row>
    <row r="38" spans="1:4">
      <c r="A38" s="1047" t="s">
        <v>883</v>
      </c>
      <c r="B38" s="1046">
        <v>44315</v>
      </c>
      <c r="C38" t="s">
        <v>884</v>
      </c>
      <c r="D38" s="1044" t="s">
        <v>634</v>
      </c>
    </row>
    <row r="39" spans="1:4">
      <c r="A39" s="1058" t="s">
        <v>883</v>
      </c>
      <c r="B39" s="1059">
        <v>44326</v>
      </c>
      <c r="C39" t="s">
        <v>901</v>
      </c>
      <c r="D39" s="1060" t="s">
        <v>905</v>
      </c>
    </row>
    <row r="40" spans="1:4">
      <c r="A40" s="1058" t="s">
        <v>883</v>
      </c>
      <c r="B40" s="1059">
        <v>44326</v>
      </c>
      <c r="C40" t="s">
        <v>902</v>
      </c>
      <c r="D40" s="1060" t="s">
        <v>906</v>
      </c>
    </row>
    <row r="41" spans="1:4">
      <c r="A41" s="1058" t="s">
        <v>883</v>
      </c>
      <c r="B41" s="1059">
        <v>44326</v>
      </c>
      <c r="C41" t="s">
        <v>903</v>
      </c>
      <c r="D41" s="1060" t="s">
        <v>729</v>
      </c>
    </row>
    <row r="42" spans="1:4">
      <c r="A42" s="1058" t="s">
        <v>883</v>
      </c>
      <c r="B42" s="1059">
        <v>44326</v>
      </c>
      <c r="C42" t="s">
        <v>904</v>
      </c>
      <c r="D42" s="1061" t="s">
        <v>687</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2021-11-11T13:27:23Z</dcterms:modified>
</cp:coreProperties>
</file>