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CE74104-80FD-4AD0-BF90-83A92D2DF3D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D20" i="18"/>
  <c r="G12" i="18"/>
  <c r="F12" i="18"/>
  <c r="E12" i="18"/>
  <c r="D12" i="18"/>
  <c r="C12" i="18"/>
  <c r="L10" i="18"/>
  <c r="K10" i="18"/>
  <c r="G10" i="18"/>
  <c r="D10" i="18"/>
  <c r="B6" i="18"/>
  <c r="B5" i="18"/>
  <c r="B4" i="18"/>
  <c r="J9" i="18" l="1"/>
  <c r="B47" i="18"/>
  <c r="G51" i="18" s="1"/>
  <c r="I17" i="18" s="1"/>
  <c r="I20" i="18" s="1"/>
  <c r="B17" i="18"/>
  <c r="B20" i="18" s="1"/>
  <c r="I51" i="18"/>
  <c r="H17" i="18" s="1"/>
  <c r="F51" i="18"/>
  <c r="C51" i="18"/>
  <c r="B51" i="18"/>
  <c r="C17" i="18" s="1"/>
  <c r="C20" i="18" s="1"/>
  <c r="C47" i="18"/>
  <c r="O18" i="18"/>
  <c r="H20" i="18"/>
  <c r="G20" i="18"/>
  <c r="K20" i="18"/>
  <c r="B10" i="18"/>
  <c r="O19" i="18"/>
  <c r="O9" i="18"/>
  <c r="D51" i="18"/>
  <c r="H51" i="18"/>
  <c r="E50" i="18"/>
  <c r="E8" i="18" s="1"/>
  <c r="E10" i="18" s="1"/>
  <c r="N6" i="17"/>
  <c r="E51" i="18" l="1"/>
  <c r="E17" i="18" s="1"/>
  <c r="E20" i="18" s="1"/>
  <c r="I50" i="18"/>
  <c r="H8" i="18" s="1"/>
  <c r="H10" i="18" s="1"/>
  <c r="G50" i="18"/>
  <c r="F50" i="18"/>
  <c r="D50" i="18"/>
  <c r="C50" i="18"/>
  <c r="B50" i="18"/>
  <c r="C8" i="18" s="1"/>
  <c r="C10" i="18" s="1"/>
  <c r="H50"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Q56" i="14" s="1"/>
  <c r="P54" i="14"/>
  <c r="P56" i="14" s="1"/>
  <c r="L54" i="14"/>
  <c r="L56" i="14" s="1"/>
  <c r="J54" i="14"/>
  <c r="J56" i="14" s="1"/>
  <c r="I54" i="14"/>
  <c r="H54" i="14"/>
  <c r="H56" i="14" s="1"/>
  <c r="Q24" i="14"/>
  <c r="Q26" i="14" s="1"/>
  <c r="P24" i="14"/>
  <c r="N24" i="14"/>
  <c r="N26" i="14" s="1"/>
  <c r="L24" i="14"/>
  <c r="J24" i="14"/>
  <c r="J26" i="14" s="1"/>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I56" i="14"/>
  <c r="R44" i="14"/>
  <c r="I26" i="14"/>
  <c r="E25" i="14"/>
  <c r="E55" i="14" s="1"/>
  <c r="C25" i="14"/>
  <c r="B14" i="48" s="1"/>
  <c r="P26" i="14"/>
  <c r="L26" i="14"/>
  <c r="H26" i="14"/>
  <c r="H20" i="59" l="1"/>
  <c r="P25"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<sst xmlns="http://schemas.openxmlformats.org/spreadsheetml/2006/main" count="2526" uniqueCount="930">
  <si>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</si>
  <si>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</si>
  <si>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</si>
  <si>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</si>
  <si>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</si>
  <si>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</si>
  <si>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</si>
  <si>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</si>
  <si>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</si>
  <si>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</si>
  <si>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</si>
  <si>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</si>
  <si>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</si>
  <si>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</si>
  <si>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</si>
  <si>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</si>
  <si>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</si>
  <si>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</si>
  <si>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</si>
  <si>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</si>
  <si>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</si>
  <si>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</si>
  <si>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</si>
  <si>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</si>
  <si>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</si>
  <si>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</si>
  <si>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</si>
  <si>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</si>
  <si>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</si>
  <si>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</si>
  <si>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</si>
  <si>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</si>
  <si>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</si>
  <si>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</si>
  <si>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</si>
  <si>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</si>
  <si>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</si>
  <si>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</si>
  <si>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</si>
  <si>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</si>
  <si>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</si>
  <si>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</si>
  <si>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</si>
  <si>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</si>
  <si>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</si>
  <si>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</si>
  <si>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</si>
  <si>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</si>
  <si>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</si>
  <si>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</si>
  <si>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</si>
  <si>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</si>
  <si>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</si>
  <si>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</si>
  <si>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</si>
  <si>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</si>
  <si>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</si>
  <si>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</si>
  <si>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</si>
  <si>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</si>
  <si>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</si>
  <si>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</si>
  <si>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</si>
  <si>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</si>
  <si>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</si>
  <si>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</si>
  <si>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</si>
  <si>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</si>
  <si>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</si>
  <si>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</si>
  <si>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</si>
  <si>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</si>
  <si>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</si>
  <si>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</si>
  <si>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</si>
  <si>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</si>
  <si>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</si>
  <si>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</si>
  <si>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</si>
  <si>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</si>
  <si>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</si>
  <si>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</si>
  <si>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</si>
  <si>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</si>
  <si>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</si>
  <si>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</si>
  <si>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</si>
  <si>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</si>
  <si>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</si>
  <si>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</si>
  <si>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</si>
  <si>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</si>
  <si>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</si>
  <si>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</si>
  <si>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</si>
  <si>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</si>
  <si>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</si>
  <si>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</si>
  <si>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</si>
  <si>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</si>
  <si>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</si>
  <si>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</si>
  <si>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</si>
  <si>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</si>
  <si>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</si>
  <si>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</si>
  <si>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</si>
  <si>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</si>
  <si>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</si>
  <si>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</si>
  <si>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</si>
  <si>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</si>
  <si>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</si>
  <si>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</si>
  <si>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</si>
  <si>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</si>
  <si>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</si>
  <si>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</si>
  <si>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</si>
  <si>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</si>
  <si>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</si>
  <si>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</si>
  <si>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</si>
  <si>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</si>
  <si>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</si>
  <si>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</si>
  <si>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</si>
  <si>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</si>
  <si>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</si>
  <si>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</si>
  <si>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</si>
  <si>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</si>
  <si>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</si>
  <si>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</si>
  <si>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</si>
  <si>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</si>
  <si>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</si>
  <si>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</si>
  <si>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</si>
  <si>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</si>
  <si>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</si>
  <si>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</si>
  <si>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</si>
  <si>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</si>
  <si>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</si>
  <si>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</si>
  <si>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</si>
  <si>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</si>
  <si>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</si>
  <si>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</si>
  <si>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</si>
  <si>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</si>
  <si>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</si>
  <si>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</si>
  <si>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</si>
  <si>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</si>
  <si>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</si>
  <si>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</si>
  <si>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</si>
  <si>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</si>
  <si>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</si>
  <si>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</si>
  <si>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</si>
  <si>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</si>
  <si>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</si>
  <si>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</si>
  <si>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</si>
  <si>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</si>
  <si>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</si>
  <si>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</si>
  <si>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</si>
  <si>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</si>
  <si>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</si>
  <si>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</si>
  <si>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</si>
  <si>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</si>
  <si>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</si>
  <si>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</si>
  <si>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</si>
  <si>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</si>
  <si>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</si>
  <si>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</si>
  <si>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</si>
  <si>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</si>
  <si>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</si>
  <si>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</si>
  <si>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</si>
  <si>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</si>
  <si>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</si>
  <si>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</si>
  <si>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</si>
  <si>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</si>
  <si>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</si>
  <si>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</si>
  <si>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</si>
  <si>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</si>
  <si>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</si>
  <si>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</si>
  <si>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</si>
  <si>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</si>
  <si>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</si>
  <si>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</si>
  <si>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</si>
  <si>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</si>
  <si>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</si>
  <si>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</si>
  <si>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</si>
  <si>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</si>
  <si>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</si>
  <si>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</si>
  <si>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</si>
  <si>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</si>
  <si>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</si>
  <si>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</si>
  <si>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</si>
  <si>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</si>
  <si>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</si>
  <si>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</si>
  <si>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</si>
  <si>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</si>
  <si>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</si>
  <si>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</si>
  <si>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</si>
  <si>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</si>
  <si>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</si>
  <si>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</si>
  <si>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</si>
  <si>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</si>
  <si>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</si>
  <si>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</si>
  <si>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</si>
  <si>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</si>
  <si>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</si>
  <si>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</si>
  <si>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</si>
  <si>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</si>
  <si>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</si>
  <si>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</si>
  <si>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</si>
  <si>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</si>
  <si>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</si>
  <si>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</si>
  <si>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</si>
  <si>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</si>
  <si>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</si>
  <si>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</si>
  <si>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</si>
  <si>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</si>
  <si>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</si>
  <si>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</si>
  <si>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</si>
  <si>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</si>
  <si>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</si>
  <si>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</si>
  <si>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</si>
  <si>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</si>
  <si>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</si>
  <si>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</si>
  <si>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</si>
  <si>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</si>
  <si>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</si>
  <si>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</si>
  <si>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</si>
  <si>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</si>
  <si>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</si>
  <si>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</si>
  <si>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</si>
  <si>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</si>
  <si>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</si>
  <si>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</si>
  <si>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</si>
  <si>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</si>
  <si>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</si>
  <si>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</si>
  <si>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</si>
  <si>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</si>
  <si>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</si>
  <si>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</si>
  <si>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</si>
  <si>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</si>
  <si>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</si>
  <si>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</si>
  <si>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</si>
  <si>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</si>
  <si>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</si>
  <si>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</si>
  <si>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</si>
  <si>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</si>
  <si>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</si>
  <si>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</si>
  <si>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</si>
  <si>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</si>
  <si>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</si>
  <si>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</si>
  <si>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</si>
  <si>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</si>
  <si>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</si>
  <si>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</si>
  <si>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</si>
  <si>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</si>
  <si>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</si>
  <si>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</si>
  <si>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</si>
  <si>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</si>
  <si>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</si>
  <si>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</si>
  <si>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</si>
  <si>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</si>
  <si>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</si>
  <si>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</si>
  <si>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</si>
  <si>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</si>
  <si>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</si>
  <si>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</si>
  <si>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</si>
  <si>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</si>
  <si>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</si>
  <si>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</si>
  <si>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</si>
  <si>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</si>
  <si>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</si>
  <si>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</si>
  <si>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</si>
  <si>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</si>
  <si>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</si>
  <si>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</si>
  <si>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</si>
  <si>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</si>
  <si>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</si>
  <si>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</si>
  <si>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</si>
  <si>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</si>
  <si>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</si>
  <si>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</si>
  <si>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</si>
  <si>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</si>
  <si>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</si>
  <si>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</si>
  <si>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</si>
  <si>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</si>
  <si>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</si>
  <si>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</si>
  <si>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</si>
  <si>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</si>
  <si>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</si>
  <si>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</si>
  <si>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</si>
  <si>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</si>
  <si>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</si>
  <si>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</si>
  <si>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</si>
  <si>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</si>
  <si>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</si>
  <si>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</si>
  <si>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</si>
  <si>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</si>
  <si>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</si>
  <si>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</si>
  <si>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</si>
  <si>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</si>
  <si>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</si>
  <si>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</si>
  <si>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</si>
  <si>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</si>
  <si>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</si>
  <si>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</si>
  <si>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</si>
  <si>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</si>
  <si>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</si>
  <si>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</si>
  <si>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</si>
  <si>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</si>
  <si>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</si>
  <si>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</si>
  <si>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</si>
  <si>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</si>
  <si>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</si>
  <si>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</si>
  <si>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</si>
  <si>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</si>
  <si>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</si>
  <si>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</si>
  <si>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</si>
  <si>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</si>
  <si>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</si>
  <si>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</si>
  <si>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</si>
  <si>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</si>
  <si>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</si>
  <si>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</si>
  <si>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</si>
  <si>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</si>
  <si>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</si>
  <si>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</si>
  <si>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</si>
  <si>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</si>
  <si>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</si>
  <si>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</si>
  <si>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</si>
  <si>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</si>
  <si>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</si>
  <si>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</si>
  <si>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</si>
  <si>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</si>
  <si>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</si>
  <si>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</si>
  <si>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</si>
  <si>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</si>
  <si>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</si>
  <si>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</si>
  <si>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</si>
  <si>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</si>
  <si>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</si>
  <si>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</si>
  <si>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</si>
  <si>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</si>
  <si>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</si>
  <si>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</si>
  <si>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</si>
  <si>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</si>
  <si>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</si>
  <si>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</si>
  <si>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</si>
  <si>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</si>
  <si>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</si>
  <si>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</si>
  <si>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</si>
  <si>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</si>
  <si>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</si>
  <si>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</si>
  <si>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</si>
  <si>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</si>
  <si>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</si>
  <si>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</si>
  <si>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</si>
  <si>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</si>
  <si>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</si>
  <si>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</si>
  <si>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</si>
  <si>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</si>
  <si>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</si>
  <si>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</si>
  <si>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</si>
  <si>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</si>
  <si>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</si>
  <si>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</si>
  <si>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</si>
  <si>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</si>
  <si>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</si>
  <si>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</si>
  <si>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</si>
  <si>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</si>
  <si>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</si>
  <si>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</si>
  <si>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</si>
  <si>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</si>
  <si>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</si>
  <si>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</si>
  <si>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</si>
  <si>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</si>
  <si>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</si>
  <si>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</si>
  <si>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</si>
  <si>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</si>
  <si>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</si>
  <si>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</si>
  <si>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</si>
  <si>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</si>
  <si>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</si>
  <si>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</si>
  <si>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</si>
  <si>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</si>
  <si>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</si>
  <si>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</si>
  <si>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</si>
  <si>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</si>
  <si>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</si>
  <si>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</si>
  <si>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</si>
  <si>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</si>
  <si>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</si>
  <si>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</si>
  <si>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</si>
  <si>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</si>
  <si>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</si>
  <si>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</si>
  <si>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</si>
  <si>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</si>
  <si>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</si>
  <si>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</si>
  <si>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</si>
  <si>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</si>
  <si>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</si>
  <si>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</si>
  <si>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</si>
  <si>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</si>
  <si>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</si>
  <si>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</si>
  <si>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</si>
  <si>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</si>
  <si>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</si>
  <si>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</si>
  <si>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</si>
  <si>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</si>
  <si>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</si>
  <si>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</si>
  <si>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</si>
  <si>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</si>
  <si>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</si>
  <si>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</si>
  <si>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</si>
  <si>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</si>
  <si>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</si>
  <si>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</si>
  <si>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</si>
  <si>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</si>
  <si>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</si>
  <si>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</si>
  <si>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</si>
  <si>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</si>
  <si>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</si>
  <si>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</si>
  <si>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</si>
  <si>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</si>
  <si>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</si>
  <si>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</si>
  <si>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</si>
  <si>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</si>
  <si>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</si>
  <si>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</si>
  <si>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</si>
  <si>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</si>
  <si>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</si>
  <si>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</si>
  <si>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</si>
  <si>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</si>
  <si>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</si>
  <si>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</si>
  <si>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</si>
  <si>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</si>
  <si>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</si>
  <si>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</si>
  <si>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</si>
  <si>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</si>
  <si>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</si>
  <si>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</si>
  <si>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</si>
  <si>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</si>
  <si>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</si>
  <si>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</si>
  <si>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</si>
  <si>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</si>
  <si>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</si>
  <si>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</si>
  <si>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</si>
  <si>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</si>
  <si>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</si>
  <si>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</si>
  <si>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</si>
  <si>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</si>
  <si>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</si>
  <si>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</si>
  <si>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</si>
  <si>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</si>
  <si>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</si>
  <si>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</si>
  <si>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</si>
  <si>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</si>
  <si>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</si>
  <si>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</si>
  <si>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</si>
  <si>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</si>
  <si>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</si>
  <si>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</si>
  <si>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</si>
  <si>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</si>
  <si>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</si>
  <si>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</si>
  <si>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</si>
  <si>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</si>
  <si>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</si>
  <si>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</si>
  <si>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</si>
  <si>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</si>
  <si>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</si>
  <si>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</si>
  <si>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</si>
  <si>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</si>
  <si>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</si>
  <si>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</si>
  <si>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</si>
  <si>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</si>
  <si>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</si>
  <si>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</si>
  <si>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</si>
  <si>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</si>
  <si>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</si>
  <si>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</si>
  <si>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</si>
  <si>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</si>
  <si>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</si>
  <si>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</si>
  <si>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</si>
  <si>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</si>
  <si>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</si>
  <si>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</si>
  <si>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</si>
  <si>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</si>
  <si>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</si>
  <si>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</si>
  <si>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</si>
  <si>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</si>
  <si>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</si>
  <si>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</si>
  <si>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</si>
  <si>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</si>
  <si>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</si>
  <si>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</si>
  <si>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</si>
  <si>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</si>
  <si>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</si>
  <si>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</si>
  <si>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</si>
  <si>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</si>
  <si>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</si>
  <si>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</si>
  <si>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</si>
  <si>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</si>
  <si>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</si>
  <si>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</si>
  <si>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</si>
  <si>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</si>
  <si>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</si>
  <si>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</si>
  <si>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</si>
  <si>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</si>
  <si>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</si>
  <si>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</si>
  <si>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</si>
  <si>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</si>
  <si>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</si>
  <si>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</si>
  <si>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</si>
  <si>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</si>
  <si>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</si>
  <si>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</si>
  <si>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</si>
  <si>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</si>
  <si>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</si>
  <si>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</si>
  <si>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</si>
  <si>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</si>
  <si>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</si>
  <si>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</si>
  <si>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</si>
  <si>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</si>
  <si>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</si>
  <si>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</si>
  <si>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</si>
  <si>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</si>
  <si>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</si>
  <si>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</si>
  <si>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</si>
  <si>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</si>
  <si>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</si>
  <si>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</si>
  <si>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</si>
  <si>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</si>
  <si>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</si>
  <si>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</si>
  <si>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</si>
  <si>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</si>
  <si>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</si>
  <si>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</si>
  <si>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</si>
  <si>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</si>
  <si>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</si>
  <si>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</si>
  <si>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</si>
  <si>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</si>
  <si>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</si>
  <si>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</si>
  <si>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</si>
  <si>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</si>
  <si>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</si>
  <si>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</si>
  <si>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</si>
  <si>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</si>
  <si>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</si>
  <si>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</si>
  <si>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</si>
  <si>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</si>
  <si>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</si>
  <si>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</si>
  <si>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</si>
  <si>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</si>
  <si>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</si>
  <si>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</si>
  <si>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</si>
  <si>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</si>
  <si>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</si>
  <si>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</si>
  <si>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</si>
  <si>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</si>
  <si>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</si>
  <si>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</si>
  <si>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</si>
  <si>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</si>
  <si>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</si>
  <si>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</si>
  <si>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</si>
  <si>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</si>
  <si>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</si>
  <si>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</si>
  <si>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</si>
  <si>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</si>
  <si>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</si>
  <si>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</si>
  <si>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</si>
  <si>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</si>
  <si>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</si>
  <si>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</si>
  <si>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</si>
  <si>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</si>
  <si>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</si>
  <si>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</si>
  <si>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</si>
  <si>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</si>
  <si>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</si>
  <si>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</si>
  <si>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</si>
  <si>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</si>
  <si>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</si>
  <si>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</si>
  <si>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</si>
  <si>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</si>
  <si>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</si>
  <si>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</si>
  <si>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</si>
  <si>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</si>
  <si>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</si>
  <si>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</si>
  <si>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</si>
  <si>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</si>
  <si>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</si>
  <si>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</si>
  <si>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</si>
  <si>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</si>
  <si>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</si>
  <si>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</si>
  <si>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</si>
  <si>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</si>
  <si>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</si>
  <si>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</si>
  <si>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</si>
  <si>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</si>
  <si>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</si>
  <si>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</si>
  <si>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</si>
  <si>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</si>
  <si>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</si>
  <si>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</si>
  <si>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</si>
  <si>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</si>
  <si>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</si>
  <si>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</si>
  <si>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</si>
  <si>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</si>
  <si>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</si>
  <si>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</si>
  <si>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</si>
  <si>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</si>
  <si>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</si>
  <si>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</si>
  <si>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</si>
  <si>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</si>
  <si>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</si>
  <si>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</si>
  <si>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</si>
  <si>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</si>
  <si>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</si>
  <si>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</si>
  <si>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</si>
  <si>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</si>
  <si>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</si>
  <si>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</si>
  <si>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</si>
  <si>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</si>
  <si>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</si>
  <si>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</si>
  <si>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</si>
  <si>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</si>
  <si>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</si>
  <si>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</si>
  <si>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</si>
  <si>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</si>
  <si>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</si>
  <si>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</si>
  <si>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</si>
  <si>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</si>
  <si>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</si>
  <si>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</si>
  <si>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</si>
  <si>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</si>
  <si>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</si>
  <si>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</si>
  <si>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</si>
  <si>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</si>
  <si>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</si>
  <si>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</si>
  <si>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</si>
  <si>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</si>
  <si>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</si>
  <si>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</si>
  <si>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</si>
  <si>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</si>
  <si>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</si>
  <si>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</si>
  <si>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</si>
  <si>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</si>
  <si>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</si>
  <si>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</si>
  <si>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</si>
  <si>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</si>
  <si>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</si>
  <si>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</si>
  <si>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</si>
  <si>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</si>
  <si>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</si>
  <si>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</si>
  <si>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</si>
  <si>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</si>
  <si>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</si>
  <si>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</si>
  <si>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</si>
  <si>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</si>
  <si>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</si>
  <si>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</si>
  <si>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</si>
  <si>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</si>
  <si>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</si>
  <si>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</si>
  <si>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</si>
  <si>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</si>
  <si>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</si>
  <si>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</si>
  <si>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</si>
  <si>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</si>
  <si>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</si>
  <si>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</si>
  <si>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</si>
  <si>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</si>
  <si>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</si>
  <si>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</si>
  <si>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</si>
  <si>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</si>
  <si>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</si>
  <si>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</si>
  <si>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</si>
  <si>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</si>
  <si>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</si>
  <si>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</si>
  <si>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</si>
  <si>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</si>
  <si>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</si>
  <si>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</si>
  <si>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</si>
  <si>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</si>
  <si>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</si>
  <si>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</si>
  <si>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</si>
  <si>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</si>
  <si>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</si>
  <si>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</si>
  <si>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</si>
  <si>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</si>
  <si>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</si>
  <si>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</si>
  <si>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</si>
  <si>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</si>
  <si>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</si>
  <si>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</si>
  <si>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</si>
  <si>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</si>
  <si>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</si>
  <si>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</si>
  <si>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</si>
  <si>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</si>
  <si>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</si>
  <si>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</si>
  <si>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</si>
  <si>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</si>
  <si>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</si>
  <si>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</si>
  <si>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</si>
  <si>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</si>
  <si>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</si>
  <si>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</si>
  <si>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</si>
  <si>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</si>
  <si>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</si>
  <si>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</si>
  <si>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</si>
  <si>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</si>
  <si>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</si>
  <si>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</si>
  <si>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</si>
  <si>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</si>
  <si>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</si>
  <si>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</si>
  <si>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</si>
  <si>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</si>
  <si>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</si>
  <si>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</si>
  <si>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</si>
  <si>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</si>
  <si>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</si>
  <si>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</si>
  <si>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</si>
  <si>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46024</t>
  </si>
  <si>
    <t>STEKENE</t>
  </si>
  <si>
    <t>Cultuurgrond (ha)</t>
  </si>
  <si>
    <t>Paarden&amp;pony's 200 - 600 kg</t>
  </si>
  <si>
    <t>Paarden&amp;pony's &lt; 200 kg</t>
  </si>
  <si>
    <t>Fluvius</t>
  </si>
  <si>
    <t>referentietaak LNE (2017); Jaarverslag De Lijn</t>
  </si>
  <si>
    <t>interne verbrandingsmotor</t>
  </si>
  <si>
    <t>WKK interne verbrandinsgmotor (gas)</t>
  </si>
  <si>
    <t>INTERGEM</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</si>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</sst>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C0238FE0-5931-4FAC-8ABC-3AE1CC7A200F}"/>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174809.50304749081</c:v>
                </c:pt>
                <c:pt idx="1">
                  <c:v>37683.113550614995</c:v>
                </c:pt>
                <c:pt idx="2">
                  <c:v>1166.405</c:v>
                </c:pt>
                <c:pt idx="3">
                  <c:v>26971.100026360753</c:v>
                </c:pt>
                <c:pt idx="4">
                  <c:v>8917.2775411571674</c:v>
                </c:pt>
                <c:pt idx="5">
                  <c:v>155390.06228540911</c:v>
                </c:pt>
                <c:pt idx="6">
                  <c:v>1488.562170103582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174809.50304749081</c:v>
                </c:pt>
                <c:pt idx="1">
                  <c:v>37683.113550614995</c:v>
                </c:pt>
                <c:pt idx="2">
                  <c:v>1166.405</c:v>
                </c:pt>
                <c:pt idx="3">
                  <c:v>26971.100026360753</c:v>
                </c:pt>
                <c:pt idx="4">
                  <c:v>8917.2775411571674</c:v>
                </c:pt>
                <c:pt idx="5">
                  <c:v>155390.06228540911</c:v>
                </c:pt>
                <c:pt idx="6">
                  <c:v>1488.562170103582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35427.520886943137</c:v>
                </c:pt>
                <c:pt idx="2">
                  <c:v>7248.6963823276783</c:v>
                </c:pt>
                <c:pt idx="3">
                  <c:v>219.21572367551329</c:v>
                </c:pt>
                <c:pt idx="4">
                  <c:v>5134.9801617675739</c:v>
                </c:pt>
                <c:pt idx="5">
                  <c:v>1835.2311839389433</c:v>
                </c:pt>
                <c:pt idx="6">
                  <c:v>39377.017141617936</c:v>
                </c:pt>
                <c:pt idx="7">
                  <c:v>379.89676144509554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35427.520886943137</c:v>
                </c:pt>
                <c:pt idx="2">
                  <c:v>7248.6963823276783</c:v>
                </c:pt>
                <c:pt idx="3">
                  <c:v>219.21572367551329</c:v>
                </c:pt>
                <c:pt idx="4">
                  <c:v>5134.9801617675739</c:v>
                </c:pt>
                <c:pt idx="5">
                  <c:v>1835.2311839389433</c:v>
                </c:pt>
                <c:pt idx="6">
                  <c:v>39377.017141617936</c:v>
                </c:pt>
                <c:pt idx="7">
                  <c:v>379.89676144509554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46024</v>
      </c>
      <c r="B6" s="385"/>
      <c r="C6" s="386"/>
    </row>
    <row r="7" spans="1:7" s="383" customFormat="1" ht="15.75" customHeight="1">
      <c r="A7" s="387" t="str">
        <f>txtMunicipality</f>
        <v>STEKENE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15836.364512116359</v>
      </c>
      <c r="D10" s="676">
        <f ca="1">tertiair!C16</f>
        <v>0</v>
      </c>
      <c r="E10" s="676">
        <f ca="1">tertiair!D16</f>
        <v>17958.132728570297</v>
      </c>
      <c r="F10" s="676">
        <f>tertiair!E16</f>
        <v>216.56058905729398</v>
      </c>
      <c r="G10" s="676">
        <f ca="1">tertiair!F16</f>
        <v>3052.0689370509576</v>
      </c>
      <c r="H10" s="676">
        <f>tertiair!G16</f>
        <v>0</v>
      </c>
      <c r="I10" s="676">
        <f>tertiair!H16</f>
        <v>0</v>
      </c>
      <c r="J10" s="676">
        <f>tertiair!I16</f>
        <v>0</v>
      </c>
      <c r="K10" s="676">
        <f>tertiair!J16</f>
        <v>0</v>
      </c>
      <c r="L10" s="676">
        <f>tertiair!K16</f>
        <v>0</v>
      </c>
      <c r="M10" s="676">
        <f ca="1">tertiair!L16</f>
        <v>0</v>
      </c>
      <c r="N10" s="676">
        <f>tertiair!M16</f>
        <v>0</v>
      </c>
      <c r="O10" s="676">
        <f ca="1">tertiair!N16</f>
        <v>1783.2651171534214</v>
      </c>
      <c r="P10" s="676">
        <f>tertiair!O16</f>
        <v>3.1266666666666669</v>
      </c>
      <c r="Q10" s="677">
        <f>tertiair!P16</f>
        <v>0</v>
      </c>
      <c r="R10" s="679">
        <f ca="1">SUM(C10:Q10)</f>
        <v>38849.518550614994</v>
      </c>
      <c r="S10" s="67"/>
    </row>
    <row r="11" spans="1:19" s="444" customFormat="1">
      <c r="A11" s="791" t="s">
        <v>214</v>
      </c>
      <c r="B11" s="796"/>
      <c r="C11" s="676">
        <f>huishoudens!B8</f>
        <v>33519.915813506916</v>
      </c>
      <c r="D11" s="676">
        <f>huishoudens!C8</f>
        <v>0</v>
      </c>
      <c r="E11" s="676">
        <f>huishoudens!D8</f>
        <v>84177.405115018744</v>
      </c>
      <c r="F11" s="676">
        <f>huishoudens!E8</f>
        <v>1407.3363115977993</v>
      </c>
      <c r="G11" s="676">
        <f>huishoudens!F8</f>
        <v>43128.486596433671</v>
      </c>
      <c r="H11" s="676">
        <f>huishoudens!G8</f>
        <v>0</v>
      </c>
      <c r="I11" s="676">
        <f>huishoudens!H8</f>
        <v>0</v>
      </c>
      <c r="J11" s="676">
        <f>huishoudens!I8</f>
        <v>0</v>
      </c>
      <c r="K11" s="676">
        <f>huishoudens!J8</f>
        <v>816.76765979858885</v>
      </c>
      <c r="L11" s="676">
        <f>huishoudens!K8</f>
        <v>0</v>
      </c>
      <c r="M11" s="676">
        <f>huishoudens!L8</f>
        <v>0</v>
      </c>
      <c r="N11" s="676">
        <f>huishoudens!M8</f>
        <v>0</v>
      </c>
      <c r="O11" s="676">
        <f>huishoudens!N8</f>
        <v>11161.291551135069</v>
      </c>
      <c r="P11" s="676">
        <f>huishoudens!O8</f>
        <v>140.70000000000002</v>
      </c>
      <c r="Q11" s="677">
        <f>huishoudens!P8</f>
        <v>457.6</v>
      </c>
      <c r="R11" s="679">
        <f>SUM(C11:Q11)</f>
        <v>174809.50304749081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3059.3635617423911</v>
      </c>
      <c r="D13" s="676">
        <f>industrie!C18</f>
        <v>0</v>
      </c>
      <c r="E13" s="676">
        <f>industrie!D18</f>
        <v>3093.8934147008085</v>
      </c>
      <c r="F13" s="676">
        <f>industrie!E18</f>
        <v>488.2535704140015</v>
      </c>
      <c r="G13" s="676">
        <f>industrie!F18</f>
        <v>1960.3694673548769</v>
      </c>
      <c r="H13" s="676">
        <f>industrie!G18</f>
        <v>0</v>
      </c>
      <c r="I13" s="676">
        <f>industrie!H18</f>
        <v>0</v>
      </c>
      <c r="J13" s="676">
        <f>industrie!I18</f>
        <v>0</v>
      </c>
      <c r="K13" s="676">
        <f>industrie!J18</f>
        <v>2.9141397315314466</v>
      </c>
      <c r="L13" s="676">
        <f>industrie!K18</f>
        <v>0</v>
      </c>
      <c r="M13" s="676">
        <f>industrie!L18</f>
        <v>0</v>
      </c>
      <c r="N13" s="676">
        <f>industrie!M18</f>
        <v>0</v>
      </c>
      <c r="O13" s="676">
        <f>industrie!N18</f>
        <v>312.4833872135585</v>
      </c>
      <c r="P13" s="676">
        <f>industrie!O18</f>
        <v>0</v>
      </c>
      <c r="Q13" s="677">
        <f>industrie!P18</f>
        <v>0</v>
      </c>
      <c r="R13" s="679">
        <f>SUM(C13:Q13)</f>
        <v>8917.2775411571674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52415.643887365666</v>
      </c>
      <c r="D16" s="711">
        <f t="shared" ref="D16:R16" ca="1" si="0">SUM(D9:D15)</f>
        <v>0</v>
      </c>
      <c r="E16" s="711">
        <f t="shared" ca="1" si="0"/>
        <v>105229.43125828986</v>
      </c>
      <c r="F16" s="711">
        <f t="shared" si="0"/>
        <v>2112.1504710690947</v>
      </c>
      <c r="G16" s="711">
        <f t="shared" ca="1" si="0"/>
        <v>48140.925000839503</v>
      </c>
      <c r="H16" s="711">
        <f t="shared" si="0"/>
        <v>0</v>
      </c>
      <c r="I16" s="711">
        <f t="shared" si="0"/>
        <v>0</v>
      </c>
      <c r="J16" s="711">
        <f t="shared" si="0"/>
        <v>0</v>
      </c>
      <c r="K16" s="711">
        <f t="shared" si="0"/>
        <v>819.68179953012032</v>
      </c>
      <c r="L16" s="711">
        <f t="shared" si="0"/>
        <v>0</v>
      </c>
      <c r="M16" s="711">
        <f t="shared" ca="1" si="0"/>
        <v>0</v>
      </c>
      <c r="N16" s="711">
        <f t="shared" si="0"/>
        <v>0</v>
      </c>
      <c r="O16" s="711">
        <f t="shared" ca="1" si="0"/>
        <v>13257.04005550205</v>
      </c>
      <c r="P16" s="711">
        <f t="shared" si="0"/>
        <v>143.82666666666668</v>
      </c>
      <c r="Q16" s="711">
        <f t="shared" si="0"/>
        <v>457.6</v>
      </c>
      <c r="R16" s="711">
        <f t="shared" ca="1" si="0"/>
        <v>222576.29913926299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7.2835789764053862</v>
      </c>
      <c r="D19" s="676">
        <f>transport!C54</f>
        <v>0</v>
      </c>
      <c r="E19" s="676">
        <f>transport!D54</f>
        <v>0</v>
      </c>
      <c r="F19" s="676">
        <f>transport!E54</f>
        <v>0</v>
      </c>
      <c r="G19" s="676">
        <f>transport!F54</f>
        <v>0</v>
      </c>
      <c r="H19" s="676">
        <f>transport!G54</f>
        <v>1417.7074000790135</v>
      </c>
      <c r="I19" s="676">
        <f>transport!H54</f>
        <v>0</v>
      </c>
      <c r="J19" s="676">
        <f>transport!I54</f>
        <v>0</v>
      </c>
      <c r="K19" s="676">
        <f>transport!J54</f>
        <v>0</v>
      </c>
      <c r="L19" s="676">
        <f>transport!K54</f>
        <v>0</v>
      </c>
      <c r="M19" s="676">
        <f>transport!L54</f>
        <v>0</v>
      </c>
      <c r="N19" s="676">
        <f>transport!M54</f>
        <v>63.571191048163215</v>
      </c>
      <c r="O19" s="676">
        <f>transport!N54</f>
        <v>0</v>
      </c>
      <c r="P19" s="676">
        <f>transport!O54</f>
        <v>0</v>
      </c>
      <c r="Q19" s="677">
        <f>transport!P54</f>
        <v>0</v>
      </c>
      <c r="R19" s="679">
        <f>SUM(C19:Q19)</f>
        <v>1488.562170103582</v>
      </c>
      <c r="S19" s="67"/>
    </row>
    <row r="20" spans="1:19" s="444" customFormat="1">
      <c r="A20" s="791" t="s">
        <v>296</v>
      </c>
      <c r="B20" s="796"/>
      <c r="C20" s="676">
        <f>transport!B14</f>
        <v>10.039001273688402</v>
      </c>
      <c r="D20" s="676">
        <f>transport!C14</f>
        <v>0</v>
      </c>
      <c r="E20" s="676">
        <f>transport!D14</f>
        <v>9.7817092209833838</v>
      </c>
      <c r="F20" s="676">
        <f>transport!E14</f>
        <v>377.76569486385057</v>
      </c>
      <c r="G20" s="676">
        <f>transport!F14</f>
        <v>0</v>
      </c>
      <c r="H20" s="676">
        <f>transport!G14</f>
        <v>131292.68488538783</v>
      </c>
      <c r="I20" s="676">
        <f>transport!H14</f>
        <v>16997.007292482103</v>
      </c>
      <c r="J20" s="676">
        <f>transport!I14</f>
        <v>0</v>
      </c>
      <c r="K20" s="676">
        <f>transport!J14</f>
        <v>0</v>
      </c>
      <c r="L20" s="676">
        <f>transport!K14</f>
        <v>0</v>
      </c>
      <c r="M20" s="676">
        <f>transport!L14</f>
        <v>0</v>
      </c>
      <c r="N20" s="676">
        <f>transport!M14</f>
        <v>6702.7837021806627</v>
      </c>
      <c r="O20" s="676">
        <f>transport!N14</f>
        <v>0</v>
      </c>
      <c r="P20" s="676">
        <f>transport!O14</f>
        <v>0</v>
      </c>
      <c r="Q20" s="677">
        <f>transport!P14</f>
        <v>0</v>
      </c>
      <c r="R20" s="679">
        <f>SUM(C20:Q20)</f>
        <v>155390.06228540911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17.32258025009379</v>
      </c>
      <c r="D22" s="794">
        <f t="shared" ref="D22:R22" si="1">SUM(D18:D21)</f>
        <v>0</v>
      </c>
      <c r="E22" s="794">
        <f t="shared" si="1"/>
        <v>9.7817092209833838</v>
      </c>
      <c r="F22" s="794">
        <f t="shared" si="1"/>
        <v>377.76569486385057</v>
      </c>
      <c r="G22" s="794">
        <f t="shared" si="1"/>
        <v>0</v>
      </c>
      <c r="H22" s="794">
        <f t="shared" si="1"/>
        <v>132710.39228546683</v>
      </c>
      <c r="I22" s="794">
        <f t="shared" si="1"/>
        <v>16997.007292482103</v>
      </c>
      <c r="J22" s="794">
        <f t="shared" si="1"/>
        <v>0</v>
      </c>
      <c r="K22" s="794">
        <f t="shared" si="1"/>
        <v>0</v>
      </c>
      <c r="L22" s="794">
        <f t="shared" si="1"/>
        <v>0</v>
      </c>
      <c r="M22" s="794">
        <f t="shared" si="1"/>
        <v>0</v>
      </c>
      <c r="N22" s="794">
        <f t="shared" si="1"/>
        <v>6766.3548932288259</v>
      </c>
      <c r="O22" s="794">
        <f t="shared" si="1"/>
        <v>0</v>
      </c>
      <c r="P22" s="794">
        <f t="shared" si="1"/>
        <v>0</v>
      </c>
      <c r="Q22" s="794">
        <f t="shared" si="1"/>
        <v>0</v>
      </c>
      <c r="R22" s="794">
        <f t="shared" si="1"/>
        <v>156878.62445551268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1561.98414687228</v>
      </c>
      <c r="D24" s="676">
        <f>+landbouw!C8</f>
        <v>16130.892857142859</v>
      </c>
      <c r="E24" s="676">
        <f>+landbouw!D8</f>
        <v>3634.3987430505185</v>
      </c>
      <c r="F24" s="676">
        <f>+landbouw!E8</f>
        <v>19.683012495302652</v>
      </c>
      <c r="G24" s="676">
        <f>+landbouw!F8</f>
        <v>5389.2366071193164</v>
      </c>
      <c r="H24" s="676">
        <f>+landbouw!G8</f>
        <v>0</v>
      </c>
      <c r="I24" s="676">
        <f>+landbouw!H8</f>
        <v>0</v>
      </c>
      <c r="J24" s="676">
        <f>+landbouw!I8</f>
        <v>0</v>
      </c>
      <c r="K24" s="676">
        <f>+landbouw!J8</f>
        <v>234.90465968047715</v>
      </c>
      <c r="L24" s="676">
        <f>+landbouw!K8</f>
        <v>0</v>
      </c>
      <c r="M24" s="676">
        <f>+landbouw!L8</f>
        <v>0</v>
      </c>
      <c r="N24" s="676">
        <f>+landbouw!M8</f>
        <v>0</v>
      </c>
      <c r="O24" s="676">
        <f>+landbouw!N8</f>
        <v>0</v>
      </c>
      <c r="P24" s="676">
        <f>+landbouw!O8</f>
        <v>0</v>
      </c>
      <c r="Q24" s="677">
        <f>+landbouw!P8</f>
        <v>0</v>
      </c>
      <c r="R24" s="679">
        <f>SUM(C24:Q24)</f>
        <v>26971.100026360753</v>
      </c>
      <c r="S24" s="67"/>
    </row>
    <row r="25" spans="1:19" s="444" customFormat="1" ht="15" thickBot="1">
      <c r="A25" s="813" t="s">
        <v>833</v>
      </c>
      <c r="B25" s="977"/>
      <c r="C25" s="978">
        <f>IF(Onbekend_ele_kWh="---",0,Onbekend_ele_kWh)/1000+IF(REST_rest_ele_kWh="---",0,REST_rest_ele_kWh)/1000</f>
        <v>1242.7905903469</v>
      </c>
      <c r="D25" s="978"/>
      <c r="E25" s="978">
        <f>IF(onbekend_gas_kWh="---",0,onbekend_gas_kWh)/1000+IF(REST_rest_gas_kWh="---",0,REST_rest_gas_kWh)/1000</f>
        <v>3036.7643185955599</v>
      </c>
      <c r="F25" s="978"/>
      <c r="G25" s="978"/>
      <c r="H25" s="978"/>
      <c r="I25" s="978"/>
      <c r="J25" s="978"/>
      <c r="K25" s="978"/>
      <c r="L25" s="978"/>
      <c r="M25" s="978"/>
      <c r="N25" s="978"/>
      <c r="O25" s="978"/>
      <c r="P25" s="978"/>
      <c r="Q25" s="979"/>
      <c r="R25" s="679">
        <f>SUM(C25:Q25)</f>
        <v>4279.5549089424603</v>
      </c>
      <c r="S25" s="67"/>
    </row>
    <row r="26" spans="1:19" s="444" customFormat="1" ht="15.75" thickBot="1">
      <c r="A26" s="684" t="s">
        <v>834</v>
      </c>
      <c r="B26" s="799"/>
      <c r="C26" s="794">
        <f>SUM(C24:C25)</f>
        <v>2804.7747372191798</v>
      </c>
      <c r="D26" s="794">
        <f t="shared" ref="D26:R26" si="2">SUM(D24:D25)</f>
        <v>16130.892857142859</v>
      </c>
      <c r="E26" s="794">
        <f t="shared" si="2"/>
        <v>6671.1630616460789</v>
      </c>
      <c r="F26" s="794">
        <f t="shared" si="2"/>
        <v>19.683012495302652</v>
      </c>
      <c r="G26" s="794">
        <f t="shared" si="2"/>
        <v>5389.2366071193164</v>
      </c>
      <c r="H26" s="794">
        <f t="shared" si="2"/>
        <v>0</v>
      </c>
      <c r="I26" s="794">
        <f t="shared" si="2"/>
        <v>0</v>
      </c>
      <c r="J26" s="794">
        <f t="shared" si="2"/>
        <v>0</v>
      </c>
      <c r="K26" s="794">
        <f t="shared" si="2"/>
        <v>234.90465968047715</v>
      </c>
      <c r="L26" s="794">
        <f t="shared" si="2"/>
        <v>0</v>
      </c>
      <c r="M26" s="794">
        <f t="shared" si="2"/>
        <v>0</v>
      </c>
      <c r="N26" s="794">
        <f t="shared" si="2"/>
        <v>0</v>
      </c>
      <c r="O26" s="794">
        <f t="shared" si="2"/>
        <v>0</v>
      </c>
      <c r="P26" s="794">
        <f t="shared" si="2"/>
        <v>0</v>
      </c>
      <c r="Q26" s="794">
        <f t="shared" si="2"/>
        <v>0</v>
      </c>
      <c r="R26" s="794">
        <f t="shared" si="2"/>
        <v>31250.654935303213</v>
      </c>
      <c r="S26" s="67"/>
    </row>
    <row r="27" spans="1:19" s="444" customFormat="1" ht="17.25" thickTop="1" thickBot="1">
      <c r="A27" s="685" t="s">
        <v>109</v>
      </c>
      <c r="B27" s="786"/>
      <c r="C27" s="686">
        <f ca="1">C22+C16+C26</f>
        <v>55237.741204834943</v>
      </c>
      <c r="D27" s="686">
        <f t="shared" ref="D27:R27" ca="1" si="3">D22+D16+D26</f>
        <v>16130.892857142859</v>
      </c>
      <c r="E27" s="686">
        <f t="shared" ca="1" si="3"/>
        <v>111910.37602915692</v>
      </c>
      <c r="F27" s="686">
        <f t="shared" si="3"/>
        <v>2509.5991784282478</v>
      </c>
      <c r="G27" s="686">
        <f t="shared" ca="1" si="3"/>
        <v>53530.16160795882</v>
      </c>
      <c r="H27" s="686">
        <f t="shared" si="3"/>
        <v>132710.39228546683</v>
      </c>
      <c r="I27" s="686">
        <f t="shared" si="3"/>
        <v>16997.007292482103</v>
      </c>
      <c r="J27" s="686">
        <f t="shared" si="3"/>
        <v>0</v>
      </c>
      <c r="K27" s="686">
        <f t="shared" si="3"/>
        <v>1054.5864592105975</v>
      </c>
      <c r="L27" s="686">
        <f t="shared" si="3"/>
        <v>0</v>
      </c>
      <c r="M27" s="686">
        <f t="shared" ca="1" si="3"/>
        <v>0</v>
      </c>
      <c r="N27" s="686">
        <f t="shared" si="3"/>
        <v>6766.3548932288259</v>
      </c>
      <c r="O27" s="686">
        <f t="shared" ca="1" si="3"/>
        <v>13257.04005550205</v>
      </c>
      <c r="P27" s="686">
        <f t="shared" si="3"/>
        <v>143.82666666666668</v>
      </c>
      <c r="Q27" s="686">
        <f t="shared" si="3"/>
        <v>457.6</v>
      </c>
      <c r="R27" s="686">
        <f t="shared" ca="1" si="3"/>
        <v>410705.57853007887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2976.3076349233797</v>
      </c>
      <c r="D40" s="676">
        <f ca="1">tertiair!C20</f>
        <v>0</v>
      </c>
      <c r="E40" s="676">
        <f ca="1">tertiair!D20</f>
        <v>3627.5428111712004</v>
      </c>
      <c r="F40" s="676">
        <f>tertiair!E20</f>
        <v>49.159253716005736</v>
      </c>
      <c r="G40" s="676">
        <f ca="1">tertiair!F20</f>
        <v>814.90240619260578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7467.9121060031921</v>
      </c>
    </row>
    <row r="41" spans="1:18">
      <c r="A41" s="804" t="s">
        <v>214</v>
      </c>
      <c r="B41" s="811"/>
      <c r="C41" s="676">
        <f ca="1">huishoudens!B12</f>
        <v>6299.7780381601597</v>
      </c>
      <c r="D41" s="676">
        <f ca="1">huishoudens!C12</f>
        <v>0</v>
      </c>
      <c r="E41" s="676">
        <f>huishoudens!D12</f>
        <v>17003.835833233788</v>
      </c>
      <c r="F41" s="676">
        <f>huishoudens!E12</f>
        <v>319.46534273270044</v>
      </c>
      <c r="G41" s="676">
        <f>huishoudens!F12</f>
        <v>11515.305921247791</v>
      </c>
      <c r="H41" s="676">
        <f>huishoudens!G12</f>
        <v>0</v>
      </c>
      <c r="I41" s="676">
        <f>huishoudens!H12</f>
        <v>0</v>
      </c>
      <c r="J41" s="676">
        <f>huishoudens!I12</f>
        <v>0</v>
      </c>
      <c r="K41" s="676">
        <f>huishoudens!J12</f>
        <v>289.13575156870041</v>
      </c>
      <c r="L41" s="676">
        <f>huishoudens!K12</f>
        <v>0</v>
      </c>
      <c r="M41" s="676">
        <f>huishoudens!L12</f>
        <v>0</v>
      </c>
      <c r="N41" s="676">
        <f>huishoudens!M12</f>
        <v>0</v>
      </c>
      <c r="O41" s="676">
        <f>huishoudens!N12</f>
        <v>0</v>
      </c>
      <c r="P41" s="676">
        <f>huishoudens!O12</f>
        <v>0</v>
      </c>
      <c r="Q41" s="753">
        <f>huishoudens!P12</f>
        <v>0</v>
      </c>
      <c r="R41" s="832">
        <f t="shared" ca="1" si="4"/>
        <v>35427.520886943137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574.98090043668719</v>
      </c>
      <c r="D43" s="676">
        <f ca="1">industrie!C22</f>
        <v>0</v>
      </c>
      <c r="E43" s="676">
        <f>industrie!D22</f>
        <v>624.96646976956333</v>
      </c>
      <c r="F43" s="676">
        <f>industrie!E22</f>
        <v>110.83356048397835</v>
      </c>
      <c r="G43" s="676">
        <f>industrie!F22</f>
        <v>523.41864778375214</v>
      </c>
      <c r="H43" s="676">
        <f>industrie!G22</f>
        <v>0</v>
      </c>
      <c r="I43" s="676">
        <f>industrie!H22</f>
        <v>0</v>
      </c>
      <c r="J43" s="676">
        <f>industrie!I22</f>
        <v>0</v>
      </c>
      <c r="K43" s="676">
        <f>industrie!J22</f>
        <v>1.031605464962132</v>
      </c>
      <c r="L43" s="676">
        <f>industrie!K22</f>
        <v>0</v>
      </c>
      <c r="M43" s="676">
        <f>industrie!L22</f>
        <v>0</v>
      </c>
      <c r="N43" s="676">
        <f>industrie!M22</f>
        <v>0</v>
      </c>
      <c r="O43" s="676">
        <f>industrie!N22</f>
        <v>0</v>
      </c>
      <c r="P43" s="676">
        <f>industrie!O22</f>
        <v>0</v>
      </c>
      <c r="Q43" s="753">
        <f>industrie!P22</f>
        <v>0</v>
      </c>
      <c r="R43" s="831">
        <f t="shared" ca="1" si="4"/>
        <v>1835.2311839389433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9851.0665735202274</v>
      </c>
      <c r="D46" s="711">
        <f t="shared" ref="D46:Q46" ca="1" si="5">SUM(D39:D45)</f>
        <v>0</v>
      </c>
      <c r="E46" s="711">
        <f t="shared" ca="1" si="5"/>
        <v>21256.34511417455</v>
      </c>
      <c r="F46" s="711">
        <f t="shared" si="5"/>
        <v>479.45815693268446</v>
      </c>
      <c r="G46" s="711">
        <f t="shared" ca="1" si="5"/>
        <v>12853.62697522415</v>
      </c>
      <c r="H46" s="711">
        <f t="shared" si="5"/>
        <v>0</v>
      </c>
      <c r="I46" s="711">
        <f t="shared" si="5"/>
        <v>0</v>
      </c>
      <c r="J46" s="711">
        <f t="shared" si="5"/>
        <v>0</v>
      </c>
      <c r="K46" s="711">
        <f t="shared" si="5"/>
        <v>290.16735703366254</v>
      </c>
      <c r="L46" s="711">
        <f t="shared" si="5"/>
        <v>0</v>
      </c>
      <c r="M46" s="711">
        <f t="shared" ca="1" si="5"/>
        <v>0</v>
      </c>
      <c r="N46" s="711">
        <f t="shared" si="5"/>
        <v>0</v>
      </c>
      <c r="O46" s="711">
        <f t="shared" ca="1" si="5"/>
        <v>0</v>
      </c>
      <c r="P46" s="711">
        <f t="shared" si="5"/>
        <v>0</v>
      </c>
      <c r="Q46" s="711">
        <f t="shared" si="5"/>
        <v>0</v>
      </c>
      <c r="R46" s="711">
        <f ca="1">SUM(R39:R45)</f>
        <v>44730.664176885271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1.3688856239989207</v>
      </c>
      <c r="D49" s="676">
        <f ca="1">transport!C58</f>
        <v>0</v>
      </c>
      <c r="E49" s="676">
        <f>transport!D58</f>
        <v>0</v>
      </c>
      <c r="F49" s="676">
        <f>transport!E58</f>
        <v>0</v>
      </c>
      <c r="G49" s="676">
        <f>transport!F58</f>
        <v>0</v>
      </c>
      <c r="H49" s="676">
        <f>transport!G58</f>
        <v>378.52787582109664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379.89676144509554</v>
      </c>
    </row>
    <row r="50" spans="1:18">
      <c r="A50" s="807" t="s">
        <v>296</v>
      </c>
      <c r="B50" s="817"/>
      <c r="C50" s="682">
        <f ca="1">transport!B18</f>
        <v>1.8867433946107939</v>
      </c>
      <c r="D50" s="682">
        <f>transport!C18</f>
        <v>0</v>
      </c>
      <c r="E50" s="682">
        <f>transport!D18</f>
        <v>1.9759052626386437</v>
      </c>
      <c r="F50" s="682">
        <f>transport!E18</f>
        <v>85.752812734094078</v>
      </c>
      <c r="G50" s="682">
        <f>transport!F18</f>
        <v>0</v>
      </c>
      <c r="H50" s="682">
        <f>transport!G18</f>
        <v>35055.14686439855</v>
      </c>
      <c r="I50" s="682">
        <f>transport!H18</f>
        <v>4232.2548158280433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39377.017141617936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3.2556290186097145</v>
      </c>
      <c r="D52" s="711">
        <f t="shared" ref="D52:Q52" ca="1" si="6">SUM(D48:D51)</f>
        <v>0</v>
      </c>
      <c r="E52" s="711">
        <f t="shared" si="6"/>
        <v>1.9759052626386437</v>
      </c>
      <c r="F52" s="711">
        <f t="shared" si="6"/>
        <v>85.752812734094078</v>
      </c>
      <c r="G52" s="711">
        <f t="shared" si="6"/>
        <v>0</v>
      </c>
      <c r="H52" s="711">
        <f t="shared" si="6"/>
        <v>35433.674740219649</v>
      </c>
      <c r="I52" s="711">
        <f t="shared" si="6"/>
        <v>4232.2548158280433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39756.913903063032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293.56140030802862</v>
      </c>
      <c r="D54" s="682">
        <f ca="1">+landbouw!C12</f>
        <v>2580.7197478991602</v>
      </c>
      <c r="E54" s="682">
        <f>+landbouw!D12</f>
        <v>734.14854609620477</v>
      </c>
      <c r="F54" s="682">
        <f>+landbouw!E12</f>
        <v>4.4680438364337025</v>
      </c>
      <c r="G54" s="682">
        <f>+landbouw!F12</f>
        <v>1438.9261741008577</v>
      </c>
      <c r="H54" s="682">
        <f>+landbouw!G12</f>
        <v>0</v>
      </c>
      <c r="I54" s="682">
        <f>+landbouw!H12</f>
        <v>0</v>
      </c>
      <c r="J54" s="682">
        <f>+landbouw!I12</f>
        <v>0</v>
      </c>
      <c r="K54" s="682">
        <f>+landbouw!J12</f>
        <v>83.156249526888914</v>
      </c>
      <c r="L54" s="682">
        <f>+landbouw!K12</f>
        <v>0</v>
      </c>
      <c r="M54" s="682">
        <f>+landbouw!L12</f>
        <v>0</v>
      </c>
      <c r="N54" s="682">
        <f>+landbouw!M12</f>
        <v>0</v>
      </c>
      <c r="O54" s="682">
        <f>+landbouw!N12</f>
        <v>0</v>
      </c>
      <c r="P54" s="682">
        <f>+landbouw!O12</f>
        <v>0</v>
      </c>
      <c r="Q54" s="683">
        <f>+landbouw!P12</f>
        <v>0</v>
      </c>
      <c r="R54" s="710">
        <f ca="1">SUM(C54:Q54)</f>
        <v>5134.9801617675739</v>
      </c>
    </row>
    <row r="55" spans="1:18" ht="15" thickBot="1">
      <c r="A55" s="807" t="s">
        <v>833</v>
      </c>
      <c r="B55" s="817"/>
      <c r="C55" s="682">
        <f ca="1">C25*'EF ele_warmte'!B12</f>
        <v>233.57173420897035</v>
      </c>
      <c r="D55" s="682"/>
      <c r="E55" s="682">
        <f>E25*EF_CO2_aardgas</f>
        <v>613.42639235630315</v>
      </c>
      <c r="F55" s="682"/>
      <c r="G55" s="682"/>
      <c r="H55" s="682"/>
      <c r="I55" s="682"/>
      <c r="J55" s="682"/>
      <c r="K55" s="682"/>
      <c r="L55" s="682"/>
      <c r="M55" s="682"/>
      <c r="N55" s="682"/>
      <c r="O55" s="682"/>
      <c r="P55" s="682"/>
      <c r="Q55" s="683"/>
      <c r="R55" s="710">
        <f ca="1">SUM(C55:Q55)</f>
        <v>846.99812656527354</v>
      </c>
    </row>
    <row r="56" spans="1:18" ht="15.75" thickBot="1">
      <c r="A56" s="805" t="s">
        <v>834</v>
      </c>
      <c r="B56" s="818"/>
      <c r="C56" s="711">
        <f ca="1">SUM(C54:C55)</f>
        <v>527.13313451699901</v>
      </c>
      <c r="D56" s="711">
        <f t="shared" ref="D56:Q56" ca="1" si="7">SUM(D54:D55)</f>
        <v>2580.7197478991602</v>
      </c>
      <c r="E56" s="711">
        <f t="shared" si="7"/>
        <v>1347.5749384525079</v>
      </c>
      <c r="F56" s="711">
        <f t="shared" si="7"/>
        <v>4.4680438364337025</v>
      </c>
      <c r="G56" s="711">
        <f t="shared" si="7"/>
        <v>1438.9261741008577</v>
      </c>
      <c r="H56" s="711">
        <f t="shared" si="7"/>
        <v>0</v>
      </c>
      <c r="I56" s="711">
        <f t="shared" si="7"/>
        <v>0</v>
      </c>
      <c r="J56" s="711">
        <f t="shared" si="7"/>
        <v>0</v>
      </c>
      <c r="K56" s="711">
        <f t="shared" si="7"/>
        <v>83.156249526888914</v>
      </c>
      <c r="L56" s="711">
        <f t="shared" si="7"/>
        <v>0</v>
      </c>
      <c r="M56" s="711">
        <f t="shared" si="7"/>
        <v>0</v>
      </c>
      <c r="N56" s="711">
        <f t="shared" si="7"/>
        <v>0</v>
      </c>
      <c r="O56" s="711">
        <f t="shared" si="7"/>
        <v>0</v>
      </c>
      <c r="P56" s="711">
        <f t="shared" si="7"/>
        <v>0</v>
      </c>
      <c r="Q56" s="712">
        <f t="shared" si="7"/>
        <v>0</v>
      </c>
      <c r="R56" s="713">
        <f ca="1">SUM(R54:R55)</f>
        <v>5981.9782883328471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10381.455337055835</v>
      </c>
      <c r="D61" s="719">
        <f t="shared" ref="D61:Q61" ca="1" si="8">D46+D52+D56</f>
        <v>2580.7197478991602</v>
      </c>
      <c r="E61" s="719">
        <f t="shared" ca="1" si="8"/>
        <v>22605.895957889697</v>
      </c>
      <c r="F61" s="719">
        <f t="shared" si="8"/>
        <v>569.67901350321222</v>
      </c>
      <c r="G61" s="719">
        <f t="shared" ca="1" si="8"/>
        <v>14292.553149325007</v>
      </c>
      <c r="H61" s="719">
        <f t="shared" si="8"/>
        <v>35433.674740219649</v>
      </c>
      <c r="I61" s="719">
        <f t="shared" si="8"/>
        <v>4232.2548158280433</v>
      </c>
      <c r="J61" s="719">
        <f t="shared" si="8"/>
        <v>0</v>
      </c>
      <c r="K61" s="719">
        <f t="shared" si="8"/>
        <v>373.32360656055147</v>
      </c>
      <c r="L61" s="719">
        <f t="shared" si="8"/>
        <v>0</v>
      </c>
      <c r="M61" s="719">
        <f t="shared" ca="1" si="8"/>
        <v>0</v>
      </c>
      <c r="N61" s="719">
        <f t="shared" si="8"/>
        <v>0</v>
      </c>
      <c r="O61" s="719">
        <f t="shared" ca="1" si="8"/>
        <v>0</v>
      </c>
      <c r="P61" s="719">
        <f t="shared" si="8"/>
        <v>0</v>
      </c>
      <c r="Q61" s="719">
        <f t="shared" si="8"/>
        <v>0</v>
      </c>
      <c r="R61" s="719">
        <f ca="1">R46+R52+R56</f>
        <v>90469.556368281148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0.18794134428051432</v>
      </c>
      <c r="D63" s="762">
        <f t="shared" ca="1" si="9"/>
        <v>0.1599861688224159</v>
      </c>
      <c r="E63" s="984">
        <f t="shared" ca="1" si="9"/>
        <v>0.20199999999999999</v>
      </c>
      <c r="F63" s="762">
        <f t="shared" si="9"/>
        <v>0.22699999999999998</v>
      </c>
      <c r="G63" s="762">
        <f t="shared" ca="1" si="9"/>
        <v>0.26700000000000007</v>
      </c>
      <c r="H63" s="762">
        <f t="shared" si="9"/>
        <v>0.26700000000000002</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5145.4306232674207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3689.9999999999995</v>
      </c>
      <c r="C76" s="729">
        <f>'lokale energieproductie'!B8*IFERROR(SUM(D76:H76)/SUM(D76:O76),0)</f>
        <v>7601.6249999999991</v>
      </c>
      <c r="D76" s="994">
        <f>'lokale energieproductie'!C8</f>
        <v>8943.0882352941171</v>
      </c>
      <c r="E76" s="995">
        <f>'lokale energieproductie'!D8</f>
        <v>0</v>
      </c>
      <c r="F76" s="995">
        <f>'lokale energieproductie'!E8</f>
        <v>0</v>
      </c>
      <c r="G76" s="995">
        <f>'lokale energieproductie'!F8</f>
        <v>0</v>
      </c>
      <c r="H76" s="995">
        <f>'lokale energieproductie'!G8</f>
        <v>0</v>
      </c>
      <c r="I76" s="995">
        <f>'lokale energieproductie'!I8</f>
        <v>0</v>
      </c>
      <c r="J76" s="995">
        <f>'lokale energieproductie'!J8</f>
        <v>4341.1764705882351</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1806.5038235294119</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8835.4306232674207</v>
      </c>
      <c r="C78" s="734">
        <f>SUM(C72:C77)</f>
        <v>7601.6249999999991</v>
      </c>
      <c r="D78" s="735">
        <f t="shared" ref="D78:H78" si="10">SUM(D76:D77)</f>
        <v>8943.0882352941171</v>
      </c>
      <c r="E78" s="735">
        <f t="shared" si="10"/>
        <v>0</v>
      </c>
      <c r="F78" s="735">
        <f t="shared" si="10"/>
        <v>0</v>
      </c>
      <c r="G78" s="735">
        <f t="shared" si="10"/>
        <v>0</v>
      </c>
      <c r="H78" s="735">
        <f t="shared" si="10"/>
        <v>0</v>
      </c>
      <c r="I78" s="735">
        <f>SUM(I76:I77)</f>
        <v>0</v>
      </c>
      <c r="J78" s="735">
        <f>SUM(J76:J77)</f>
        <v>4341.1764705882351</v>
      </c>
      <c r="K78" s="735">
        <f t="shared" ref="K78:L78" si="11">SUM(K76:K77)</f>
        <v>0</v>
      </c>
      <c r="L78" s="735">
        <f t="shared" si="11"/>
        <v>0</v>
      </c>
      <c r="M78" s="735">
        <f>SUM(M76:M77)</f>
        <v>0</v>
      </c>
      <c r="N78" s="735">
        <f>SUM(N76:N77)</f>
        <v>0</v>
      </c>
      <c r="O78" s="842">
        <f>SUM(O76:O77)</f>
        <v>0</v>
      </c>
      <c r="P78" s="736">
        <v>0</v>
      </c>
      <c r="Q78" s="736">
        <f>SUM(Q76:Q77)</f>
        <v>1806.5038235294119</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5271.4285714285716</v>
      </c>
      <c r="C87" s="745">
        <f>'lokale energieproductie'!B17*IFERROR(SUM(D87:H87)/SUM(D87:O87),0)</f>
        <v>10859.464285714288</v>
      </c>
      <c r="D87" s="756">
        <f>'lokale energieproductie'!C17</f>
        <v>12775.840336134455</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6201.680672268908</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2580.7197478991602</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5271.4285714285716</v>
      </c>
      <c r="C90" s="734">
        <f>SUM(C87:C89)</f>
        <v>10859.464285714288</v>
      </c>
      <c r="D90" s="734">
        <f t="shared" ref="D90:H90" si="12">SUM(D87:D89)</f>
        <v>12775.840336134455</v>
      </c>
      <c r="E90" s="734">
        <f t="shared" si="12"/>
        <v>0</v>
      </c>
      <c r="F90" s="734">
        <f t="shared" si="12"/>
        <v>0</v>
      </c>
      <c r="G90" s="734">
        <f t="shared" si="12"/>
        <v>0</v>
      </c>
      <c r="H90" s="734">
        <f t="shared" si="12"/>
        <v>0</v>
      </c>
      <c r="I90" s="734">
        <f>SUM(I87:I89)</f>
        <v>0</v>
      </c>
      <c r="J90" s="734">
        <f>SUM(J87:J89)</f>
        <v>6201.680672268908</v>
      </c>
      <c r="K90" s="734">
        <f t="shared" ref="K90:L90" si="13">SUM(K87:K89)</f>
        <v>0</v>
      </c>
      <c r="L90" s="734">
        <f t="shared" si="13"/>
        <v>0</v>
      </c>
      <c r="M90" s="734">
        <f>SUM(M87:M89)</f>
        <v>0</v>
      </c>
      <c r="N90" s="734">
        <f>SUM(N87:N89)</f>
        <v>0</v>
      </c>
      <c r="O90" s="734">
        <f>SUM(O87:O89)</f>
        <v>0</v>
      </c>
      <c r="P90" s="734">
        <v>0</v>
      </c>
      <c r="Q90" s="734">
        <f>SUM(Q87:Q89)</f>
        <v>2580.7197478991602</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33519.915813506916</v>
      </c>
      <c r="C4" s="448">
        <f>huishoudens!C8</f>
        <v>0</v>
      </c>
      <c r="D4" s="448">
        <f>huishoudens!D8</f>
        <v>84177.405115018744</v>
      </c>
      <c r="E4" s="448">
        <f>huishoudens!E8</f>
        <v>1407.3363115977993</v>
      </c>
      <c r="F4" s="448">
        <f>huishoudens!F8</f>
        <v>43128.486596433671</v>
      </c>
      <c r="G4" s="448">
        <f>huishoudens!G8</f>
        <v>0</v>
      </c>
      <c r="H4" s="448">
        <f>huishoudens!H8</f>
        <v>0</v>
      </c>
      <c r="I4" s="448">
        <f>huishoudens!I8</f>
        <v>0</v>
      </c>
      <c r="J4" s="448">
        <f>huishoudens!J8</f>
        <v>816.76765979858885</v>
      </c>
      <c r="K4" s="448">
        <f>huishoudens!K8</f>
        <v>0</v>
      </c>
      <c r="L4" s="448">
        <f>huishoudens!L8</f>
        <v>0</v>
      </c>
      <c r="M4" s="448">
        <f>huishoudens!M8</f>
        <v>0</v>
      </c>
      <c r="N4" s="448">
        <f>huishoudens!N8</f>
        <v>11161.291551135069</v>
      </c>
      <c r="O4" s="448">
        <f>huishoudens!O8</f>
        <v>140.70000000000002</v>
      </c>
      <c r="P4" s="449">
        <f>huishoudens!P8</f>
        <v>457.6</v>
      </c>
      <c r="Q4" s="450">
        <f>SUM(B4:P4)</f>
        <v>174809.50304749081</v>
      </c>
    </row>
    <row r="5" spans="1:17">
      <c r="A5" s="447" t="s">
        <v>149</v>
      </c>
      <c r="B5" s="448">
        <f ca="1">tertiair!B16</f>
        <v>14669.959512116358</v>
      </c>
      <c r="C5" s="448">
        <f ca="1">tertiair!C16</f>
        <v>0</v>
      </c>
      <c r="D5" s="448">
        <f ca="1">tertiair!D16</f>
        <v>17958.132728570297</v>
      </c>
      <c r="E5" s="448">
        <f>tertiair!E16</f>
        <v>216.56058905729398</v>
      </c>
      <c r="F5" s="448">
        <f ca="1">tertiair!F16</f>
        <v>3052.0689370509576</v>
      </c>
      <c r="G5" s="448">
        <f>tertiair!G16</f>
        <v>0</v>
      </c>
      <c r="H5" s="448">
        <f>tertiair!H16</f>
        <v>0</v>
      </c>
      <c r="I5" s="448">
        <f>tertiair!I16</f>
        <v>0</v>
      </c>
      <c r="J5" s="448">
        <f>tertiair!J16</f>
        <v>0</v>
      </c>
      <c r="K5" s="448">
        <f>tertiair!K16</f>
        <v>0</v>
      </c>
      <c r="L5" s="448">
        <f ca="1">tertiair!L16</f>
        <v>0</v>
      </c>
      <c r="M5" s="448">
        <f>tertiair!M16</f>
        <v>0</v>
      </c>
      <c r="N5" s="448">
        <f ca="1">tertiair!N16</f>
        <v>1783.2651171534214</v>
      </c>
      <c r="O5" s="448">
        <f>tertiair!O16</f>
        <v>3.1266666666666669</v>
      </c>
      <c r="P5" s="449">
        <f>tertiair!P16</f>
        <v>0</v>
      </c>
      <c r="Q5" s="447">
        <f t="shared" ref="Q5:Q14" ca="1" si="0">SUM(B5:P5)</f>
        <v>37683.113550614995</v>
      </c>
    </row>
    <row r="6" spans="1:17">
      <c r="A6" s="447" t="s">
        <v>187</v>
      </c>
      <c r="B6" s="448">
        <f>'openbare verlichting'!B8</f>
        <v>1166.405</v>
      </c>
      <c r="C6" s="448"/>
      <c r="D6" s="448"/>
      <c r="E6" s="448"/>
      <c r="F6" s="448"/>
      <c r="G6" s="448"/>
      <c r="H6" s="448"/>
      <c r="I6" s="448"/>
      <c r="J6" s="448"/>
      <c r="K6" s="448"/>
      <c r="L6" s="448"/>
      <c r="M6" s="448"/>
      <c r="N6" s="448"/>
      <c r="O6" s="448"/>
      <c r="P6" s="449"/>
      <c r="Q6" s="447">
        <f t="shared" si="0"/>
        <v>1166.405</v>
      </c>
    </row>
    <row r="7" spans="1:17">
      <c r="A7" s="447" t="s">
        <v>105</v>
      </c>
      <c r="B7" s="448">
        <f>landbouw!B8</f>
        <v>1561.98414687228</v>
      </c>
      <c r="C7" s="448">
        <f>landbouw!C8</f>
        <v>16130.892857142859</v>
      </c>
      <c r="D7" s="448">
        <f>landbouw!D8</f>
        <v>3634.3987430505185</v>
      </c>
      <c r="E7" s="448">
        <f>landbouw!E8</f>
        <v>19.683012495302652</v>
      </c>
      <c r="F7" s="448">
        <f>landbouw!F8</f>
        <v>5389.2366071193164</v>
      </c>
      <c r="G7" s="448">
        <f>landbouw!G8</f>
        <v>0</v>
      </c>
      <c r="H7" s="448">
        <f>landbouw!H8</f>
        <v>0</v>
      </c>
      <c r="I7" s="448">
        <f>landbouw!I8</f>
        <v>0</v>
      </c>
      <c r="J7" s="448">
        <f>landbouw!J8</f>
        <v>234.90465968047715</v>
      </c>
      <c r="K7" s="448">
        <f>landbouw!K8</f>
        <v>0</v>
      </c>
      <c r="L7" s="448">
        <f>landbouw!L8</f>
        <v>0</v>
      </c>
      <c r="M7" s="448">
        <f>landbouw!M8</f>
        <v>0</v>
      </c>
      <c r="N7" s="448">
        <f>landbouw!N8</f>
        <v>0</v>
      </c>
      <c r="O7" s="448">
        <f>landbouw!O8</f>
        <v>0</v>
      </c>
      <c r="P7" s="449">
        <f>landbouw!P8</f>
        <v>0</v>
      </c>
      <c r="Q7" s="447">
        <f t="shared" si="0"/>
        <v>26971.100026360753</v>
      </c>
    </row>
    <row r="8" spans="1:17">
      <c r="A8" s="447" t="s">
        <v>639</v>
      </c>
      <c r="B8" s="448">
        <f>industrie!B18</f>
        <v>3059.3635617423911</v>
      </c>
      <c r="C8" s="448">
        <f>industrie!C18</f>
        <v>0</v>
      </c>
      <c r="D8" s="448">
        <f>industrie!D18</f>
        <v>3093.8934147008085</v>
      </c>
      <c r="E8" s="448">
        <f>industrie!E18</f>
        <v>488.2535704140015</v>
      </c>
      <c r="F8" s="448">
        <f>industrie!F18</f>
        <v>1960.3694673548769</v>
      </c>
      <c r="G8" s="448">
        <f>industrie!G18</f>
        <v>0</v>
      </c>
      <c r="H8" s="448">
        <f>industrie!H18</f>
        <v>0</v>
      </c>
      <c r="I8" s="448">
        <f>industrie!I18</f>
        <v>0</v>
      </c>
      <c r="J8" s="448">
        <f>industrie!J18</f>
        <v>2.9141397315314466</v>
      </c>
      <c r="K8" s="448">
        <f>industrie!K18</f>
        <v>0</v>
      </c>
      <c r="L8" s="448">
        <f>industrie!L18</f>
        <v>0</v>
      </c>
      <c r="M8" s="448">
        <f>industrie!M18</f>
        <v>0</v>
      </c>
      <c r="N8" s="448">
        <f>industrie!N18</f>
        <v>312.4833872135585</v>
      </c>
      <c r="O8" s="448">
        <f>industrie!O18</f>
        <v>0</v>
      </c>
      <c r="P8" s="449">
        <f>industrie!P18</f>
        <v>0</v>
      </c>
      <c r="Q8" s="447">
        <f t="shared" si="0"/>
        <v>8917.2775411571674</v>
      </c>
    </row>
    <row r="9" spans="1:17" s="453" customFormat="1">
      <c r="A9" s="451" t="s">
        <v>557</v>
      </c>
      <c r="B9" s="452">
        <f>transport!B14</f>
        <v>10.039001273688402</v>
      </c>
      <c r="C9" s="452">
        <f>transport!C14</f>
        <v>0</v>
      </c>
      <c r="D9" s="452">
        <f>transport!D14</f>
        <v>9.7817092209833838</v>
      </c>
      <c r="E9" s="452">
        <f>transport!E14</f>
        <v>377.76569486385057</v>
      </c>
      <c r="F9" s="452">
        <f>transport!F14</f>
        <v>0</v>
      </c>
      <c r="G9" s="452">
        <f>transport!G14</f>
        <v>131292.68488538783</v>
      </c>
      <c r="H9" s="452">
        <f>transport!H14</f>
        <v>16997.007292482103</v>
      </c>
      <c r="I9" s="452">
        <f>transport!I14</f>
        <v>0</v>
      </c>
      <c r="J9" s="452">
        <f>transport!J14</f>
        <v>0</v>
      </c>
      <c r="K9" s="452">
        <f>transport!K14</f>
        <v>0</v>
      </c>
      <c r="L9" s="452">
        <f>transport!L14</f>
        <v>0</v>
      </c>
      <c r="M9" s="452">
        <f>transport!M14</f>
        <v>6702.7837021806627</v>
      </c>
      <c r="N9" s="452">
        <f>transport!N14</f>
        <v>0</v>
      </c>
      <c r="O9" s="452">
        <f>transport!O14</f>
        <v>0</v>
      </c>
      <c r="P9" s="452">
        <f>transport!P14</f>
        <v>0</v>
      </c>
      <c r="Q9" s="451">
        <f>SUM(B9:P9)</f>
        <v>155390.06228540911</v>
      </c>
    </row>
    <row r="10" spans="1:17">
      <c r="A10" s="447" t="s">
        <v>547</v>
      </c>
      <c r="B10" s="448">
        <f>transport!B54</f>
        <v>7.2835789764053862</v>
      </c>
      <c r="C10" s="448">
        <f>transport!C54</f>
        <v>0</v>
      </c>
      <c r="D10" s="448">
        <f>transport!D54</f>
        <v>0</v>
      </c>
      <c r="E10" s="448">
        <f>transport!E54</f>
        <v>0</v>
      </c>
      <c r="F10" s="448">
        <f>transport!F54</f>
        <v>0</v>
      </c>
      <c r="G10" s="448">
        <f>transport!G54</f>
        <v>1417.7074000790135</v>
      </c>
      <c r="H10" s="448">
        <f>transport!H54</f>
        <v>0</v>
      </c>
      <c r="I10" s="448">
        <f>transport!I54</f>
        <v>0</v>
      </c>
      <c r="J10" s="448">
        <f>transport!J54</f>
        <v>0</v>
      </c>
      <c r="K10" s="448">
        <f>transport!K54</f>
        <v>0</v>
      </c>
      <c r="L10" s="448">
        <f>transport!L54</f>
        <v>0</v>
      </c>
      <c r="M10" s="448">
        <f>transport!M54</f>
        <v>63.571191048163215</v>
      </c>
      <c r="N10" s="448">
        <f>transport!N54</f>
        <v>0</v>
      </c>
      <c r="O10" s="448">
        <f>transport!O54</f>
        <v>0</v>
      </c>
      <c r="P10" s="449">
        <f>transport!P54</f>
        <v>0</v>
      </c>
      <c r="Q10" s="447">
        <f t="shared" si="0"/>
        <v>1488.562170103582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1242.7905903469</v>
      </c>
      <c r="C14" s="455"/>
      <c r="D14" s="455">
        <f>'SEAP template'!E25</f>
        <v>3036.7643185955599</v>
      </c>
      <c r="E14" s="455"/>
      <c r="F14" s="455"/>
      <c r="G14" s="455"/>
      <c r="H14" s="455"/>
      <c r="I14" s="455"/>
      <c r="J14" s="455"/>
      <c r="K14" s="455"/>
      <c r="L14" s="455"/>
      <c r="M14" s="455"/>
      <c r="N14" s="455"/>
      <c r="O14" s="455"/>
      <c r="P14" s="456"/>
      <c r="Q14" s="447">
        <f t="shared" si="0"/>
        <v>4279.5549089424603</v>
      </c>
    </row>
    <row r="15" spans="1:17" s="460" customFormat="1">
      <c r="A15" s="457" t="s">
        <v>551</v>
      </c>
      <c r="B15" s="458">
        <f ca="1">SUM(B4:B14)</f>
        <v>55237.741204834943</v>
      </c>
      <c r="C15" s="458">
        <f t="shared" ref="C15:Q15" ca="1" si="1">SUM(C4:C14)</f>
        <v>16130.892857142859</v>
      </c>
      <c r="D15" s="458">
        <f t="shared" ca="1" si="1"/>
        <v>111910.37602915692</v>
      </c>
      <c r="E15" s="458">
        <f t="shared" si="1"/>
        <v>2509.5991784282478</v>
      </c>
      <c r="F15" s="458">
        <f t="shared" ca="1" si="1"/>
        <v>53530.16160795882</v>
      </c>
      <c r="G15" s="458">
        <f t="shared" si="1"/>
        <v>132710.39228546683</v>
      </c>
      <c r="H15" s="458">
        <f t="shared" si="1"/>
        <v>16997.007292482103</v>
      </c>
      <c r="I15" s="458">
        <f t="shared" si="1"/>
        <v>0</v>
      </c>
      <c r="J15" s="458">
        <f t="shared" si="1"/>
        <v>1054.5864592105975</v>
      </c>
      <c r="K15" s="458">
        <f t="shared" si="1"/>
        <v>0</v>
      </c>
      <c r="L15" s="458">
        <f t="shared" ca="1" si="1"/>
        <v>0</v>
      </c>
      <c r="M15" s="458">
        <f t="shared" si="1"/>
        <v>6766.3548932288259</v>
      </c>
      <c r="N15" s="458">
        <f t="shared" ca="1" si="1"/>
        <v>13257.04005550205</v>
      </c>
      <c r="O15" s="458">
        <f t="shared" si="1"/>
        <v>143.82666666666668</v>
      </c>
      <c r="P15" s="458">
        <f t="shared" si="1"/>
        <v>457.6</v>
      </c>
      <c r="Q15" s="458">
        <f t="shared" ca="1" si="1"/>
        <v>410705.57853007887</v>
      </c>
    </row>
    <row r="17" spans="1:17">
      <c r="A17" s="461" t="s">
        <v>552</v>
      </c>
      <c r="B17" s="767">
        <f ca="1">huishoudens!B10</f>
        <v>0.18794134428051432</v>
      </c>
      <c r="C17" s="767">
        <f ca="1">huishoudens!C10</f>
        <v>0.1599861688224159</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6299.7780381601597</v>
      </c>
      <c r="C22" s="448">
        <f t="shared" ref="C22:C32" ca="1" si="3">C4*$C$17</f>
        <v>0</v>
      </c>
      <c r="D22" s="448">
        <f t="shared" ref="D22:D32" si="4">D4*$D$17</f>
        <v>17003.835833233788</v>
      </c>
      <c r="E22" s="448">
        <f t="shared" ref="E22:E32" si="5">E4*$E$17</f>
        <v>319.46534273270044</v>
      </c>
      <c r="F22" s="448">
        <f t="shared" ref="F22:F32" si="6">F4*$F$17</f>
        <v>11515.305921247791</v>
      </c>
      <c r="G22" s="448">
        <f t="shared" ref="G22:G32" si="7">G4*$G$17</f>
        <v>0</v>
      </c>
      <c r="H22" s="448">
        <f t="shared" ref="H22:H32" si="8">H4*$H$17</f>
        <v>0</v>
      </c>
      <c r="I22" s="448">
        <f t="shared" ref="I22:I32" si="9">I4*$I$17</f>
        <v>0</v>
      </c>
      <c r="J22" s="448">
        <f t="shared" ref="J22:J32" si="10">J4*$J$17</f>
        <v>289.13575156870041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35427.520886943137</v>
      </c>
    </row>
    <row r="23" spans="1:17">
      <c r="A23" s="447" t="s">
        <v>149</v>
      </c>
      <c r="B23" s="448">
        <f t="shared" ca="1" si="2"/>
        <v>2757.0919112478664</v>
      </c>
      <c r="C23" s="448">
        <f t="shared" ca="1" si="3"/>
        <v>0</v>
      </c>
      <c r="D23" s="448">
        <f t="shared" ca="1" si="4"/>
        <v>3627.5428111712004</v>
      </c>
      <c r="E23" s="448">
        <f t="shared" si="5"/>
        <v>49.159253716005736</v>
      </c>
      <c r="F23" s="448">
        <f t="shared" ca="1" si="6"/>
        <v>814.90240619260578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7248.6963823276783</v>
      </c>
    </row>
    <row r="24" spans="1:17">
      <c r="A24" s="447" t="s">
        <v>187</v>
      </c>
      <c r="B24" s="448">
        <f t="shared" ca="1" si="2"/>
        <v>219.21572367551329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219.21572367551329</v>
      </c>
    </row>
    <row r="25" spans="1:17">
      <c r="A25" s="447" t="s">
        <v>105</v>
      </c>
      <c r="B25" s="448">
        <f t="shared" ca="1" si="2"/>
        <v>293.56140030802862</v>
      </c>
      <c r="C25" s="448">
        <f t="shared" ca="1" si="3"/>
        <v>2580.7197478991602</v>
      </c>
      <c r="D25" s="448">
        <f t="shared" si="4"/>
        <v>734.14854609620477</v>
      </c>
      <c r="E25" s="448">
        <f t="shared" si="5"/>
        <v>4.4680438364337025</v>
      </c>
      <c r="F25" s="448">
        <f t="shared" si="6"/>
        <v>1438.9261741008577</v>
      </c>
      <c r="G25" s="448">
        <f t="shared" si="7"/>
        <v>0</v>
      </c>
      <c r="H25" s="448">
        <f t="shared" si="8"/>
        <v>0</v>
      </c>
      <c r="I25" s="448">
        <f t="shared" si="9"/>
        <v>0</v>
      </c>
      <c r="J25" s="448">
        <f t="shared" si="10"/>
        <v>83.156249526888914</v>
      </c>
      <c r="K25" s="448">
        <f t="shared" si="11"/>
        <v>0</v>
      </c>
      <c r="L25" s="448">
        <f t="shared" si="12"/>
        <v>0</v>
      </c>
      <c r="M25" s="448">
        <f t="shared" si="13"/>
        <v>0</v>
      </c>
      <c r="N25" s="448">
        <f t="shared" si="14"/>
        <v>0</v>
      </c>
      <c r="O25" s="448">
        <f t="shared" si="15"/>
        <v>0</v>
      </c>
      <c r="P25" s="449">
        <f t="shared" si="16"/>
        <v>0</v>
      </c>
      <c r="Q25" s="447">
        <f t="shared" ca="1" si="17"/>
        <v>5134.9801617675739</v>
      </c>
    </row>
    <row r="26" spans="1:17">
      <c r="A26" s="447" t="s">
        <v>639</v>
      </c>
      <c r="B26" s="448">
        <f t="shared" ca="1" si="2"/>
        <v>574.98090043668719</v>
      </c>
      <c r="C26" s="448">
        <f t="shared" ca="1" si="3"/>
        <v>0</v>
      </c>
      <c r="D26" s="448">
        <f t="shared" si="4"/>
        <v>624.96646976956333</v>
      </c>
      <c r="E26" s="448">
        <f t="shared" si="5"/>
        <v>110.83356048397835</v>
      </c>
      <c r="F26" s="448">
        <f t="shared" si="6"/>
        <v>523.41864778375214</v>
      </c>
      <c r="G26" s="448">
        <f t="shared" si="7"/>
        <v>0</v>
      </c>
      <c r="H26" s="448">
        <f t="shared" si="8"/>
        <v>0</v>
      </c>
      <c r="I26" s="448">
        <f t="shared" si="9"/>
        <v>0</v>
      </c>
      <c r="J26" s="448">
        <f t="shared" si="10"/>
        <v>1.031605464962132</v>
      </c>
      <c r="K26" s="448">
        <f t="shared" si="11"/>
        <v>0</v>
      </c>
      <c r="L26" s="448">
        <f t="shared" si="12"/>
        <v>0</v>
      </c>
      <c r="M26" s="448">
        <f t="shared" si="13"/>
        <v>0</v>
      </c>
      <c r="N26" s="448">
        <f t="shared" si="14"/>
        <v>0</v>
      </c>
      <c r="O26" s="448">
        <f t="shared" si="15"/>
        <v>0</v>
      </c>
      <c r="P26" s="449">
        <f t="shared" si="16"/>
        <v>0</v>
      </c>
      <c r="Q26" s="447">
        <f t="shared" ca="1" si="17"/>
        <v>1835.2311839389433</v>
      </c>
    </row>
    <row r="27" spans="1:17" s="453" customFormat="1">
      <c r="A27" s="451" t="s">
        <v>557</v>
      </c>
      <c r="B27" s="761">
        <f t="shared" ca="1" si="2"/>
        <v>1.8867433946107939</v>
      </c>
      <c r="C27" s="452">
        <f t="shared" ca="1" si="3"/>
        <v>0</v>
      </c>
      <c r="D27" s="452">
        <f t="shared" si="4"/>
        <v>1.9759052626386437</v>
      </c>
      <c r="E27" s="452">
        <f t="shared" si="5"/>
        <v>85.752812734094078</v>
      </c>
      <c r="F27" s="452">
        <f t="shared" si="6"/>
        <v>0</v>
      </c>
      <c r="G27" s="452">
        <f t="shared" si="7"/>
        <v>35055.14686439855</v>
      </c>
      <c r="H27" s="452">
        <f t="shared" si="8"/>
        <v>4232.2548158280433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39377.017141617936</v>
      </c>
    </row>
    <row r="28" spans="1:17">
      <c r="A28" s="447" t="s">
        <v>547</v>
      </c>
      <c r="B28" s="448">
        <f t="shared" ca="1" si="2"/>
        <v>1.3688856239989207</v>
      </c>
      <c r="C28" s="448">
        <f t="shared" ca="1" si="3"/>
        <v>0</v>
      </c>
      <c r="D28" s="448">
        <f t="shared" si="4"/>
        <v>0</v>
      </c>
      <c r="E28" s="448">
        <f t="shared" si="5"/>
        <v>0</v>
      </c>
      <c r="F28" s="448">
        <f t="shared" si="6"/>
        <v>0</v>
      </c>
      <c r="G28" s="448">
        <f t="shared" si="7"/>
        <v>378.52787582109664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379.89676144509554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233.57173420897035</v>
      </c>
      <c r="C32" s="448">
        <f t="shared" ca="1" si="3"/>
        <v>0</v>
      </c>
      <c r="D32" s="448">
        <f t="shared" si="4"/>
        <v>613.42639235630315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846.99812656527354</v>
      </c>
    </row>
    <row r="33" spans="1:17" s="460" customFormat="1">
      <c r="A33" s="457" t="s">
        <v>551</v>
      </c>
      <c r="B33" s="458">
        <f ca="1">SUM(B22:B32)</f>
        <v>10381.455337055835</v>
      </c>
      <c r="C33" s="458">
        <f t="shared" ref="C33:Q33" ca="1" si="18">SUM(C22:C32)</f>
        <v>2580.7197478991602</v>
      </c>
      <c r="D33" s="458">
        <f t="shared" ca="1" si="18"/>
        <v>22605.895957889697</v>
      </c>
      <c r="E33" s="458">
        <f t="shared" si="18"/>
        <v>569.67901350321222</v>
      </c>
      <c r="F33" s="458">
        <f t="shared" ca="1" si="18"/>
        <v>14292.553149325007</v>
      </c>
      <c r="G33" s="458">
        <f t="shared" si="18"/>
        <v>35433.674740219649</v>
      </c>
      <c r="H33" s="458">
        <f t="shared" si="18"/>
        <v>4232.2548158280433</v>
      </c>
      <c r="I33" s="458">
        <f t="shared" si="18"/>
        <v>0</v>
      </c>
      <c r="J33" s="458">
        <f t="shared" si="18"/>
        <v>373.32360656055147</v>
      </c>
      <c r="K33" s="458">
        <f t="shared" si="18"/>
        <v>0</v>
      </c>
      <c r="L33" s="458">
        <f t="shared" ca="1" si="18"/>
        <v>0</v>
      </c>
      <c r="M33" s="458">
        <f t="shared" si="18"/>
        <v>0</v>
      </c>
      <c r="N33" s="458">
        <f t="shared" ca="1" si="18"/>
        <v>0</v>
      </c>
      <c r="O33" s="458">
        <f t="shared" si="18"/>
        <v>0</v>
      </c>
      <c r="P33" s="458">
        <f t="shared" si="18"/>
        <v>0</v>
      </c>
      <c r="Q33" s="458">
        <f t="shared" ca="1" si="18"/>
        <v>90469.556368281163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5145.4306232674207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3689.9999999999995</v>
      </c>
      <c r="C8" s="1020">
        <f>'SEAP template'!C76</f>
        <v>7601.6249999999991</v>
      </c>
      <c r="D8" s="1020">
        <f>'SEAP template'!D76</f>
        <v>8943.0882352941171</v>
      </c>
      <c r="E8" s="1020">
        <f>'SEAP template'!E76</f>
        <v>0</v>
      </c>
      <c r="F8" s="1020">
        <f>'SEAP template'!F76</f>
        <v>0</v>
      </c>
      <c r="G8" s="1020">
        <f>'SEAP template'!G76</f>
        <v>0</v>
      </c>
      <c r="H8" s="1020">
        <f>'SEAP template'!H76</f>
        <v>0</v>
      </c>
      <c r="I8" s="1020">
        <f>'SEAP template'!I76</f>
        <v>0</v>
      </c>
      <c r="J8" s="1020">
        <f>'SEAP template'!J76</f>
        <v>4341.1764705882351</v>
      </c>
      <c r="K8" s="1020">
        <f>'SEAP template'!K76</f>
        <v>0</v>
      </c>
      <c r="L8" s="1020">
        <f>'SEAP template'!L76</f>
        <v>0</v>
      </c>
      <c r="M8" s="1020">
        <f>'SEAP template'!M76</f>
        <v>0</v>
      </c>
      <c r="N8" s="1020">
        <f>'SEAP template'!N76</f>
        <v>0</v>
      </c>
      <c r="O8" s="1020">
        <f>'SEAP template'!O76</f>
        <v>0</v>
      </c>
      <c r="P8" s="1021">
        <f>'SEAP template'!Q76</f>
        <v>1806.5038235294119</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8835.4306232674207</v>
      </c>
      <c r="C10" s="1024">
        <f>SUM(C4:C9)</f>
        <v>7601.6249999999991</v>
      </c>
      <c r="D10" s="1024">
        <f t="shared" ref="D10:H10" si="0">SUM(D8:D9)</f>
        <v>8943.0882352941171</v>
      </c>
      <c r="E10" s="1024">
        <f t="shared" si="0"/>
        <v>0</v>
      </c>
      <c r="F10" s="1024">
        <f t="shared" si="0"/>
        <v>0</v>
      </c>
      <c r="G10" s="1024">
        <f t="shared" si="0"/>
        <v>0</v>
      </c>
      <c r="H10" s="1024">
        <f t="shared" si="0"/>
        <v>0</v>
      </c>
      <c r="I10" s="1024">
        <f>SUM(I8:I9)</f>
        <v>0</v>
      </c>
      <c r="J10" s="1024">
        <f>SUM(J8:J9)</f>
        <v>4341.1764705882351</v>
      </c>
      <c r="K10" s="1024">
        <f t="shared" ref="K10:L10" si="1">SUM(K8:K9)</f>
        <v>0</v>
      </c>
      <c r="L10" s="1024">
        <f t="shared" si="1"/>
        <v>0</v>
      </c>
      <c r="M10" s="1024">
        <f>SUM(M8:M9)</f>
        <v>0</v>
      </c>
      <c r="N10" s="1024">
        <f>SUM(N8:N9)</f>
        <v>0</v>
      </c>
      <c r="O10" s="1024">
        <f>SUM(O8:O9)</f>
        <v>0</v>
      </c>
      <c r="P10" s="1024">
        <f>SUM(P8:P9)</f>
        <v>1806.5038235294119</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0.18794134428051432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5271.4285714285716</v>
      </c>
      <c r="C17" s="1026">
        <f>'SEAP template'!C87</f>
        <v>10859.464285714288</v>
      </c>
      <c r="D17" s="1021">
        <f>'SEAP template'!D87</f>
        <v>12775.840336134455</v>
      </c>
      <c r="E17" s="1021">
        <f>'SEAP template'!E87</f>
        <v>0</v>
      </c>
      <c r="F17" s="1021">
        <f>'SEAP template'!F87</f>
        <v>0</v>
      </c>
      <c r="G17" s="1021">
        <f>'SEAP template'!G87</f>
        <v>0</v>
      </c>
      <c r="H17" s="1021">
        <f>'SEAP template'!H87</f>
        <v>0</v>
      </c>
      <c r="I17" s="1021">
        <f>'SEAP template'!I87</f>
        <v>0</v>
      </c>
      <c r="J17" s="1021">
        <f>'SEAP template'!J87</f>
        <v>6201.680672268908</v>
      </c>
      <c r="K17" s="1021">
        <f>'SEAP template'!K87</f>
        <v>0</v>
      </c>
      <c r="L17" s="1021">
        <f>'SEAP template'!L87</f>
        <v>0</v>
      </c>
      <c r="M17" s="1021">
        <f>'SEAP template'!M87</f>
        <v>0</v>
      </c>
      <c r="N17" s="1021">
        <f>'SEAP template'!N87</f>
        <v>0</v>
      </c>
      <c r="O17" s="1021">
        <f>'SEAP template'!O87</f>
        <v>0</v>
      </c>
      <c r="P17" s="1021">
        <f>'SEAP template'!Q87</f>
        <v>2580.7197478991602</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5271.4285714285716</v>
      </c>
      <c r="C20" s="1024">
        <f>SUM(C17:C19)</f>
        <v>10859.464285714288</v>
      </c>
      <c r="D20" s="1024">
        <f t="shared" ref="D20:H20" si="2">SUM(D17:D19)</f>
        <v>12775.840336134455</v>
      </c>
      <c r="E20" s="1024">
        <f t="shared" si="2"/>
        <v>0</v>
      </c>
      <c r="F20" s="1024">
        <f t="shared" si="2"/>
        <v>0</v>
      </c>
      <c r="G20" s="1024">
        <f t="shared" si="2"/>
        <v>0</v>
      </c>
      <c r="H20" s="1024">
        <f t="shared" si="2"/>
        <v>0</v>
      </c>
      <c r="I20" s="1024">
        <f>SUM(I17:I19)</f>
        <v>0</v>
      </c>
      <c r="J20" s="1024">
        <f>SUM(J17:J19)</f>
        <v>6201.680672268908</v>
      </c>
      <c r="K20" s="1024">
        <f t="shared" ref="K20:L20" si="3">SUM(K17:K19)</f>
        <v>0</v>
      </c>
      <c r="L20" s="1024">
        <f t="shared" si="3"/>
        <v>0</v>
      </c>
      <c r="M20" s="1024">
        <f>SUM(M17:M19)</f>
        <v>0</v>
      </c>
      <c r="N20" s="1024">
        <f>SUM(N17:N19)</f>
        <v>0</v>
      </c>
      <c r="O20" s="1024">
        <f>SUM(O17:O19)</f>
        <v>0</v>
      </c>
      <c r="P20" s="1024">
        <f>SUM(P17:P19)</f>
        <v>2580.7197478991602</v>
      </c>
    </row>
    <row r="22" spans="1:16">
      <c r="A22" s="461" t="s">
        <v>856</v>
      </c>
      <c r="B22" s="767" t="s">
        <v>850</v>
      </c>
      <c r="C22" s="767">
        <f ca="1">'EF ele_warmte'!B22</f>
        <v>0.1599861688224159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0.18794134428051432</v>
      </c>
      <c r="C17" s="498">
        <f ca="1">'EF ele_warmte'!B22</f>
        <v>0.1599861688224159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0.18794134428051432</v>
      </c>
      <c r="C17" s="498">
        <f ca="1">'EF ele_warmte'!B22</f>
        <v>0.1599861688224159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0.18794134428051432</v>
      </c>
      <c r="C29" s="499">
        <f ca="1">'EF ele_warmte'!B22</f>
        <v>0.1599861688224159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7259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2048</v>
      </c>
      <c r="C14" s="327"/>
      <c r="D14" s="327"/>
      <c r="E14" s="327"/>
      <c r="F14" s="327"/>
    </row>
    <row r="15" spans="1:6">
      <c r="A15" s="1296" t="s">
        <v>177</v>
      </c>
      <c r="B15" s="1297">
        <v>13</v>
      </c>
      <c r="C15" s="327"/>
      <c r="D15" s="327"/>
      <c r="E15" s="327"/>
      <c r="F15" s="327"/>
    </row>
    <row r="16" spans="1:6">
      <c r="A16" s="1296" t="s">
        <v>6</v>
      </c>
      <c r="B16" s="1297">
        <v>497</v>
      </c>
      <c r="C16" s="327"/>
      <c r="D16" s="327"/>
      <c r="E16" s="327"/>
      <c r="F16" s="327"/>
    </row>
    <row r="17" spans="1:6">
      <c r="A17" s="1296" t="s">
        <v>7</v>
      </c>
      <c r="B17" s="1297">
        <v>745</v>
      </c>
      <c r="C17" s="327"/>
      <c r="D17" s="327"/>
      <c r="E17" s="327"/>
      <c r="F17" s="327"/>
    </row>
    <row r="18" spans="1:6">
      <c r="A18" s="1296" t="s">
        <v>8</v>
      </c>
      <c r="B18" s="1297">
        <v>1074</v>
      </c>
      <c r="C18" s="327"/>
      <c r="D18" s="327"/>
      <c r="E18" s="327"/>
      <c r="F18" s="327"/>
    </row>
    <row r="19" spans="1:6">
      <c r="A19" s="1296" t="s">
        <v>9</v>
      </c>
      <c r="B19" s="1297">
        <v>1014</v>
      </c>
      <c r="C19" s="327"/>
      <c r="D19" s="327"/>
      <c r="E19" s="327"/>
      <c r="F19" s="327"/>
    </row>
    <row r="20" spans="1:6">
      <c r="A20" s="1296" t="s">
        <v>10</v>
      </c>
      <c r="B20" s="1297">
        <v>562</v>
      </c>
      <c r="C20" s="327"/>
      <c r="D20" s="327"/>
      <c r="E20" s="327"/>
      <c r="F20" s="327"/>
    </row>
    <row r="21" spans="1:6">
      <c r="A21" s="1296" t="s">
        <v>11</v>
      </c>
      <c r="B21" s="1297">
        <v>5208</v>
      </c>
      <c r="C21" s="327"/>
      <c r="D21" s="327"/>
      <c r="E21" s="327"/>
      <c r="F21" s="327"/>
    </row>
    <row r="22" spans="1:6">
      <c r="A22" s="1296" t="s">
        <v>12</v>
      </c>
      <c r="B22" s="1297">
        <v>16797</v>
      </c>
      <c r="C22" s="327"/>
      <c r="D22" s="327"/>
      <c r="E22" s="327"/>
      <c r="F22" s="327"/>
    </row>
    <row r="23" spans="1:6">
      <c r="A23" s="1296" t="s">
        <v>13</v>
      </c>
      <c r="B23" s="1297">
        <v>179</v>
      </c>
      <c r="C23" s="327"/>
      <c r="D23" s="327"/>
      <c r="E23" s="327"/>
      <c r="F23" s="327"/>
    </row>
    <row r="24" spans="1:6">
      <c r="A24" s="1296" t="s">
        <v>14</v>
      </c>
      <c r="B24" s="1297">
        <v>9</v>
      </c>
      <c r="C24" s="327"/>
      <c r="D24" s="327"/>
      <c r="E24" s="327"/>
      <c r="F24" s="327"/>
    </row>
    <row r="25" spans="1:6">
      <c r="A25" s="1296" t="s">
        <v>15</v>
      </c>
      <c r="B25" s="1297">
        <v>1539</v>
      </c>
      <c r="C25" s="327"/>
      <c r="D25" s="327"/>
      <c r="E25" s="327"/>
      <c r="F25" s="327"/>
    </row>
    <row r="26" spans="1:6">
      <c r="A26" s="1296" t="s">
        <v>16</v>
      </c>
      <c r="B26" s="1297">
        <v>319</v>
      </c>
      <c r="C26" s="327"/>
      <c r="D26" s="327"/>
      <c r="E26" s="327"/>
      <c r="F26" s="327"/>
    </row>
    <row r="27" spans="1:6">
      <c r="A27" s="1296" t="s">
        <v>17</v>
      </c>
      <c r="B27" s="1297">
        <v>5</v>
      </c>
      <c r="C27" s="327"/>
      <c r="D27" s="327"/>
      <c r="E27" s="327"/>
      <c r="F27" s="327"/>
    </row>
    <row r="28" spans="1:6">
      <c r="A28" s="1296" t="s">
        <v>18</v>
      </c>
      <c r="B28" s="1298">
        <v>161184</v>
      </c>
      <c r="C28" s="327"/>
      <c r="D28" s="327"/>
      <c r="E28" s="327"/>
      <c r="F28" s="327"/>
    </row>
    <row r="29" spans="1:6">
      <c r="A29" s="1296" t="s">
        <v>922</v>
      </c>
      <c r="B29" s="1298">
        <v>151</v>
      </c>
      <c r="C29" s="327"/>
      <c r="D29" s="327"/>
      <c r="E29" s="327"/>
      <c r="F29" s="327"/>
    </row>
    <row r="30" spans="1:6">
      <c r="A30" s="1291" t="s">
        <v>923</v>
      </c>
      <c r="B30" s="1299">
        <v>49</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14021.914703673499</v>
      </c>
    </row>
    <row r="37" spans="1:6">
      <c r="A37" s="1296" t="s">
        <v>24</v>
      </c>
      <c r="B37" s="1296" t="s">
        <v>27</v>
      </c>
      <c r="C37" s="1297">
        <v>0</v>
      </c>
      <c r="D37" s="1297">
        <v>0</v>
      </c>
      <c r="E37" s="1297">
        <v>0</v>
      </c>
      <c r="F37" s="1297">
        <v>0</v>
      </c>
    </row>
    <row r="38" spans="1:6">
      <c r="A38" s="1296" t="s">
        <v>24</v>
      </c>
      <c r="B38" s="1296" t="s">
        <v>28</v>
      </c>
      <c r="C38" s="1297">
        <v>1</v>
      </c>
      <c r="D38" s="1297">
        <v>29200.844025205599</v>
      </c>
      <c r="E38" s="1297">
        <v>2</v>
      </c>
      <c r="F38" s="1297">
        <v>3948.7542451640002</v>
      </c>
    </row>
    <row r="39" spans="1:6">
      <c r="A39" s="1296" t="s">
        <v>29</v>
      </c>
      <c r="B39" s="1296" t="s">
        <v>30</v>
      </c>
      <c r="C39" s="1297">
        <v>5036</v>
      </c>
      <c r="D39" s="1297">
        <v>93323065.537714794</v>
      </c>
      <c r="E39" s="1297">
        <v>7484</v>
      </c>
      <c r="F39" s="1297">
        <v>29829602.792966198</v>
      </c>
    </row>
    <row r="40" spans="1:6">
      <c r="A40" s="1296" t="s">
        <v>29</v>
      </c>
      <c r="B40" s="1296" t="s">
        <v>28</v>
      </c>
      <c r="C40" s="1297">
        <v>0</v>
      </c>
      <c r="D40" s="1297">
        <v>0</v>
      </c>
      <c r="E40" s="1297">
        <v>0</v>
      </c>
      <c r="F40" s="1297">
        <v>0</v>
      </c>
    </row>
    <row r="41" spans="1:6">
      <c r="A41" s="1296" t="s">
        <v>31</v>
      </c>
      <c r="B41" s="1296" t="s">
        <v>32</v>
      </c>
      <c r="C41" s="1297">
        <v>78</v>
      </c>
      <c r="D41" s="1297">
        <v>1759124.6186456999</v>
      </c>
      <c r="E41" s="1297">
        <v>173</v>
      </c>
      <c r="F41" s="1297">
        <v>1443135.9491352299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5</v>
      </c>
      <c r="F44" s="1297">
        <v>71172.551855961996</v>
      </c>
    </row>
    <row r="45" spans="1:6">
      <c r="A45" s="1296" t="s">
        <v>31</v>
      </c>
      <c r="B45" s="1296" t="s">
        <v>36</v>
      </c>
      <c r="C45" s="1297">
        <v>0</v>
      </c>
      <c r="D45" s="1297">
        <v>0</v>
      </c>
      <c r="E45" s="1297">
        <v>5</v>
      </c>
      <c r="F45" s="1297">
        <v>64461.953472127199</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26</v>
      </c>
      <c r="D48" s="1297">
        <v>848136.21300147404</v>
      </c>
      <c r="E48" s="1297">
        <v>34</v>
      </c>
      <c r="F48" s="1297">
        <v>996150.36674595205</v>
      </c>
    </row>
    <row r="49" spans="1:6">
      <c r="A49" s="1296" t="s">
        <v>31</v>
      </c>
      <c r="B49" s="1296" t="s">
        <v>39</v>
      </c>
      <c r="C49" s="1297">
        <v>0</v>
      </c>
      <c r="D49" s="1297">
        <v>0</v>
      </c>
      <c r="E49" s="1297">
        <v>0</v>
      </c>
      <c r="F49" s="1297">
        <v>0</v>
      </c>
    </row>
    <row r="50" spans="1:6">
      <c r="A50" s="1296" t="s">
        <v>31</v>
      </c>
      <c r="B50" s="1296" t="s">
        <v>40</v>
      </c>
      <c r="C50" s="1297">
        <v>6</v>
      </c>
      <c r="D50" s="1297">
        <v>822776.21347567404</v>
      </c>
      <c r="E50" s="1297">
        <v>14</v>
      </c>
      <c r="F50" s="1297">
        <v>484442.74053312</v>
      </c>
    </row>
    <row r="51" spans="1:6">
      <c r="A51" s="1296" t="s">
        <v>41</v>
      </c>
      <c r="B51" s="1296" t="s">
        <v>42</v>
      </c>
      <c r="C51" s="1297">
        <v>23</v>
      </c>
      <c r="D51" s="1297">
        <v>28085350.830656201</v>
      </c>
      <c r="E51" s="1297">
        <v>70</v>
      </c>
      <c r="F51" s="1297">
        <v>1437382.6311358099</v>
      </c>
    </row>
    <row r="52" spans="1:6">
      <c r="A52" s="1296" t="s">
        <v>41</v>
      </c>
      <c r="B52" s="1296" t="s">
        <v>28</v>
      </c>
      <c r="C52" s="1297">
        <v>1</v>
      </c>
      <c r="D52" s="1297">
        <v>22550.848367180599</v>
      </c>
      <c r="E52" s="1297">
        <v>7</v>
      </c>
      <c r="F52" s="1297">
        <v>124601.51573647</v>
      </c>
    </row>
    <row r="53" spans="1:6">
      <c r="A53" s="1296" t="s">
        <v>43</v>
      </c>
      <c r="B53" s="1296" t="s">
        <v>44</v>
      </c>
      <c r="C53" s="1297">
        <v>139</v>
      </c>
      <c r="D53" s="1297">
        <v>3036764.3185955598</v>
      </c>
      <c r="E53" s="1297">
        <v>316</v>
      </c>
      <c r="F53" s="1297">
        <v>1242790.5903469</v>
      </c>
    </row>
    <row r="54" spans="1:6">
      <c r="A54" s="1296" t="s">
        <v>45</v>
      </c>
      <c r="B54" s="1296" t="s">
        <v>46</v>
      </c>
      <c r="C54" s="1297">
        <v>0</v>
      </c>
      <c r="D54" s="1297">
        <v>0</v>
      </c>
      <c r="E54" s="1297">
        <v>1</v>
      </c>
      <c r="F54" s="1297">
        <v>1166405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38</v>
      </c>
      <c r="D57" s="1297">
        <v>943659.78217518202</v>
      </c>
      <c r="E57" s="1297">
        <v>127</v>
      </c>
      <c r="F57" s="1297">
        <v>2215438.6004717899</v>
      </c>
    </row>
    <row r="58" spans="1:6">
      <c r="A58" s="1296" t="s">
        <v>48</v>
      </c>
      <c r="B58" s="1296" t="s">
        <v>50</v>
      </c>
      <c r="C58" s="1297">
        <v>13</v>
      </c>
      <c r="D58" s="1297">
        <v>735108.69608358596</v>
      </c>
      <c r="E58" s="1297">
        <v>17</v>
      </c>
      <c r="F58" s="1297">
        <v>266488.945025191</v>
      </c>
    </row>
    <row r="59" spans="1:6">
      <c r="A59" s="1296" t="s">
        <v>48</v>
      </c>
      <c r="B59" s="1296" t="s">
        <v>51</v>
      </c>
      <c r="C59" s="1297">
        <v>88</v>
      </c>
      <c r="D59" s="1297">
        <v>3914239.8975715698</v>
      </c>
      <c r="E59" s="1297">
        <v>161</v>
      </c>
      <c r="F59" s="1297">
        <v>4477237.8125136402</v>
      </c>
    </row>
    <row r="60" spans="1:6">
      <c r="A60" s="1296" t="s">
        <v>48</v>
      </c>
      <c r="B60" s="1296" t="s">
        <v>52</v>
      </c>
      <c r="C60" s="1297">
        <v>54</v>
      </c>
      <c r="D60" s="1297">
        <v>2857485.1963976799</v>
      </c>
      <c r="E60" s="1297">
        <v>63</v>
      </c>
      <c r="F60" s="1297">
        <v>1696244.7433218299</v>
      </c>
    </row>
    <row r="61" spans="1:6">
      <c r="A61" s="1296" t="s">
        <v>48</v>
      </c>
      <c r="B61" s="1296" t="s">
        <v>53</v>
      </c>
      <c r="C61" s="1297">
        <v>126</v>
      </c>
      <c r="D61" s="1297">
        <v>6584814.6022582697</v>
      </c>
      <c r="E61" s="1297">
        <v>228</v>
      </c>
      <c r="F61" s="1297">
        <v>3034455.52308557</v>
      </c>
    </row>
    <row r="62" spans="1:6">
      <c r="A62" s="1296" t="s">
        <v>48</v>
      </c>
      <c r="B62" s="1296" t="s">
        <v>54</v>
      </c>
      <c r="C62" s="1297">
        <v>7</v>
      </c>
      <c r="D62" s="1297">
        <v>1170596.22016417</v>
      </c>
      <c r="E62" s="1297">
        <v>10</v>
      </c>
      <c r="F62" s="1297">
        <v>172401.66956062801</v>
      </c>
    </row>
    <row r="63" spans="1:6">
      <c r="A63" s="1296" t="s">
        <v>48</v>
      </c>
      <c r="B63" s="1296" t="s">
        <v>28</v>
      </c>
      <c r="C63" s="1297">
        <v>95</v>
      </c>
      <c r="D63" s="1297">
        <v>3703333.6636314671</v>
      </c>
      <c r="E63" s="1297">
        <v>120</v>
      </c>
      <c r="F63" s="1297">
        <v>2807692.2181377104</v>
      </c>
    </row>
    <row r="64" spans="1:6">
      <c r="A64" s="1296" t="s">
        <v>55</v>
      </c>
      <c r="B64" s="1296" t="s">
        <v>56</v>
      </c>
      <c r="C64" s="1297">
        <v>0</v>
      </c>
      <c r="D64" s="1297">
        <v>0</v>
      </c>
      <c r="E64" s="1297">
        <v>0</v>
      </c>
      <c r="F64" s="1297">
        <v>0</v>
      </c>
    </row>
    <row r="65" spans="1:6">
      <c r="A65" s="1296" t="s">
        <v>55</v>
      </c>
      <c r="B65" s="1296" t="s">
        <v>28</v>
      </c>
      <c r="C65" s="1297">
        <v>4</v>
      </c>
      <c r="D65" s="1297">
        <v>78756.836019360795</v>
      </c>
      <c r="E65" s="1297">
        <v>4</v>
      </c>
      <c r="F65" s="1297">
        <v>50878.007419214999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8</v>
      </c>
      <c r="D68" s="1299">
        <v>326404.55273745401</v>
      </c>
      <c r="E68" s="1299">
        <v>20</v>
      </c>
      <c r="F68" s="1299">
        <v>590397.58356540406</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27283264</v>
      </c>
      <c r="E73" s="446"/>
      <c r="F73" s="327"/>
    </row>
    <row r="74" spans="1:6">
      <c r="A74" s="1296" t="s">
        <v>63</v>
      </c>
      <c r="B74" s="1296" t="s">
        <v>706</v>
      </c>
      <c r="C74" s="1309" t="s">
        <v>707</v>
      </c>
      <c r="D74" s="1297">
        <v>4821838.8125074059</v>
      </c>
      <c r="E74" s="446"/>
      <c r="F74" s="327"/>
    </row>
    <row r="75" spans="1:6">
      <c r="A75" s="1296" t="s">
        <v>64</v>
      </c>
      <c r="B75" s="1296" t="s">
        <v>704</v>
      </c>
      <c r="C75" s="1309" t="s">
        <v>708</v>
      </c>
      <c r="D75" s="1297">
        <v>36693994</v>
      </c>
      <c r="E75" s="446"/>
      <c r="F75" s="327"/>
    </row>
    <row r="76" spans="1:6">
      <c r="A76" s="1296" t="s">
        <v>64</v>
      </c>
      <c r="B76" s="1296" t="s">
        <v>706</v>
      </c>
      <c r="C76" s="1309" t="s">
        <v>709</v>
      </c>
      <c r="D76" s="1297">
        <v>3226905.8125074063</v>
      </c>
      <c r="E76" s="446"/>
      <c r="F76" s="327"/>
    </row>
    <row r="77" spans="1:6">
      <c r="A77" s="1296" t="s">
        <v>65</v>
      </c>
      <c r="B77" s="1296" t="s">
        <v>704</v>
      </c>
      <c r="C77" s="1309" t="s">
        <v>710</v>
      </c>
      <c r="D77" s="1297">
        <v>62227216</v>
      </c>
      <c r="E77" s="446"/>
      <c r="F77" s="327"/>
    </row>
    <row r="78" spans="1:6">
      <c r="A78" s="1291" t="s">
        <v>65</v>
      </c>
      <c r="B78" s="1291" t="s">
        <v>706</v>
      </c>
      <c r="C78" s="1291" t="s">
        <v>711</v>
      </c>
      <c r="D78" s="1299">
        <v>15107191</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393978.37498518731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3690.3130205407142</v>
      </c>
      <c r="C91" s="327"/>
      <c r="D91" s="327"/>
      <c r="E91" s="327"/>
      <c r="F91" s="327"/>
    </row>
    <row r="92" spans="1:6">
      <c r="A92" s="1291" t="s">
        <v>68</v>
      </c>
      <c r="B92" s="1292">
        <v>1455.1176027267061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3370</v>
      </c>
      <c r="C97" s="327"/>
      <c r="D97" s="327"/>
      <c r="E97" s="327"/>
      <c r="F97" s="327"/>
    </row>
    <row r="98" spans="1:6">
      <c r="A98" s="1296" t="s">
        <v>71</v>
      </c>
      <c r="B98" s="1297">
        <v>1</v>
      </c>
      <c r="C98" s="327"/>
      <c r="D98" s="327"/>
      <c r="E98" s="327"/>
      <c r="F98" s="327"/>
    </row>
    <row r="99" spans="1:6">
      <c r="A99" s="1296" t="s">
        <v>72</v>
      </c>
      <c r="B99" s="1297">
        <v>134</v>
      </c>
      <c r="C99" s="327"/>
      <c r="D99" s="327"/>
      <c r="E99" s="327"/>
      <c r="F99" s="327"/>
    </row>
    <row r="100" spans="1:6">
      <c r="A100" s="1296" t="s">
        <v>73</v>
      </c>
      <c r="B100" s="1297">
        <v>520</v>
      </c>
      <c r="C100" s="327"/>
      <c r="D100" s="327"/>
      <c r="E100" s="327"/>
      <c r="F100" s="327"/>
    </row>
    <row r="101" spans="1:6">
      <c r="A101" s="1296" t="s">
        <v>74</v>
      </c>
      <c r="B101" s="1297">
        <v>149</v>
      </c>
      <c r="C101" s="327"/>
      <c r="D101" s="327"/>
      <c r="E101" s="327"/>
      <c r="F101" s="327"/>
    </row>
    <row r="102" spans="1:6">
      <c r="A102" s="1296" t="s">
        <v>75</v>
      </c>
      <c r="B102" s="1297">
        <v>177</v>
      </c>
      <c r="C102" s="327"/>
      <c r="D102" s="327"/>
      <c r="E102" s="327"/>
      <c r="F102" s="327"/>
    </row>
    <row r="103" spans="1:6">
      <c r="A103" s="1296" t="s">
        <v>76</v>
      </c>
      <c r="B103" s="1297">
        <v>199</v>
      </c>
      <c r="C103" s="327"/>
      <c r="D103" s="327"/>
      <c r="E103" s="327"/>
      <c r="F103" s="327"/>
    </row>
    <row r="104" spans="1:6">
      <c r="A104" s="1296" t="s">
        <v>77</v>
      </c>
      <c r="B104" s="1297">
        <v>1749</v>
      </c>
      <c r="C104" s="327"/>
      <c r="D104" s="327"/>
      <c r="E104" s="327"/>
      <c r="F104" s="327"/>
    </row>
    <row r="105" spans="1:6">
      <c r="A105" s="1291"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11</v>
      </c>
      <c r="C123" s="1297">
        <v>13</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77</v>
      </c>
      <c r="C129" s="327"/>
      <c r="D129" s="327"/>
      <c r="E129" s="327"/>
      <c r="F129" s="327"/>
    </row>
    <row r="130" spans="1:6">
      <c r="A130" s="1296" t="s">
        <v>284</v>
      </c>
      <c r="B130" s="1297">
        <v>2</v>
      </c>
      <c r="C130" s="327"/>
      <c r="D130" s="327"/>
      <c r="E130" s="327"/>
      <c r="F130" s="327"/>
    </row>
    <row r="131" spans="1:6">
      <c r="A131" s="1296" t="s">
        <v>285</v>
      </c>
      <c r="B131" s="1297">
        <v>0</v>
      </c>
      <c r="C131" s="327"/>
      <c r="D131" s="327"/>
      <c r="E131" s="327"/>
      <c r="F131" s="327"/>
    </row>
    <row r="132" spans="1:6">
      <c r="A132" s="1291" t="s">
        <v>286</v>
      </c>
      <c r="B132" s="1292">
        <v>13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55237.741204834943</v>
      </c>
      <c r="C3" s="43" t="s">
        <v>163</v>
      </c>
      <c r="D3" s="43"/>
      <c r="E3" s="156"/>
      <c r="F3" s="43"/>
      <c r="G3" s="43"/>
      <c r="H3" s="43"/>
      <c r="I3" s="43"/>
      <c r="J3" s="43"/>
      <c r="K3" s="96"/>
    </row>
    <row r="4" spans="1:11">
      <c r="A4" s="353" t="s">
        <v>164</v>
      </c>
      <c r="B4" s="49">
        <f>IF(ISERROR('SEAP template'!B78+'SEAP template'!C78),0,'SEAP template'!B78+'SEAP template'!C78)</f>
        <v>16437.055623267421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1806.5038235294119</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0.18794134428051432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2580.7197478991602</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16130.892857142859</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0.1599861688224159</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1166.405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1166.405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0.18794134428051432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219.21572367551329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29829.602792966198</v>
      </c>
      <c r="C5" s="17">
        <f>IF(ISERROR('Eigen informatie GS &amp; warmtenet'!B57),0,'Eigen informatie GS &amp; warmtenet'!B57)</f>
        <v>0</v>
      </c>
      <c r="D5" s="30">
        <f>(SUM(HH_hh_gas_kWh,HH_rest_gas_kWh)/1000)*0.902</f>
        <v>84177.405115018744</v>
      </c>
      <c r="E5" s="17">
        <f>B32*B41</f>
        <v>1407.3363115977993</v>
      </c>
      <c r="F5" s="17">
        <f>B36*B45</f>
        <v>43128.486596433671</v>
      </c>
      <c r="G5" s="18"/>
      <c r="H5" s="17"/>
      <c r="I5" s="17"/>
      <c r="J5" s="17">
        <f>B35*B44+C35*C44</f>
        <v>816.76765979858885</v>
      </c>
      <c r="K5" s="17"/>
      <c r="L5" s="17"/>
      <c r="M5" s="17"/>
      <c r="N5" s="17">
        <f>B34*B43+C34*C43</f>
        <v>11161.291551135069</v>
      </c>
      <c r="O5" s="17">
        <f>B52*B53*B54</f>
        <v>140.70000000000002</v>
      </c>
      <c r="P5" s="17">
        <f>B60*B61*B62/1000-B60*B61*B62/1000/B63</f>
        <v>457.6</v>
      </c>
    </row>
    <row r="6" spans="1:16">
      <c r="A6" s="16" t="s">
        <v>617</v>
      </c>
      <c r="B6" s="769">
        <f>kWh_PV_kleiner_dan_10kW</f>
        <v>3690.3130205407142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33519.915813506916</v>
      </c>
      <c r="C8" s="21">
        <f>C5</f>
        <v>0</v>
      </c>
      <c r="D8" s="21">
        <f>D5</f>
        <v>84177.405115018744</v>
      </c>
      <c r="E8" s="21">
        <f>E5</f>
        <v>1407.3363115977993</v>
      </c>
      <c r="F8" s="21">
        <f>F5</f>
        <v>43128.486596433671</v>
      </c>
      <c r="G8" s="21"/>
      <c r="H8" s="21"/>
      <c r="I8" s="21"/>
      <c r="J8" s="21">
        <f>J5</f>
        <v>816.76765979858885</v>
      </c>
      <c r="K8" s="21"/>
      <c r="L8" s="21">
        <f>L5</f>
        <v>0</v>
      </c>
      <c r="M8" s="21">
        <f>M5</f>
        <v>0</v>
      </c>
      <c r="N8" s="21">
        <f>N5</f>
        <v>11161.291551135069</v>
      </c>
      <c r="O8" s="21">
        <f>O5</f>
        <v>140.70000000000002</v>
      </c>
      <c r="P8" s="21">
        <f>P5</f>
        <v>457.6</v>
      </c>
    </row>
    <row r="9" spans="1:16">
      <c r="B9" s="19"/>
      <c r="C9" s="19"/>
      <c r="D9" s="257"/>
      <c r="E9" s="19"/>
      <c r="F9" s="19"/>
      <c r="G9" s="19"/>
      <c r="H9" s="19"/>
      <c r="I9" s="19"/>
      <c r="J9" s="19"/>
      <c r="K9" s="19"/>
      <c r="L9" s="19"/>
      <c r="M9" s="19"/>
      <c r="N9" s="19"/>
      <c r="O9" s="19"/>
      <c r="P9" s="19"/>
    </row>
    <row r="10" spans="1:16">
      <c r="A10" s="24" t="s">
        <v>207</v>
      </c>
      <c r="B10" s="25">
        <f ca="1">'EF ele_warmte'!B12</f>
        <v>0.18794134428051432</v>
      </c>
      <c r="C10" s="25">
        <f ca="1">'EF ele_warmte'!B22</f>
        <v>0.1599861688224159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6299.7780381601597</v>
      </c>
      <c r="C12" s="23">
        <f ca="1">C10*C8</f>
        <v>0</v>
      </c>
      <c r="D12" s="23">
        <f>D8*D10</f>
        <v>17003.835833233788</v>
      </c>
      <c r="E12" s="23">
        <f>E10*E8</f>
        <v>319.46534273270044</v>
      </c>
      <c r="F12" s="23">
        <f>F10*F8</f>
        <v>11515.305921247791</v>
      </c>
      <c r="G12" s="23"/>
      <c r="H12" s="23"/>
      <c r="I12" s="23"/>
      <c r="J12" s="23">
        <f>J10*J8</f>
        <v>289.13575156870041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7259</v>
      </c>
      <c r="C26" s="36"/>
      <c r="D26" s="227"/>
    </row>
    <row r="27" spans="1:5" s="15" customFormat="1">
      <c r="A27" s="229" t="s">
        <v>722</v>
      </c>
      <c r="B27" s="37">
        <f>SUM(HH_hh_gas_aantal,HH_rest_gas_aantal)</f>
        <v>5036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4784.2</v>
      </c>
      <c r="C31" s="34" t="s">
        <v>104</v>
      </c>
      <c r="D31" s="173"/>
    </row>
    <row r="32" spans="1:5">
      <c r="A32" s="170" t="s">
        <v>72</v>
      </c>
      <c r="B32" s="33">
        <f>IF((B21*($B$26-($B$27-0.05*$B$27)-$B$60))&lt;0,0,B21*($B$26-($B$27-0.05*$B$27)-$B$60))</f>
        <v>61.371860288332456</v>
      </c>
      <c r="C32" s="34" t="s">
        <v>104</v>
      </c>
      <c r="D32" s="173"/>
    </row>
    <row r="33" spans="1:6">
      <c r="A33" s="170" t="s">
        <v>73</v>
      </c>
      <c r="B33" s="33">
        <f>IF((B22*($B$26-($B$27-0.05*$B$27)-$B$60))&lt;0,0,B22*($B$26-($B$27-0.05*$B$27)-$B$60))</f>
        <v>413.10459908279103</v>
      </c>
      <c r="C33" s="34" t="s">
        <v>104</v>
      </c>
      <c r="D33" s="173"/>
    </row>
    <row r="34" spans="1:6">
      <c r="A34" s="170" t="s">
        <v>74</v>
      </c>
      <c r="B34" s="33">
        <f>IF((B24*($B$26-($B$27-0.05*$B$27)-$B$60))&lt;0,0,B24*($B$26-($B$27-0.05*$B$27)-$B$60))</f>
        <v>104.81023622095871</v>
      </c>
      <c r="C34" s="33">
        <f>B26*C24</f>
        <v>1484.9015309173058</v>
      </c>
      <c r="D34" s="232"/>
    </row>
    <row r="35" spans="1:6">
      <c r="A35" s="170" t="s">
        <v>76</v>
      </c>
      <c r="B35" s="33">
        <f>IF((B19*($B$26-($B$27-0.05*$B$27)-$B$60))&lt;0,0,B19*($B$26-($B$27-0.05*$B$27)-$B$60))</f>
        <v>38.950926555424168</v>
      </c>
      <c r="C35" s="33">
        <f>B35/2</f>
        <v>19.475463277712084</v>
      </c>
      <c r="D35" s="232"/>
    </row>
    <row r="36" spans="1:6">
      <c r="A36" s="170" t="s">
        <v>77</v>
      </c>
      <c r="B36" s="33">
        <f>IF((B18*($B$26-($B$27-0.05*$B$27)-$B$60))&lt;0,0,B18*($B$26-($B$27-0.05*$B$27)-$B$60))</f>
        <v>1832.5623778524939</v>
      </c>
      <c r="C36" s="34" t="s">
        <v>104</v>
      </c>
      <c r="D36" s="173"/>
    </row>
    <row r="37" spans="1:6">
      <c r="A37" s="170" t="s">
        <v>78</v>
      </c>
      <c r="B37" s="33">
        <f>B60</f>
        <v>24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90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14669.959512116358</v>
      </c>
      <c r="C5" s="17">
        <f>IF(ISERROR('Eigen informatie GS &amp; warmtenet'!B58),0,'Eigen informatie GS &amp; warmtenet'!B58)</f>
        <v>0</v>
      </c>
      <c r="D5" s="30">
        <f>SUM(D6:D12)</f>
        <v>17958.132728570297</v>
      </c>
      <c r="E5" s="17">
        <f>SUM(E6:E12)</f>
        <v>216.56058905729398</v>
      </c>
      <c r="F5" s="17">
        <f>SUM(F6:F12)</f>
        <v>3052.0689370509576</v>
      </c>
      <c r="G5" s="18"/>
      <c r="H5" s="17"/>
      <c r="I5" s="17"/>
      <c r="J5" s="17">
        <f>SUM(J6:J12)</f>
        <v>0</v>
      </c>
      <c r="K5" s="17"/>
      <c r="L5" s="17"/>
      <c r="M5" s="17"/>
      <c r="N5" s="17">
        <f>SUM(N6:N12)</f>
        <v>1783.2651171534214</v>
      </c>
      <c r="O5" s="17">
        <f>B38*B39*B40</f>
        <v>3.1266666666666669</v>
      </c>
      <c r="P5" s="17">
        <f>B46*B47*B48/1000-B46*B47*B48/1000/B49</f>
        <v>0</v>
      </c>
      <c r="R5" s="32"/>
    </row>
    <row r="6" spans="1:18">
      <c r="A6" s="32" t="s">
        <v>53</v>
      </c>
      <c r="B6" s="37">
        <f>B26</f>
        <v>3034.4555230855699</v>
      </c>
      <c r="C6" s="33"/>
      <c r="D6" s="37">
        <f>IF(ISERROR(TER_kantoor_gas_kWh/1000),0,TER_kantoor_gas_kWh/1000)*0.902</f>
        <v>5939.5027712369592</v>
      </c>
      <c r="E6" s="33">
        <f>$C$26*'E Balans VL '!I12/100/3.6*1000000</f>
        <v>11.789502138852855</v>
      </c>
      <c r="F6" s="33">
        <f>$C$26*('E Balans VL '!L12+'E Balans VL '!N12)/100/3.6*1000000</f>
        <v>461.5130737174224</v>
      </c>
      <c r="G6" s="34"/>
      <c r="H6" s="33"/>
      <c r="I6" s="33"/>
      <c r="J6" s="33">
        <f>$C$26*('E Balans VL '!D12+'E Balans VL '!E12)/100/3.6*1000000</f>
        <v>0</v>
      </c>
      <c r="K6" s="33"/>
      <c r="L6" s="33"/>
      <c r="M6" s="33"/>
      <c r="N6" s="33">
        <f>$C$26*'E Balans VL '!Y12/100/3.6*1000000</f>
        <v>1.6723485120394577</v>
      </c>
      <c r="O6" s="33"/>
      <c r="P6" s="33"/>
      <c r="R6" s="32"/>
    </row>
    <row r="7" spans="1:18">
      <c r="A7" s="32" t="s">
        <v>52</v>
      </c>
      <c r="B7" s="37">
        <f t="shared" ref="B7:B12" si="0">B27</f>
        <v>1696.2447433218299</v>
      </c>
      <c r="C7" s="33"/>
      <c r="D7" s="37">
        <f>IF(ISERROR(TER_horeca_gas_kWh/1000),0,TER_horeca_gas_kWh/1000)*0.902</f>
        <v>2577.4516471507072</v>
      </c>
      <c r="E7" s="33">
        <f>$C$27*'E Balans VL '!I9/100/3.6*1000000</f>
        <v>95.549919892025912</v>
      </c>
      <c r="F7" s="33">
        <f>$C$27*('E Balans VL '!L9+'E Balans VL '!N9)/100/3.6*1000000</f>
        <v>489.0954318743174</v>
      </c>
      <c r="G7" s="34"/>
      <c r="H7" s="33"/>
      <c r="I7" s="33"/>
      <c r="J7" s="33">
        <f>$C$27*('E Balans VL '!D9+'E Balans VL '!E9)/100/3.6*1000000</f>
        <v>0</v>
      </c>
      <c r="K7" s="33"/>
      <c r="L7" s="33"/>
      <c r="M7" s="33"/>
      <c r="N7" s="33">
        <f>$C$27*'E Balans VL '!Y9/100/3.6*1000000</f>
        <v>0.46832435911414017</v>
      </c>
      <c r="O7" s="33"/>
      <c r="P7" s="33"/>
      <c r="R7" s="32"/>
    </row>
    <row r="8" spans="1:18">
      <c r="A8" s="6" t="s">
        <v>51</v>
      </c>
      <c r="B8" s="37">
        <f t="shared" si="0"/>
        <v>4477.2378125136402</v>
      </c>
      <c r="C8" s="33"/>
      <c r="D8" s="37">
        <f>IF(ISERROR(TER_handel_gas_kWh/1000),0,TER_handel_gas_kWh/1000)*0.902</f>
        <v>3530.6443876095559</v>
      </c>
      <c r="E8" s="33">
        <f>$C$28*'E Balans VL '!I13/100/3.6*1000000</f>
        <v>64.532186635208078</v>
      </c>
      <c r="F8" s="33">
        <f>$C$28*('E Balans VL '!L13+'E Balans VL '!N13)/100/3.6*1000000</f>
        <v>777.80047586639898</v>
      </c>
      <c r="G8" s="34"/>
      <c r="H8" s="33"/>
      <c r="I8" s="33"/>
      <c r="J8" s="33">
        <f>$C$28*('E Balans VL '!D13+'E Balans VL '!E13)/100/3.6*1000000</f>
        <v>0</v>
      </c>
      <c r="K8" s="33"/>
      <c r="L8" s="33"/>
      <c r="M8" s="33"/>
      <c r="N8" s="33">
        <f>$C$28*'E Balans VL '!Y13/100/3.6*1000000</f>
        <v>13.41430290267161</v>
      </c>
      <c r="O8" s="33"/>
      <c r="P8" s="33"/>
      <c r="R8" s="32"/>
    </row>
    <row r="9" spans="1:18">
      <c r="A9" s="32" t="s">
        <v>50</v>
      </c>
      <c r="B9" s="37">
        <f t="shared" si="0"/>
        <v>266.48894502519101</v>
      </c>
      <c r="C9" s="33"/>
      <c r="D9" s="37">
        <f>IF(ISERROR(TER_gezond_gas_kWh/1000),0,TER_gezond_gas_kWh/1000)*0.902</f>
        <v>663.06804386739452</v>
      </c>
      <c r="E9" s="33">
        <f>$C$29*'E Balans VL '!I10/100/3.6*1000000</f>
        <v>0.2846792646848878</v>
      </c>
      <c r="F9" s="33">
        <f>$C$29*('E Balans VL '!L10+'E Balans VL '!N10)/100/3.6*1000000</f>
        <v>43.472445836561242</v>
      </c>
      <c r="G9" s="34"/>
      <c r="H9" s="33"/>
      <c r="I9" s="33"/>
      <c r="J9" s="33">
        <f>$C$29*('E Balans VL '!D10+'E Balans VL '!E10)/100/3.6*1000000</f>
        <v>0</v>
      </c>
      <c r="K9" s="33"/>
      <c r="L9" s="33"/>
      <c r="M9" s="33"/>
      <c r="N9" s="33">
        <f>$C$29*'E Balans VL '!Y10/100/3.6*1000000</f>
        <v>2.7433516334758656</v>
      </c>
      <c r="O9" s="33"/>
      <c r="P9" s="33"/>
      <c r="R9" s="32"/>
    </row>
    <row r="10" spans="1:18">
      <c r="A10" s="32" t="s">
        <v>49</v>
      </c>
      <c r="B10" s="37">
        <f t="shared" si="0"/>
        <v>2215.4386004717899</v>
      </c>
      <c r="C10" s="33"/>
      <c r="D10" s="37">
        <f>IF(ISERROR(TER_ander_gas_kWh/1000),0,TER_ander_gas_kWh/1000)*0.902</f>
        <v>851.18112352201422</v>
      </c>
      <c r="E10" s="33">
        <f>$C$30*'E Balans VL '!I14/100/3.6*1000000</f>
        <v>10.188465130342397</v>
      </c>
      <c r="F10" s="33">
        <f>$C$30*('E Balans VL '!L14+'E Balans VL '!N14)/100/3.6*1000000</f>
        <v>664.0368297756587</v>
      </c>
      <c r="G10" s="34"/>
      <c r="H10" s="33"/>
      <c r="I10" s="33"/>
      <c r="J10" s="33">
        <f>$C$30*('E Balans VL '!D14+'E Balans VL '!E14)/100/3.6*1000000</f>
        <v>0</v>
      </c>
      <c r="K10" s="33"/>
      <c r="L10" s="33"/>
      <c r="M10" s="33"/>
      <c r="N10" s="33">
        <f>$C$30*'E Balans VL '!Y14/100/3.6*1000000</f>
        <v>1542.0915087333583</v>
      </c>
      <c r="O10" s="33"/>
      <c r="P10" s="33"/>
      <c r="R10" s="32"/>
    </row>
    <row r="11" spans="1:18">
      <c r="A11" s="32" t="s">
        <v>54</v>
      </c>
      <c r="B11" s="37">
        <f t="shared" si="0"/>
        <v>172.40166956062802</v>
      </c>
      <c r="C11" s="33"/>
      <c r="D11" s="37">
        <f>IF(ISERROR(TER_onderwijs_gas_kWh/1000),0,TER_onderwijs_gas_kWh/1000)*0.902</f>
        <v>1055.8777905880813</v>
      </c>
      <c r="E11" s="33">
        <f>$C$31*'E Balans VL '!I11/100/3.6*1000000</f>
        <v>0.15992522085041008</v>
      </c>
      <c r="F11" s="33">
        <f>$C$31*('E Balans VL '!L11+'E Balans VL '!N11)/100/3.6*1000000</f>
        <v>60.560744149152974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2807.6922181377104</v>
      </c>
      <c r="C12" s="33"/>
      <c r="D12" s="37">
        <f>IF(ISERROR(TER_rest_gas_kWh/1000),0,TER_rest_gas_kWh/1000)*0.902</f>
        <v>3340.4069645955833</v>
      </c>
      <c r="E12" s="33">
        <f>$C$32*'E Balans VL '!I8/100/3.6*1000000</f>
        <v>34.055910775329458</v>
      </c>
      <c r="F12" s="33">
        <f>$C$32*('E Balans VL '!L8+'E Balans VL '!N8)/100/3.6*1000000</f>
        <v>555.58993583144593</v>
      </c>
      <c r="G12" s="34"/>
      <c r="H12" s="33"/>
      <c r="I12" s="33"/>
      <c r="J12" s="33">
        <f>$C$32*('E Balans VL '!D8+'E Balans VL '!E8)/100/3.6*1000000</f>
        <v>0</v>
      </c>
      <c r="K12" s="33"/>
      <c r="L12" s="33"/>
      <c r="M12" s="33"/>
      <c r="N12" s="33">
        <f>$C$32*'E Balans VL '!Y8/100/3.6*1000000</f>
        <v>222.87528101276203</v>
      </c>
      <c r="O12" s="33"/>
      <c r="P12" s="33"/>
      <c r="R12" s="32"/>
    </row>
    <row r="13" spans="1:18">
      <c r="A13" s="16" t="s">
        <v>484</v>
      </c>
      <c r="B13" s="245">
        <f ca="1">'lokale energieproductie'!N40+'lokale energieproductie'!N33</f>
        <v>0</v>
      </c>
      <c r="C13" s="245">
        <f ca="1">'lokale energieproductie'!O40+'lokale energieproductie'!O33</f>
        <v>0</v>
      </c>
      <c r="D13" s="305">
        <f ca="1">('lokale energieproductie'!P33+'lokale energieproductie'!P40)*(-1)</f>
        <v>0</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14669.959512116358</v>
      </c>
      <c r="C16" s="21">
        <f t="shared" ca="1" si="1"/>
        <v>0</v>
      </c>
      <c r="D16" s="21">
        <f t="shared" ca="1" si="1"/>
        <v>17958.132728570297</v>
      </c>
      <c r="E16" s="21">
        <f t="shared" si="1"/>
        <v>216.56058905729398</v>
      </c>
      <c r="F16" s="21">
        <f t="shared" ca="1" si="1"/>
        <v>3052.0689370509576</v>
      </c>
      <c r="G16" s="21">
        <f t="shared" si="1"/>
        <v>0</v>
      </c>
      <c r="H16" s="21">
        <f t="shared" si="1"/>
        <v>0</v>
      </c>
      <c r="I16" s="21">
        <f t="shared" si="1"/>
        <v>0</v>
      </c>
      <c r="J16" s="21">
        <f t="shared" si="1"/>
        <v>0</v>
      </c>
      <c r="K16" s="21">
        <f t="shared" si="1"/>
        <v>0</v>
      </c>
      <c r="L16" s="21">
        <f t="shared" ca="1" si="1"/>
        <v>0</v>
      </c>
      <c r="M16" s="21">
        <f t="shared" si="1"/>
        <v>0</v>
      </c>
      <c r="N16" s="21">
        <f t="shared" ca="1" si="1"/>
        <v>1783.2651171534214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0.18794134428051432</v>
      </c>
      <c r="C18" s="25">
        <f ca="1">'EF ele_warmte'!B22</f>
        <v>0.1599861688224159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2757.0919112478664</v>
      </c>
      <c r="C20" s="23">
        <f t="shared" ref="C20:P20" ca="1" si="2">C16*C18</f>
        <v>0</v>
      </c>
      <c r="D20" s="23">
        <f t="shared" ca="1" si="2"/>
        <v>3627.5428111712004</v>
      </c>
      <c r="E20" s="23">
        <f t="shared" si="2"/>
        <v>49.159253716005736</v>
      </c>
      <c r="F20" s="23">
        <f t="shared" ca="1" si="2"/>
        <v>814.90240619260578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3034.4555230855699</v>
      </c>
      <c r="C26" s="39">
        <f>IF(ISERROR(B26*3.6/1000000/'E Balans VL '!Z12*100),0,B26*3.6/1000000/'E Balans VL '!Z12*100)</f>
        <v>6.4453338384206707E-2</v>
      </c>
      <c r="D26" s="235" t="s">
        <v>672</v>
      </c>
      <c r="F26" s="6"/>
    </row>
    <row r="27" spans="1:18">
      <c r="A27" s="230" t="s">
        <v>52</v>
      </c>
      <c r="B27" s="33">
        <f>IF(ISERROR(TER_horeca_ele_kWh/1000),0,TER_horeca_ele_kWh/1000)</f>
        <v>1696.2447433218299</v>
      </c>
      <c r="C27" s="39">
        <f>IF(ISERROR(B27*3.6/1000000/'E Balans VL '!Z9*100),0,B27*3.6/1000000/'E Balans VL '!Z9*100)</f>
        <v>0.13189335905656793</v>
      </c>
      <c r="D27" s="235" t="s">
        <v>672</v>
      </c>
      <c r="F27" s="6"/>
    </row>
    <row r="28" spans="1:18">
      <c r="A28" s="170" t="s">
        <v>51</v>
      </c>
      <c r="B28" s="33">
        <f>IF(ISERROR(TER_handel_ele_kWh/1000),0,TER_handel_ele_kWh/1000)</f>
        <v>4477.2378125136402</v>
      </c>
      <c r="C28" s="39">
        <f>IF(ISERROR(B28*3.6/1000000/'E Balans VL '!Z13*100),0,B28*3.6/1000000/'E Balans VL '!Z13*100)</f>
        <v>0.12809904299781755</v>
      </c>
      <c r="D28" s="235" t="s">
        <v>672</v>
      </c>
      <c r="F28" s="6"/>
    </row>
    <row r="29" spans="1:18">
      <c r="A29" s="230" t="s">
        <v>50</v>
      </c>
      <c r="B29" s="33">
        <f>IF(ISERROR(TER_gezond_ele_kWh/1000),0,TER_gezond_ele_kWh/1000)</f>
        <v>266.48894502519101</v>
      </c>
      <c r="C29" s="39">
        <f>IF(ISERROR(B29*3.6/1000000/'E Balans VL '!Z10*100),0,B29*3.6/1000000/'E Balans VL '!Z10*100)</f>
        <v>2.9053487468155125E-2</v>
      </c>
      <c r="D29" s="235" t="s">
        <v>672</v>
      </c>
      <c r="F29" s="6"/>
    </row>
    <row r="30" spans="1:18">
      <c r="A30" s="230" t="s">
        <v>49</v>
      </c>
      <c r="B30" s="33">
        <f>IF(ISERROR(TER_ander_ele_kWh/1000),0,TER_ander_ele_kWh/1000)</f>
        <v>2215.4386004717899</v>
      </c>
      <c r="C30" s="39">
        <f>IF(ISERROR(B30*3.6/1000000/'E Balans VL '!Z14*100),0,B30*3.6/1000000/'E Balans VL '!Z14*100)</f>
        <v>0.16212077117919457</v>
      </c>
      <c r="D30" s="235" t="s">
        <v>672</v>
      </c>
      <c r="F30" s="6"/>
    </row>
    <row r="31" spans="1:18">
      <c r="A31" s="230" t="s">
        <v>54</v>
      </c>
      <c r="B31" s="33">
        <f>IF(ISERROR(TER_onderwijs_ele_kWh/1000),0,TER_onderwijs_ele_kWh/1000)</f>
        <v>172.40166956062802</v>
      </c>
      <c r="C31" s="39">
        <f>IF(ISERROR(B31*3.6/1000000/'E Balans VL '!Z11*100),0,B31*3.6/1000000/'E Balans VL '!Z11*100)</f>
        <v>3.4627003353201756E-2</v>
      </c>
      <c r="D31" s="235" t="s">
        <v>672</v>
      </c>
    </row>
    <row r="32" spans="1:18">
      <c r="A32" s="230" t="s">
        <v>249</v>
      </c>
      <c r="B32" s="33">
        <f>IF(ISERROR(TER_rest_ele_kWh/1000),0,TER_rest_ele_kWh/1000)</f>
        <v>2807.6922181377104</v>
      </c>
      <c r="C32" s="39">
        <f>IF(ISERROR(B32*3.6/1000000/'E Balans VL '!Z8*100),0,B32*3.6/1000000/'E Balans VL '!Z8*100)</f>
        <v>2.2880987675989031E-2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3059.3635617423911</v>
      </c>
      <c r="C5" s="17">
        <f>IF(ISERROR('Eigen informatie GS &amp; warmtenet'!B59),0,'Eigen informatie GS &amp; warmtenet'!B59)</f>
        <v>0</v>
      </c>
      <c r="D5" s="30">
        <f>SUM(D6:D15)</f>
        <v>3093.8934147008085</v>
      </c>
      <c r="E5" s="17">
        <f>SUM(E6:E15)</f>
        <v>488.2535704140015</v>
      </c>
      <c r="F5" s="17">
        <f>SUM(F6:F15)</f>
        <v>1960.3694673548769</v>
      </c>
      <c r="G5" s="18"/>
      <c r="H5" s="17"/>
      <c r="I5" s="17"/>
      <c r="J5" s="17">
        <f>SUM(J6:J15)</f>
        <v>2.9141397315314466</v>
      </c>
      <c r="K5" s="17"/>
      <c r="L5" s="17"/>
      <c r="M5" s="17"/>
      <c r="N5" s="17">
        <f>SUM(N6:N15)</f>
        <v>312.4833872135585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71.172551855961999</v>
      </c>
      <c r="C8" s="33"/>
      <c r="D8" s="37">
        <f>IF( ISERROR(IND_metaal_Gas_kWH/1000),0,IND_metaal_Gas_kWH/1000)*0.902</f>
        <v>0</v>
      </c>
      <c r="E8" s="33">
        <f>C30*'E Balans VL '!I18/100/3.6*1000000</f>
        <v>2.0443428382894435</v>
      </c>
      <c r="F8" s="33">
        <f>C30*'E Balans VL '!L18/100/3.6*1000000+C30*'E Balans VL '!N18/100/3.6*1000000</f>
        <v>18.254390706163605</v>
      </c>
      <c r="G8" s="34"/>
      <c r="H8" s="33"/>
      <c r="I8" s="33"/>
      <c r="J8" s="40">
        <f>C30*'E Balans VL '!D18/100/3.6*1000000+C30*'E Balans VL '!E18/100/3.6*1000000</f>
        <v>0</v>
      </c>
      <c r="K8" s="33"/>
      <c r="L8" s="33"/>
      <c r="M8" s="33"/>
      <c r="N8" s="33">
        <f>C30*'E Balans VL '!Y18/100/3.6*1000000</f>
        <v>1.9324800666511786</v>
      </c>
      <c r="O8" s="33"/>
      <c r="P8" s="33"/>
      <c r="R8" s="32"/>
    </row>
    <row r="9" spans="1:18">
      <c r="A9" s="6" t="s">
        <v>32</v>
      </c>
      <c r="B9" s="37">
        <f t="shared" si="0"/>
        <v>1443.13594913523</v>
      </c>
      <c r="C9" s="33"/>
      <c r="D9" s="37">
        <f>IF( ISERROR(IND_andere_gas_kWh/1000),0,IND_andere_gas_kWh/1000)*0.902</f>
        <v>1586.7304060184213</v>
      </c>
      <c r="E9" s="33">
        <f>C31*'E Balans VL '!I19/100/3.6*1000000</f>
        <v>390.62141898895663</v>
      </c>
      <c r="F9" s="33">
        <f>C31*'E Balans VL '!L19/100/3.6*1000000+C31*'E Balans VL '!N19/100/3.6*1000000</f>
        <v>961.28125780829919</v>
      </c>
      <c r="G9" s="34"/>
      <c r="H9" s="33"/>
      <c r="I9" s="33"/>
      <c r="J9" s="40">
        <f>C31*'E Balans VL '!D19/100/3.6*1000000+C31*'E Balans VL '!E19/100/3.6*1000000</f>
        <v>0</v>
      </c>
      <c r="K9" s="33"/>
      <c r="L9" s="33"/>
      <c r="M9" s="33"/>
      <c r="N9" s="33">
        <f>C31*'E Balans VL '!Y19/100/3.6*1000000</f>
        <v>122.00758481537709</v>
      </c>
      <c r="O9" s="33"/>
      <c r="P9" s="33"/>
      <c r="R9" s="32"/>
    </row>
    <row r="10" spans="1:18">
      <c r="A10" s="6" t="s">
        <v>40</v>
      </c>
      <c r="B10" s="37">
        <f t="shared" si="0"/>
        <v>484.44274053312</v>
      </c>
      <c r="C10" s="33"/>
      <c r="D10" s="37">
        <f>IF( ISERROR(IND_voed_gas_kWh/1000),0,IND_voed_gas_kWh/1000)*0.902</f>
        <v>742.14414455505801</v>
      </c>
      <c r="E10" s="33">
        <f>C32*'E Balans VL '!I20/100/3.6*1000000</f>
        <v>39.512262896116439</v>
      </c>
      <c r="F10" s="33">
        <f>C32*'E Balans VL '!L20/100/3.6*1000000+C32*'E Balans VL '!N20/100/3.6*1000000</f>
        <v>722.34807863147751</v>
      </c>
      <c r="G10" s="34"/>
      <c r="H10" s="33"/>
      <c r="I10" s="33"/>
      <c r="J10" s="40">
        <f>C32*'E Balans VL '!D20/100/3.6*1000000+C32*'E Balans VL '!E20/100/3.6*1000000</f>
        <v>6.4085894226513715E-3</v>
      </c>
      <c r="K10" s="33"/>
      <c r="L10" s="33"/>
      <c r="M10" s="33"/>
      <c r="N10" s="33">
        <f>C32*'E Balans VL '!Y20/100/3.6*1000000</f>
        <v>142.31218302754186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64.461953472127206</v>
      </c>
      <c r="C12" s="33"/>
      <c r="D12" s="37">
        <f>IF( ISERROR(IND_min_gas_kWh/1000),0,IND_min_gas_kWh/1000)*0.902</f>
        <v>0</v>
      </c>
      <c r="E12" s="33">
        <f>C34*'E Balans VL '!I22/100/3.6*1000000</f>
        <v>0.50214457188607065</v>
      </c>
      <c r="F12" s="33">
        <f>C34*'E Balans VL '!L22/100/3.6*1000000+C34*'E Balans VL '!N22/100/3.6*1000000</f>
        <v>24.311087541658281</v>
      </c>
      <c r="G12" s="34"/>
      <c r="H12" s="33"/>
      <c r="I12" s="33"/>
      <c r="J12" s="40">
        <f>C34*'E Balans VL '!D22/100/3.6*1000000+C34*'E Balans VL '!E22/100/3.6*1000000</f>
        <v>0.35453510799939936</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996.15036674595206</v>
      </c>
      <c r="C15" s="33"/>
      <c r="D15" s="37">
        <f>IF( ISERROR(IND_rest_gas_kWh/1000),0,IND_rest_gas_kWh/1000)*0.902</f>
        <v>765.01886412732961</v>
      </c>
      <c r="E15" s="33">
        <f>C37*'E Balans VL '!I15/100/3.6*1000000</f>
        <v>55.573401118752926</v>
      </c>
      <c r="F15" s="33">
        <f>C37*'E Balans VL '!L15/100/3.6*1000000+C37*'E Balans VL '!N15/100/3.6*1000000</f>
        <v>234.17465266727845</v>
      </c>
      <c r="G15" s="34"/>
      <c r="H15" s="33"/>
      <c r="I15" s="33"/>
      <c r="J15" s="40">
        <f>C37*'E Balans VL '!D15/100/3.6*1000000+C37*'E Balans VL '!E15/100/3.6*1000000</f>
        <v>2.553196034109396</v>
      </c>
      <c r="K15" s="33"/>
      <c r="L15" s="33"/>
      <c r="M15" s="33"/>
      <c r="N15" s="33">
        <f>C37*'E Balans VL '!Y15/100/3.6*1000000</f>
        <v>46.231139303988343</v>
      </c>
      <c r="O15" s="33"/>
      <c r="P15" s="33"/>
      <c r="R15" s="32"/>
    </row>
    <row r="16" spans="1:18">
      <c r="A16" s="16" t="s">
        <v>484</v>
      </c>
      <c r="B16" s="245">
        <f>'lokale energieproductie'!N39+'lokale energieproductie'!N32</f>
        <v>0</v>
      </c>
      <c r="C16" s="245">
        <f>'lokale energieproductie'!O39+'lokale energieproductie'!O32</f>
        <v>0</v>
      </c>
      <c r="D16" s="305">
        <f>('lokale energieproductie'!P32+'lokale energieproductie'!P39)*(-1)</f>
        <v>0</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3059.3635617423911</v>
      </c>
      <c r="C18" s="21">
        <f>C5+C16</f>
        <v>0</v>
      </c>
      <c r="D18" s="21">
        <f>MAX((D5+D16),0)</f>
        <v>3093.8934147008085</v>
      </c>
      <c r="E18" s="21">
        <f>MAX((E5+E16),0)</f>
        <v>488.2535704140015</v>
      </c>
      <c r="F18" s="21">
        <f>MAX((F5+F16),0)</f>
        <v>1960.3694673548769</v>
      </c>
      <c r="G18" s="21"/>
      <c r="H18" s="21"/>
      <c r="I18" s="21"/>
      <c r="J18" s="21">
        <f>MAX((J5+J16),0)</f>
        <v>2.9141397315314466</v>
      </c>
      <c r="K18" s="21"/>
      <c r="L18" s="21">
        <f>MAX((L5+L16),0)</f>
        <v>0</v>
      </c>
      <c r="M18" s="21"/>
      <c r="N18" s="21">
        <f>MAX((N5+N16),0)</f>
        <v>312.4833872135585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0.18794134428051432</v>
      </c>
      <c r="C20" s="25">
        <f ca="1">'EF ele_warmte'!B22</f>
        <v>0.1599861688224159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574.98090043668719</v>
      </c>
      <c r="C22" s="23">
        <f ca="1">C18*C20</f>
        <v>0</v>
      </c>
      <c r="D22" s="23">
        <f>D18*D20</f>
        <v>624.96646976956333</v>
      </c>
      <c r="E22" s="23">
        <f>E18*E20</f>
        <v>110.83356048397835</v>
      </c>
      <c r="F22" s="23">
        <f>F18*F20</f>
        <v>523.41864778375214</v>
      </c>
      <c r="G22" s="23"/>
      <c r="H22" s="23"/>
      <c r="I22" s="23"/>
      <c r="J22" s="23">
        <f>J18*J20</f>
        <v>1.031605464962132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71.172551855961999</v>
      </c>
      <c r="C30" s="39">
        <f>IF(ISERROR(B30*3.6/1000000/'E Balans VL '!Z18*100),0,B30*3.6/1000000/'E Balans VL '!Z18*100)</f>
        <v>7.0031974184556894E-3</v>
      </c>
      <c r="D30" s="235" t="s">
        <v>672</v>
      </c>
    </row>
    <row r="31" spans="1:18">
      <c r="A31" s="6" t="s">
        <v>32</v>
      </c>
      <c r="B31" s="37">
        <f>IF( ISERROR(IND_ander_ele_kWh/1000),0,IND_ander_ele_kWh/1000)</f>
        <v>1443.13594913523</v>
      </c>
      <c r="C31" s="39">
        <f>IF(ISERROR(B31*3.6/1000000/'E Balans VL '!Z19*100),0,B31*3.6/1000000/'E Balans VL '!Z19*100)</f>
        <v>6.2847419406632493E-2</v>
      </c>
      <c r="D31" s="235" t="s">
        <v>672</v>
      </c>
    </row>
    <row r="32" spans="1:18">
      <c r="A32" s="170" t="s">
        <v>40</v>
      </c>
      <c r="B32" s="37">
        <f>IF( ISERROR(IND_voed_ele_kWh/1000),0,IND_voed_ele_kWh/1000)</f>
        <v>484.44274053312</v>
      </c>
      <c r="C32" s="39">
        <f>IF(ISERROR(B32*3.6/1000000/'E Balans VL '!Z20*100),0,B32*3.6/1000000/'E Balans VL '!Z20*100)</f>
        <v>9.1916023591808879E-2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64.461953472127206</v>
      </c>
      <c r="C34" s="39">
        <f>IF(ISERROR(B34*3.6/1000000/'E Balans VL '!Z22*100),0,B34*3.6/1000000/'E Balans VL '!Z22*100)</f>
        <v>9.0639979649415389E-3</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996.15036674595206</v>
      </c>
      <c r="C37" s="39">
        <f>IF(ISERROR(B37*3.6/1000000/'E Balans VL '!Z15*100),0,B37*3.6/1000000/'E Balans VL '!Z15*100)</f>
        <v>7.6765621006313241E-3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1561.98414687228</v>
      </c>
      <c r="C5" s="17">
        <f>'Eigen informatie GS &amp; warmtenet'!B60</f>
        <v>0</v>
      </c>
      <c r="D5" s="30">
        <f>IF(ISERROR(SUM(LB_lb_gas_kWh,LB_rest_gas_kWh)/1000),0,SUM(LB_lb_gas_kWh,LB_rest_gas_kWh)/1000)*0.902</f>
        <v>25353.327314479091</v>
      </c>
      <c r="E5" s="17">
        <f>B17*'E Balans VL '!I25/3.6*1000000/100</f>
        <v>19.683012495302652</v>
      </c>
      <c r="F5" s="17">
        <f>B17*('E Balans VL '!L25/3.6*1000000+'E Balans VL '!N25/3.6*1000000)/100</f>
        <v>5389.2366071193164</v>
      </c>
      <c r="G5" s="18"/>
      <c r="H5" s="17"/>
      <c r="I5" s="17"/>
      <c r="J5" s="17">
        <f>('E Balans VL '!D25+'E Balans VL '!E25)/3.6*1000000*landbouw!B17/100</f>
        <v>234.90465968047715</v>
      </c>
      <c r="K5" s="17"/>
      <c r="L5" s="17">
        <f>L6*(-1)</f>
        <v>0</v>
      </c>
      <c r="M5" s="17"/>
      <c r="N5" s="17">
        <f>N6*(-1)</f>
        <v>10542.857142857143</v>
      </c>
      <c r="O5" s="17"/>
      <c r="P5" s="17"/>
      <c r="R5" s="32"/>
    </row>
    <row r="6" spans="1:18">
      <c r="A6" s="16" t="s">
        <v>484</v>
      </c>
      <c r="B6" s="17" t="s">
        <v>204</v>
      </c>
      <c r="C6" s="17">
        <f>'lokale energieproductie'!O41+'lokale energieproductie'!O34</f>
        <v>16130.892857142859</v>
      </c>
      <c r="D6" s="305">
        <f>('lokale energieproductie'!P34+'lokale energieproductie'!P41)*(-1)</f>
        <v>-21718.928571428572</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1016">
        <f>('lokale energieproductie'!V34+'lokale energieproductie'!R34+'lokale energieproductie'!Q34+'lokale energieproductie'!Q41+'lokale energieproductie'!R41+'lokale energieproductie'!V41)*(-1)</f>
        <v>-10542.857142857143</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1561.98414687228</v>
      </c>
      <c r="C8" s="21">
        <f>C5+C6</f>
        <v>16130.892857142859</v>
      </c>
      <c r="D8" s="21">
        <f>MAX((D5+D6),0)</f>
        <v>3634.3987430505185</v>
      </c>
      <c r="E8" s="21">
        <f>MAX((E5+E6),0)</f>
        <v>19.683012495302652</v>
      </c>
      <c r="F8" s="21">
        <f>MAX((F5+F6),0)</f>
        <v>5389.2366071193164</v>
      </c>
      <c r="G8" s="21"/>
      <c r="H8" s="21"/>
      <c r="I8" s="21"/>
      <c r="J8" s="21">
        <f>MAX((J5+J6),0)</f>
        <v>234.90465968047715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0.18794134428051432</v>
      </c>
      <c r="C10" s="31">
        <f ca="1">'EF ele_warmte'!B22</f>
        <v>0.1599861688224159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293.56140030802862</v>
      </c>
      <c r="C12" s="23">
        <f ca="1">C8*C10</f>
        <v>2580.7197478991602</v>
      </c>
      <c r="D12" s="23">
        <f>D8*D10</f>
        <v>734.14854609620477</v>
      </c>
      <c r="E12" s="23">
        <f>E8*E10</f>
        <v>4.4680438364337025</v>
      </c>
      <c r="F12" s="23">
        <f>F8*F10</f>
        <v>1438.9261741008577</v>
      </c>
      <c r="G12" s="23"/>
      <c r="H12" s="23"/>
      <c r="I12" s="23"/>
      <c r="J12" s="23">
        <f>J8*J10</f>
        <v>83.156249526888914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0.21784755760604424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259.65349210797399</v>
      </c>
      <c r="C26" s="245">
        <f>B26*'GWP N2O_CH4'!B5</f>
        <v>5452.7233342674535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138.33733511896341</v>
      </c>
      <c r="C27" s="245">
        <f>B27*'GWP N2O_CH4'!B5</f>
        <v>2905.0840374982317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4.5397543714982138</v>
      </c>
      <c r="C28" s="245">
        <f>B28*'GWP N2O_CH4'!B4</f>
        <v>1407.3238551644463</v>
      </c>
      <c r="D28" s="50"/>
    </row>
    <row r="29" spans="1:4">
      <c r="A29" s="41" t="s">
        <v>266</v>
      </c>
      <c r="B29" s="245">
        <f>B34*'ha_N2O bodem landbouw'!B4</f>
        <v>12.199166270829545</v>
      </c>
      <c r="C29" s="245">
        <f>B29*'GWP N2O_CH4'!B4</f>
        <v>3781.7415439571591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3.0460099203545748E-3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3.6140404585278253E-5</v>
      </c>
      <c r="C5" s="434" t="s">
        <v>204</v>
      </c>
      <c r="D5" s="419">
        <f>SUM(D6:D11)</f>
        <v>3.5214153195540182E-5</v>
      </c>
      <c r="E5" s="419">
        <f>SUM(E6:E11)</f>
        <v>1.3599565015098621E-3</v>
      </c>
      <c r="F5" s="432" t="s">
        <v>204</v>
      </c>
      <c r="G5" s="419">
        <f>SUM(G6:G11)</f>
        <v>0.47265366558739619</v>
      </c>
      <c r="H5" s="419">
        <f>SUM(H6:H11)</f>
        <v>6.1189226252935575E-2</v>
      </c>
      <c r="I5" s="434" t="s">
        <v>204</v>
      </c>
      <c r="J5" s="434" t="s">
        <v>204</v>
      </c>
      <c r="K5" s="434" t="s">
        <v>204</v>
      </c>
      <c r="L5" s="434" t="s">
        <v>204</v>
      </c>
      <c r="M5" s="419">
        <f>SUM(M6:M11)</f>
        <v>2.4130021327850387E-2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7.1131885925158685E-6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6.3370069223380805E-6</v>
      </c>
      <c r="E6" s="873">
        <f>vkm_GW_PW*SUMIFS(TableVerdeelsleutelVkm[LPG],TableVerdeelsleutelVkm[Voertuigtype],"Lichte voertuigen")*SUMIFS(TableECFTransport[EnergieConsumptieFactor (PJ per km)],TableECFTransport[Index],CONCATENATE($A6,"_LPG_LPG"))</f>
        <v>2.2808366477583325E-4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4.4705629567317606E-2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1.0959959664430126E-2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2.5181200815937461E-3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2.9163816222884754E-7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4.5637285819590014E-2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1.040289685862969E-6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2.0605937740450718E-3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1.0346137086915377E-5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1.4532883884276675E-5</v>
      </c>
      <c r="E8" s="422">
        <f>vkm_NGW_PW*SUMIFS(TableVerdeelsleutelVkm[LPG],TableVerdeelsleutelVkm[Voertuigtype],"Lichte voertuigen")*SUMIFS(TableECFTransport[EnergieConsumptieFactor (PJ per km)],TableECFTransport[Index],CONCATENATE($A8,"_LPG_LPG"))</f>
        <v>4.9781240654231103E-4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9.1656436528170862E-2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2.4128440760475295E-2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5.2382922851708594E-3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1.9517219829168659E-7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3.9231368634463797E-2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8.4031930284249947E-7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1.7713542832919137E-3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1.7280543804413969E-5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1.4344262388925425E-5</v>
      </c>
      <c r="E10" s="422">
        <f>vkm_SW_PW*SUMIFS(TableVerdeelsleutelVkm[LPG],TableVerdeelsleutelVkm[Voertuigtype],"Lichte voertuigen")*SUMIFS(TableECFTransport[EnergieConsumptieFactor (PJ per km)],TableECFTransport[Index],CONCATENATE($A10,"_LPG_LPG"))</f>
        <v>6.3406043019171784E-4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0.11518805820520976</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2.6095590503013889E-2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6.3904344844736734E-3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9.1372474091250404E-7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0.13623488683264415</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3.3547160275590071E-6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6.1512264192751225E-3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10.039001273688402</v>
      </c>
      <c r="C14" s="21"/>
      <c r="D14" s="21">
        <f t="shared" ref="D14:M14" si="0">((D5)*10^9/3600)+D12</f>
        <v>9.7817092209833838</v>
      </c>
      <c r="E14" s="21">
        <f t="shared" si="0"/>
        <v>377.76569486385057</v>
      </c>
      <c r="F14" s="21"/>
      <c r="G14" s="21">
        <f t="shared" si="0"/>
        <v>131292.68488538783</v>
      </c>
      <c r="H14" s="21">
        <f t="shared" si="0"/>
        <v>16997.007292482103</v>
      </c>
      <c r="I14" s="21"/>
      <c r="J14" s="21"/>
      <c r="K14" s="21"/>
      <c r="L14" s="21"/>
      <c r="M14" s="21">
        <f t="shared" si="0"/>
        <v>6702.7837021806627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0.18794134428051432</v>
      </c>
      <c r="C16" s="56">
        <f ca="1">'EF ele_warmte'!B22</f>
        <v>0.1599861688224159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1.8867433946107939</v>
      </c>
      <c r="C18" s="23"/>
      <c r="D18" s="23">
        <f t="shared" ref="D18:M18" si="1">D14*D16</f>
        <v>1.9759052626386437</v>
      </c>
      <c r="E18" s="23">
        <f t="shared" si="1"/>
        <v>85.752812734094078</v>
      </c>
      <c r="F18" s="23"/>
      <c r="G18" s="23">
        <f t="shared" si="1"/>
        <v>35055.14686439855</v>
      </c>
      <c r="H18" s="23">
        <f t="shared" si="1"/>
        <v>4232.2548158280433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2.6220884315059388E-5</v>
      </c>
      <c r="C50" s="316">
        <f t="shared" ref="C50:P50" si="2">SUM(C51:C52)</f>
        <v>0</v>
      </c>
      <c r="D50" s="316">
        <f t="shared" si="2"/>
        <v>0</v>
      </c>
      <c r="E50" s="316">
        <f t="shared" si="2"/>
        <v>0</v>
      </c>
      <c r="F50" s="316">
        <f t="shared" si="2"/>
        <v>0</v>
      </c>
      <c r="G50" s="316">
        <f t="shared" si="2"/>
        <v>5.1037466402844489E-3</v>
      </c>
      <c r="H50" s="316">
        <f t="shared" si="2"/>
        <v>0</v>
      </c>
      <c r="I50" s="316">
        <f t="shared" si="2"/>
        <v>0</v>
      </c>
      <c r="J50" s="316">
        <f t="shared" si="2"/>
        <v>0</v>
      </c>
      <c r="K50" s="316">
        <f t="shared" si="2"/>
        <v>0</v>
      </c>
      <c r="L50" s="316">
        <f t="shared" si="2"/>
        <v>0</v>
      </c>
      <c r="M50" s="316">
        <f t="shared" si="2"/>
        <v>2.2885628777338758E-4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2.6220884315059388E-5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5.1037466402844489E-3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2.2885628777338758E-4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7.2835789764053862</v>
      </c>
      <c r="C54" s="21">
        <f t="shared" ref="C54:P54" si="3">(C50)*10^9/3600</f>
        <v>0</v>
      </c>
      <c r="D54" s="21">
        <f t="shared" si="3"/>
        <v>0</v>
      </c>
      <c r="E54" s="21">
        <f t="shared" si="3"/>
        <v>0</v>
      </c>
      <c r="F54" s="21">
        <f t="shared" si="3"/>
        <v>0</v>
      </c>
      <c r="G54" s="21">
        <f t="shared" si="3"/>
        <v>1417.7074000790135</v>
      </c>
      <c r="H54" s="21">
        <f t="shared" si="3"/>
        <v>0</v>
      </c>
      <c r="I54" s="21">
        <f t="shared" si="3"/>
        <v>0</v>
      </c>
      <c r="J54" s="21">
        <f t="shared" si="3"/>
        <v>0</v>
      </c>
      <c r="K54" s="21">
        <f t="shared" si="3"/>
        <v>0</v>
      </c>
      <c r="L54" s="21">
        <f t="shared" si="3"/>
        <v>0</v>
      </c>
      <c r="M54" s="21">
        <f t="shared" si="3"/>
        <v>63.571191048163215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0.18794134428051432</v>
      </c>
      <c r="C56" s="56">
        <f ca="1">'EF ele_warmte'!B22</f>
        <v>0.1599861688224159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1.3688856239989207</v>
      </c>
      <c r="C58" s="23">
        <f t="shared" ref="C58:P58" ca="1" si="4">C54*C56</f>
        <v>0</v>
      </c>
      <c r="D58" s="23">
        <f t="shared" si="4"/>
        <v>0</v>
      </c>
      <c r="E58" s="23">
        <f t="shared" si="4"/>
        <v>0</v>
      </c>
      <c r="F58" s="23">
        <f t="shared" si="4"/>
        <v>0</v>
      </c>
      <c r="G58" s="23">
        <f t="shared" si="4"/>
        <v>378.52787582109664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5145.4306232674207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N31</f>
        <v>11291.625</v>
      </c>
      <c r="C8" s="546">
        <f>B50</f>
        <v>8943.0882352941171</v>
      </c>
      <c r="D8" s="1001"/>
      <c r="E8" s="1001">
        <f>E50</f>
        <v>0</v>
      </c>
      <c r="F8" s="1002"/>
      <c r="G8" s="547"/>
      <c r="H8" s="1001">
        <f>I50</f>
        <v>0</v>
      </c>
      <c r="I8" s="1001">
        <f>G50+F50</f>
        <v>0</v>
      </c>
      <c r="J8" s="1001">
        <f>H50+D50+C50</f>
        <v>4341.1764705882351</v>
      </c>
      <c r="K8" s="1001"/>
      <c r="L8" s="1001"/>
      <c r="M8" s="1001"/>
      <c r="N8" s="548"/>
      <c r="O8" s="549">
        <f>C8*$C$12+D8*$D$12+E8*$E$12+F8*$F$12+G8*$G$12+H8*$H$12+I8*$I$12+J8*$J$12</f>
        <v>1806.5038235294119</v>
      </c>
      <c r="P8" s="1244"/>
      <c r="Q8" s="1245"/>
      <c r="S8" s="1013"/>
      <c r="T8" s="1265"/>
      <c r="U8" s="1265"/>
    </row>
    <row r="9" spans="1:21" s="534" customFormat="1" ht="17.45" customHeight="1" thickBot="1">
      <c r="A9" s="550" t="s">
        <v>237</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16437.055623267421</v>
      </c>
      <c r="C10" s="559">
        <f t="shared" ref="C10:L10" si="0">SUM(C8:C9)</f>
        <v>8943.0882352941171</v>
      </c>
      <c r="D10" s="559">
        <f t="shared" si="0"/>
        <v>0</v>
      </c>
      <c r="E10" s="559">
        <f t="shared" si="0"/>
        <v>0</v>
      </c>
      <c r="F10" s="559">
        <f t="shared" si="0"/>
        <v>0</v>
      </c>
      <c r="G10" s="559">
        <f t="shared" si="0"/>
        <v>0</v>
      </c>
      <c r="H10" s="559">
        <f t="shared" si="0"/>
        <v>0</v>
      </c>
      <c r="I10" s="559">
        <f t="shared" si="0"/>
        <v>0</v>
      </c>
      <c r="J10" s="559">
        <f t="shared" si="0"/>
        <v>4341.1764705882351</v>
      </c>
      <c r="K10" s="559">
        <f t="shared" si="0"/>
        <v>0</v>
      </c>
      <c r="L10" s="559">
        <f t="shared" si="0"/>
        <v>0</v>
      </c>
      <c r="M10" s="1004"/>
      <c r="N10" s="1004"/>
      <c r="O10" s="560">
        <f>SUM(O4:O9)</f>
        <v>1806.5038235294119</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O31</f>
        <v>16130.892857142859</v>
      </c>
      <c r="C17" s="571">
        <f>B51</f>
        <v>12775.840336134455</v>
      </c>
      <c r="D17" s="572"/>
      <c r="E17" s="572">
        <f>E51</f>
        <v>0</v>
      </c>
      <c r="F17" s="1007"/>
      <c r="G17" s="573"/>
      <c r="H17" s="571">
        <f>I51</f>
        <v>0</v>
      </c>
      <c r="I17" s="572">
        <f>G51+F51</f>
        <v>0</v>
      </c>
      <c r="J17" s="572">
        <f>H51+D51+C51</f>
        <v>6201.680672268908</v>
      </c>
      <c r="K17" s="572"/>
      <c r="L17" s="572"/>
      <c r="M17" s="572"/>
      <c r="N17" s="1008"/>
      <c r="O17" s="574">
        <f>C17*$C$22+E17*$E$22+H17*$H$22+I17*$I$22+J17*$J$22+D17*$D$22+F17*$F$22+G17*$G$22+K17*$K$22+L17*$L$22</f>
        <v>2580.7197478991602</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16130.892857142859</v>
      </c>
      <c r="C20" s="558">
        <f>SUM(C17:C19)</f>
        <v>12775.840336134455</v>
      </c>
      <c r="D20" s="558">
        <f t="shared" ref="D20:L20" si="1">SUM(D17:D19)</f>
        <v>0</v>
      </c>
      <c r="E20" s="558">
        <f t="shared" si="1"/>
        <v>0</v>
      </c>
      <c r="F20" s="558">
        <f t="shared" si="1"/>
        <v>0</v>
      </c>
      <c r="G20" s="558">
        <f t="shared" si="1"/>
        <v>0</v>
      </c>
      <c r="H20" s="558">
        <f t="shared" si="1"/>
        <v>0</v>
      </c>
      <c r="I20" s="558">
        <f t="shared" si="1"/>
        <v>0</v>
      </c>
      <c r="J20" s="558">
        <f t="shared" si="1"/>
        <v>6201.680672268908</v>
      </c>
      <c r="K20" s="558">
        <f t="shared" si="1"/>
        <v>0</v>
      </c>
      <c r="L20" s="558">
        <f t="shared" si="1"/>
        <v>0</v>
      </c>
      <c r="M20" s="558"/>
      <c r="N20" s="558"/>
      <c r="O20" s="578">
        <f>SUM(O17:O19)</f>
        <v>2580.7197478991602</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46024</v>
      </c>
      <c r="C28" s="777">
        <v>9190</v>
      </c>
      <c r="D28" s="630"/>
      <c r="E28" s="629"/>
      <c r="F28" s="629"/>
      <c r="G28" s="629" t="s">
        <v>926</v>
      </c>
      <c r="H28" s="629" t="s">
        <v>927</v>
      </c>
      <c r="I28" s="629"/>
      <c r="J28" s="776"/>
      <c r="K28" s="776"/>
      <c r="L28" s="629" t="s">
        <v>928</v>
      </c>
      <c r="M28" s="629">
        <v>1562</v>
      </c>
      <c r="N28" s="629">
        <v>7029</v>
      </c>
      <c r="O28" s="629">
        <v>10041.428571428572</v>
      </c>
      <c r="P28" s="629">
        <v>20082.857142857145</v>
      </c>
      <c r="Q28" s="629">
        <v>0</v>
      </c>
      <c r="R28" s="629">
        <v>0</v>
      </c>
      <c r="S28" s="629">
        <v>0</v>
      </c>
      <c r="T28" s="629">
        <v>0</v>
      </c>
      <c r="U28" s="629">
        <v>0</v>
      </c>
      <c r="V28" s="629">
        <v>0</v>
      </c>
      <c r="W28" s="629">
        <v>0</v>
      </c>
      <c r="X28" s="629">
        <v>10</v>
      </c>
      <c r="Y28" s="629" t="s">
        <v>105</v>
      </c>
      <c r="Z28" s="631" t="s">
        <v>105</v>
      </c>
    </row>
    <row r="29" spans="1:26" s="583" customFormat="1" ht="25.5" hidden="1">
      <c r="A29" s="582"/>
      <c r="B29" s="777">
        <v>46024</v>
      </c>
      <c r="C29" s="777">
        <v>9190</v>
      </c>
      <c r="D29" s="630"/>
      <c r="E29" s="629"/>
      <c r="F29" s="629"/>
      <c r="G29" s="629" t="s">
        <v>926</v>
      </c>
      <c r="H29" s="629" t="s">
        <v>927</v>
      </c>
      <c r="I29" s="629"/>
      <c r="J29" s="776"/>
      <c r="K29" s="776"/>
      <c r="L29" s="629" t="s">
        <v>929</v>
      </c>
      <c r="M29" s="629">
        <v>820</v>
      </c>
      <c r="N29" s="629">
        <v>3690</v>
      </c>
      <c r="O29" s="629">
        <v>5271.4285714285716</v>
      </c>
      <c r="P29" s="629">
        <v>0</v>
      </c>
      <c r="Q29" s="629">
        <v>0</v>
      </c>
      <c r="R29" s="629">
        <v>0</v>
      </c>
      <c r="S29" s="629">
        <v>0</v>
      </c>
      <c r="T29" s="629">
        <v>0</v>
      </c>
      <c r="U29" s="629">
        <v>0</v>
      </c>
      <c r="V29" s="629">
        <v>10542.857142857143</v>
      </c>
      <c r="W29" s="629">
        <v>0</v>
      </c>
      <c r="X29" s="629">
        <v>10</v>
      </c>
      <c r="Y29" s="629" t="s">
        <v>105</v>
      </c>
      <c r="Z29" s="631" t="s">
        <v>105</v>
      </c>
    </row>
    <row r="30" spans="1:26" s="583" customFormat="1" ht="25.5" hidden="1">
      <c r="A30" s="582"/>
      <c r="B30" s="777">
        <v>46024</v>
      </c>
      <c r="C30" s="777">
        <v>9190</v>
      </c>
      <c r="D30" s="630"/>
      <c r="E30" s="629"/>
      <c r="F30" s="629"/>
      <c r="G30" s="629" t="s">
        <v>926</v>
      </c>
      <c r="H30" s="629" t="s">
        <v>927</v>
      </c>
      <c r="I30" s="629"/>
      <c r="J30" s="776"/>
      <c r="K30" s="776"/>
      <c r="L30" s="629" t="s">
        <v>928</v>
      </c>
      <c r="M30" s="629">
        <v>509</v>
      </c>
      <c r="N30" s="629">
        <v>572.625</v>
      </c>
      <c r="O30" s="629">
        <v>818.03571428571433</v>
      </c>
      <c r="P30" s="629">
        <v>1636.0714285714287</v>
      </c>
      <c r="Q30" s="629">
        <v>0</v>
      </c>
      <c r="R30" s="629">
        <v>0</v>
      </c>
      <c r="S30" s="629">
        <v>0</v>
      </c>
      <c r="T30" s="629">
        <v>0</v>
      </c>
      <c r="U30" s="629">
        <v>0</v>
      </c>
      <c r="V30" s="629">
        <v>0</v>
      </c>
      <c r="W30" s="629">
        <v>0</v>
      </c>
      <c r="X30" s="629">
        <v>10</v>
      </c>
      <c r="Y30" s="629" t="s">
        <v>105</v>
      </c>
      <c r="Z30" s="631" t="s">
        <v>105</v>
      </c>
    </row>
    <row r="31" spans="1:26" s="566" customFormat="1" hidden="1">
      <c r="A31" s="585" t="s">
        <v>269</v>
      </c>
      <c r="B31" s="586"/>
      <c r="C31" s="586"/>
      <c r="D31" s="586"/>
      <c r="E31" s="586"/>
      <c r="F31" s="586"/>
      <c r="G31" s="586"/>
      <c r="H31" s="586"/>
      <c r="I31" s="586"/>
      <c r="J31" s="586"/>
      <c r="K31" s="586"/>
      <c r="L31" s="587"/>
      <c r="M31" s="587">
        <f>SUM(M28:M30)</f>
        <v>2891</v>
      </c>
      <c r="N31" s="587">
        <f>SUM(N28:N30)</f>
        <v>11291.625</v>
      </c>
      <c r="O31" s="587">
        <f>SUM(O28:O30)</f>
        <v>16130.892857142859</v>
      </c>
      <c r="P31" s="587">
        <f>SUM(P28:P30)</f>
        <v>21718.928571428572</v>
      </c>
      <c r="Q31" s="587">
        <f>SUM(Q28:Q30)</f>
        <v>0</v>
      </c>
      <c r="R31" s="587">
        <f>SUM(R28:R30)</f>
        <v>0</v>
      </c>
      <c r="S31" s="587">
        <f>SUM(S28:S30)</f>
        <v>0</v>
      </c>
      <c r="T31" s="587">
        <f>SUM(T28:T30)</f>
        <v>0</v>
      </c>
      <c r="U31" s="587">
        <f>SUM(U28:U30)</f>
        <v>0</v>
      </c>
      <c r="V31" s="587">
        <f>SUM(V28:V30)</f>
        <v>10542.857142857143</v>
      </c>
      <c r="W31" s="587">
        <f>SUM(W28:W30)</f>
        <v>0</v>
      </c>
      <c r="X31" s="588"/>
      <c r="Y31" s="588"/>
      <c r="Z31" s="589"/>
    </row>
    <row r="32" spans="1:26" s="566" customFormat="1">
      <c r="A32" s="585" t="s">
        <v>276</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6" customFormat="1">
      <c r="A33" s="585" t="s">
        <v>277</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6" customFormat="1" ht="15.75" thickBot="1">
      <c r="A34" s="590" t="s">
        <v>278</v>
      </c>
      <c r="B34" s="591"/>
      <c r="C34" s="591"/>
      <c r="D34" s="591"/>
      <c r="E34" s="591"/>
      <c r="F34" s="591"/>
      <c r="G34" s="591"/>
      <c r="H34" s="591"/>
      <c r="I34" s="591"/>
      <c r="J34" s="591"/>
      <c r="K34" s="591"/>
      <c r="L34" s="592"/>
      <c r="M34" s="592">
        <f>SUMIF($Z$28:$Z$30,"landbouw",M28:M30)</f>
        <v>2891</v>
      </c>
      <c r="N34" s="592">
        <f>SUMIF($Z$28:$Z$30,"landbouw",N28:N30)</f>
        <v>11291.625</v>
      </c>
      <c r="O34" s="592">
        <f>SUMIF($Z$28:$Z$30,"landbouw",O28:O30)</f>
        <v>16130.892857142859</v>
      </c>
      <c r="P34" s="592">
        <f>SUMIF($Z$28:$Z$30,"landbouw",P28:P30)</f>
        <v>21718.928571428572</v>
      </c>
      <c r="Q34" s="592">
        <f>SUMIF($Z$28:$Z$30,"landbouw",Q28:Q30)</f>
        <v>0</v>
      </c>
      <c r="R34" s="592">
        <f>SUMIF($Z$28:$Z$30,"landbouw",R28:R30)</f>
        <v>0</v>
      </c>
      <c r="S34" s="592">
        <f>SUMIF($Z$28:$Z$30,"landbouw",S28:S30)</f>
        <v>0</v>
      </c>
      <c r="T34" s="592">
        <f>SUMIF($Z$28:$Z$30,"landbouw",T28:T30)</f>
        <v>0</v>
      </c>
      <c r="U34" s="592">
        <f>SUMIF($Z$28:$Z$30,"landbouw",U28:U30)</f>
        <v>0</v>
      </c>
      <c r="V34" s="592">
        <f>SUMIF($Z$28:$Z$30,"landbouw",V28:V30)</f>
        <v>10542.857142857143</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530</v>
      </c>
      <c r="Q36" s="627" t="s">
        <v>96</v>
      </c>
      <c r="R36" s="627" t="s">
        <v>97</v>
      </c>
      <c r="S36" s="627" t="s">
        <v>98</v>
      </c>
      <c r="T36" s="627" t="s">
        <v>99</v>
      </c>
      <c r="U36" s="627" t="s">
        <v>100</v>
      </c>
      <c r="V36" s="627" t="s">
        <v>101</v>
      </c>
      <c r="W36" s="626" t="s">
        <v>102</v>
      </c>
      <c r="X36" s="626" t="s">
        <v>288</v>
      </c>
      <c r="Y36" s="626" t="s">
        <v>103</v>
      </c>
      <c r="Z36" s="628" t="s">
        <v>289</v>
      </c>
    </row>
    <row r="37" spans="1:27" s="598" customFormat="1" ht="12.75" hidden="1">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6" customFormat="1" hidden="1">
      <c r="A38" s="585" t="s">
        <v>269</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6" customFormat="1">
      <c r="A39" s="585" t="s">
        <v>276</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6" customFormat="1">
      <c r="A40" s="585" t="s">
        <v>277</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6" customFormat="1" ht="15.75" thickBot="1">
      <c r="A41" s="590" t="s">
        <v>278</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271</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272</v>
      </c>
      <c r="C46" s="609" t="s">
        <v>273</v>
      </c>
      <c r="D46" s="609"/>
      <c r="E46" s="609"/>
      <c r="F46" s="609"/>
      <c r="G46" s="609"/>
      <c r="H46" s="609"/>
      <c r="I46" s="610"/>
      <c r="J46" s="609"/>
      <c r="K46" s="609"/>
      <c r="L46" s="609"/>
      <c r="M46" s="609"/>
      <c r="N46" s="609"/>
      <c r="O46" s="609"/>
      <c r="P46" s="604"/>
    </row>
    <row r="47" spans="1:27">
      <c r="A47" s="606" t="s">
        <v>269</v>
      </c>
      <c r="B47" s="611">
        <f>IF(ISERROR(O31/(O31+N31)),0,O31/(O31+N31))</f>
        <v>0.58823529411764708</v>
      </c>
      <c r="C47" s="612">
        <f>IF(ISERROR(N31/(O31+N31)),0,N31/(N31+O31))</f>
        <v>0.41176470588235292</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530</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8943.0882352941171</v>
      </c>
      <c r="C50" s="621">
        <f t="shared" si="2"/>
        <v>0</v>
      </c>
      <c r="D50" s="621">
        <f t="shared" si="2"/>
        <v>0</v>
      </c>
      <c r="E50" s="621">
        <f t="shared" si="2"/>
        <v>0</v>
      </c>
      <c r="F50" s="621">
        <f t="shared" si="2"/>
        <v>0</v>
      </c>
      <c r="G50" s="621">
        <f t="shared" si="2"/>
        <v>0</v>
      </c>
      <c r="H50" s="621">
        <f t="shared" si="2"/>
        <v>4341.1764705882351</v>
      </c>
      <c r="I50" s="622">
        <f t="shared" si="2"/>
        <v>0</v>
      </c>
      <c r="J50" s="579"/>
      <c r="K50" s="579"/>
      <c r="L50" s="617"/>
      <c r="M50" s="617"/>
      <c r="N50" s="617"/>
      <c r="O50" s="604"/>
      <c r="P50" s="604"/>
    </row>
    <row r="51" spans="1:16" ht="15.75" thickBot="1">
      <c r="A51" s="623" t="s">
        <v>275</v>
      </c>
      <c r="B51" s="624">
        <f t="shared" ref="B51:I51" si="3">$B$47*P31</f>
        <v>12775.840336134455</v>
      </c>
      <c r="C51" s="624">
        <f t="shared" si="3"/>
        <v>0</v>
      </c>
      <c r="D51" s="624">
        <f t="shared" si="3"/>
        <v>0</v>
      </c>
      <c r="E51" s="624">
        <f t="shared" si="3"/>
        <v>0</v>
      </c>
      <c r="F51" s="624">
        <f t="shared" si="3"/>
        <v>0</v>
      </c>
      <c r="G51" s="624">
        <f t="shared" si="3"/>
        <v>0</v>
      </c>
      <c r="H51" s="624">
        <f t="shared" si="3"/>
        <v>6201.680672268908</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2021-11-11T13:27:06Z</dcterms:modified>
</cp:coreProperties>
</file>