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8340873-9269-4E3C-995B-8BAB980C504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G12" i="18"/>
  <c r="F12" i="18"/>
  <c r="E12" i="18"/>
  <c r="D12" i="18"/>
  <c r="C12" i="18"/>
  <c r="L10" i="18"/>
  <c r="K10" i="18"/>
  <c r="G10" i="18"/>
  <c r="D10" i="18"/>
  <c r="B6" i="18"/>
  <c r="B5" i="18"/>
  <c r="B4" i="18"/>
  <c r="J9" i="18" l="1"/>
  <c r="I9" i="18"/>
  <c r="B17" i="18"/>
  <c r="B20" i="18" s="1"/>
  <c r="I51" i="18"/>
  <c r="H17" i="18" s="1"/>
  <c r="G51" i="18"/>
  <c r="F51" i="18"/>
  <c r="C51" i="18"/>
  <c r="B51" i="18"/>
  <c r="C17" i="18" s="1"/>
  <c r="C20" i="18" s="1"/>
  <c r="C47" i="18"/>
  <c r="O18" i="18"/>
  <c r="H20" i="18"/>
  <c r="G20" i="18"/>
  <c r="K20" i="18"/>
  <c r="B10" i="18"/>
  <c r="O19" i="18"/>
  <c r="O9" i="18"/>
  <c r="D51" i="18"/>
  <c r="H51" i="18"/>
  <c r="E50" i="18"/>
  <c r="E8" i="18" s="1"/>
  <c r="E10" i="18" s="1"/>
  <c r="E51" i="18"/>
  <c r="E17" i="18" s="1"/>
  <c r="E20" i="18" s="1"/>
  <c r="N6" i="17"/>
  <c r="I17" i="18" l="1"/>
  <c r="I20" i="18" s="1"/>
  <c r="I50" i="18"/>
  <c r="H8" i="18" s="1"/>
  <c r="H10" i="18" s="1"/>
  <c r="G50" i="18"/>
  <c r="I8" i="18" s="1"/>
  <c r="I10" i="18" s="1"/>
  <c r="F50" i="18"/>
  <c r="D50" i="18"/>
  <c r="C50" i="18"/>
  <c r="B50" i="18"/>
  <c r="C8" i="18" s="1"/>
  <c r="C10" i="18" s="1"/>
  <c r="H50"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4" i="13"/>
  <c r="B33" i="13"/>
  <c r="B36"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<sst xmlns="http://schemas.openxmlformats.org/spreadsheetml/2006/main" count="2526" uniqueCount="929">
  <si>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</si>
  <si>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</si>
  <si>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</si>
  <si>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</si>
  <si>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</si>
  <si>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</si>
  <si>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</si>
  <si>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</si>
  <si>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</si>
  <si>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</si>
  <si>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</si>
  <si>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</si>
  <si>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</si>
  <si>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</si>
  <si>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</si>
  <si>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</si>
  <si>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</si>
  <si>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</si>
  <si>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</si>
  <si>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</si>
  <si>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</si>
  <si>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</si>
  <si>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</si>
  <si>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</si>
  <si>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</si>
  <si>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</si>
  <si>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</si>
  <si>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</si>
  <si>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</si>
  <si>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</si>
  <si>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</si>
  <si>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</si>
  <si>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</si>
  <si>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</si>
  <si>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</si>
  <si>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</si>
  <si>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</si>
  <si>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</si>
  <si>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</si>
  <si>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</si>
  <si>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</si>
  <si>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</si>
  <si>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</si>
  <si>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</si>
  <si>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</si>
  <si>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</si>
  <si>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</si>
  <si>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</si>
  <si>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</si>
  <si>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</si>
  <si>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</si>
  <si>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</si>
  <si>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</si>
  <si>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</si>
  <si>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</si>
  <si>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</si>
  <si>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</si>
  <si>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</si>
  <si>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</si>
  <si>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</si>
  <si>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</si>
  <si>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</si>
  <si>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</si>
  <si>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</si>
  <si>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</si>
  <si>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</si>
  <si>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</si>
  <si>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</si>
  <si>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</si>
  <si>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</si>
  <si>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</si>
  <si>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</si>
  <si>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</si>
  <si>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</si>
  <si>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</si>
  <si>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</si>
  <si>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</si>
  <si>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</si>
  <si>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</si>
  <si>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</si>
  <si>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</si>
  <si>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</si>
  <si>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</si>
  <si>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</si>
  <si>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</si>
  <si>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</si>
  <si>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</si>
  <si>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</si>
  <si>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</si>
  <si>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</si>
  <si>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</si>
  <si>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</si>
  <si>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</si>
  <si>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</si>
  <si>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</si>
  <si>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</si>
  <si>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</si>
  <si>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</si>
  <si>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</si>
  <si>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</si>
  <si>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</si>
  <si>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</si>
  <si>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</si>
  <si>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</si>
  <si>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</si>
  <si>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</si>
  <si>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</si>
  <si>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</si>
  <si>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</si>
  <si>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</si>
  <si>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</si>
  <si>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</si>
  <si>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</si>
  <si>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</si>
  <si>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</si>
  <si>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</si>
  <si>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</si>
  <si>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</si>
  <si>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</si>
  <si>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</si>
  <si>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</si>
  <si>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</si>
  <si>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</si>
  <si>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</si>
  <si>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</si>
  <si>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</si>
  <si>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</si>
  <si>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</si>
  <si>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</si>
  <si>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</si>
  <si>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</si>
  <si>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</si>
  <si>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</si>
  <si>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</si>
  <si>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</si>
  <si>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</si>
  <si>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</si>
  <si>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</si>
  <si>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</si>
  <si>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</si>
  <si>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</si>
  <si>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</si>
  <si>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</si>
  <si>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</si>
  <si>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</si>
  <si>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</si>
  <si>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</si>
  <si>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</si>
  <si>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</si>
  <si>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</si>
  <si>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</si>
  <si>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</si>
  <si>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</si>
  <si>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</si>
  <si>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</si>
  <si>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</si>
  <si>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</si>
  <si>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</si>
  <si>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</si>
  <si>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</si>
  <si>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</si>
  <si>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</si>
  <si>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</si>
  <si>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</si>
  <si>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</si>
  <si>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</si>
  <si>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</si>
  <si>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</si>
  <si>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</si>
  <si>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</si>
  <si>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</si>
  <si>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</si>
  <si>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</si>
  <si>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</si>
  <si>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</si>
  <si>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</si>
  <si>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</si>
  <si>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</si>
  <si>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</si>
  <si>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</si>
  <si>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</si>
  <si>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</si>
  <si>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</si>
  <si>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</si>
  <si>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</si>
  <si>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</si>
  <si>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</si>
  <si>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</si>
  <si>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</si>
  <si>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</si>
  <si>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</si>
  <si>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</si>
  <si>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</si>
  <si>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</si>
  <si>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</si>
  <si>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</si>
  <si>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</si>
  <si>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</si>
  <si>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</si>
  <si>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</si>
  <si>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</si>
  <si>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</si>
  <si>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</si>
  <si>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</si>
  <si>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</si>
  <si>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</si>
  <si>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</si>
  <si>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</si>
  <si>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</si>
  <si>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</si>
  <si>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</si>
  <si>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</si>
  <si>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</si>
  <si>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</si>
  <si>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</si>
  <si>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</si>
  <si>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</si>
  <si>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</si>
  <si>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</si>
  <si>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</si>
  <si>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</si>
  <si>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</si>
  <si>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</si>
  <si>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</si>
  <si>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</si>
  <si>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</si>
  <si>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</si>
  <si>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</si>
  <si>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</si>
  <si>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</si>
  <si>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</si>
  <si>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</si>
  <si>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</si>
  <si>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</si>
  <si>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</si>
  <si>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</si>
  <si>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</si>
  <si>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</si>
  <si>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</si>
  <si>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</si>
  <si>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</si>
  <si>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</si>
  <si>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</si>
  <si>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</si>
  <si>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</si>
  <si>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</si>
  <si>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</si>
  <si>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</si>
  <si>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</si>
  <si>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</si>
  <si>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</si>
  <si>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</si>
  <si>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</si>
  <si>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</si>
  <si>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</si>
  <si>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</si>
  <si>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</si>
  <si>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</si>
  <si>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</si>
  <si>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</si>
  <si>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</si>
  <si>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</si>
  <si>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</si>
  <si>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</si>
  <si>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</si>
  <si>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</si>
  <si>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</si>
  <si>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</si>
  <si>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</si>
  <si>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</si>
  <si>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</si>
  <si>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</si>
  <si>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</si>
  <si>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</si>
  <si>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</si>
  <si>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</si>
  <si>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</si>
  <si>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</si>
  <si>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</si>
  <si>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</si>
  <si>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</si>
  <si>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</si>
  <si>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</si>
  <si>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</si>
  <si>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</si>
  <si>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</si>
  <si>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</si>
  <si>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</si>
  <si>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</si>
  <si>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</si>
  <si>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</si>
  <si>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</si>
  <si>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</si>
  <si>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</si>
  <si>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</si>
  <si>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</si>
  <si>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</si>
  <si>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</si>
  <si>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</si>
  <si>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</si>
  <si>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</si>
  <si>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</si>
  <si>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</si>
  <si>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</si>
  <si>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</si>
  <si>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</si>
  <si>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</si>
  <si>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</si>
  <si>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</si>
  <si>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</si>
  <si>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</si>
  <si>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</si>
  <si>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</si>
  <si>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</si>
  <si>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</si>
  <si>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</si>
  <si>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</si>
  <si>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</si>
  <si>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</si>
  <si>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</si>
  <si>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</si>
  <si>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</si>
  <si>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</si>
  <si>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</si>
  <si>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</si>
  <si>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</si>
  <si>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</si>
  <si>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</si>
  <si>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</si>
  <si>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</si>
  <si>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</si>
  <si>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</si>
  <si>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</si>
  <si>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</si>
  <si>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</si>
  <si>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</si>
  <si>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</si>
  <si>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</si>
  <si>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</si>
  <si>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</si>
  <si>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</si>
  <si>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</si>
  <si>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</si>
  <si>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</si>
  <si>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</si>
  <si>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</si>
  <si>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</si>
  <si>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</si>
  <si>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</si>
  <si>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</si>
  <si>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</si>
  <si>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</si>
  <si>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</si>
  <si>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</si>
  <si>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</si>
  <si>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</si>
  <si>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</si>
  <si>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</si>
  <si>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</si>
  <si>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</si>
  <si>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</si>
  <si>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</si>
  <si>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</si>
  <si>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</si>
  <si>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</si>
  <si>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</si>
  <si>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</si>
  <si>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</si>
  <si>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</si>
  <si>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</si>
  <si>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</si>
  <si>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</si>
  <si>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</si>
  <si>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</si>
  <si>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</si>
  <si>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</si>
  <si>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</si>
  <si>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</si>
  <si>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</si>
  <si>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</si>
  <si>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</si>
  <si>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</si>
  <si>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</si>
  <si>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</si>
  <si>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</si>
  <si>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</si>
  <si>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</si>
  <si>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</si>
  <si>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</si>
  <si>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</si>
  <si>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</si>
  <si>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</si>
  <si>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</si>
  <si>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</si>
  <si>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</si>
  <si>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</si>
  <si>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</si>
  <si>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</si>
  <si>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</si>
  <si>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</si>
  <si>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</si>
  <si>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</si>
  <si>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</si>
  <si>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</si>
  <si>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</si>
  <si>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</si>
  <si>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</si>
  <si>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</si>
  <si>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</si>
  <si>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</si>
  <si>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</si>
  <si>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</si>
  <si>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</si>
  <si>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</si>
  <si>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</si>
  <si>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</si>
  <si>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</si>
  <si>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</si>
  <si>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</si>
  <si>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</si>
  <si>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</si>
  <si>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</si>
  <si>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</si>
  <si>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</si>
  <si>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</si>
  <si>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</si>
  <si>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</si>
  <si>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</si>
  <si>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</si>
  <si>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</si>
  <si>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</si>
  <si>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</si>
  <si>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</si>
  <si>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</si>
  <si>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</si>
  <si>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</si>
  <si>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</si>
  <si>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</si>
  <si>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</si>
  <si>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</si>
  <si>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</si>
  <si>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</si>
  <si>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</si>
  <si>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</si>
  <si>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</si>
  <si>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</si>
  <si>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</si>
  <si>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</si>
  <si>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</si>
  <si>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</si>
  <si>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</si>
  <si>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</si>
  <si>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</si>
  <si>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</si>
  <si>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</si>
  <si>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</si>
  <si>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</si>
  <si>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</si>
  <si>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</si>
  <si>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</si>
  <si>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</si>
  <si>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</si>
  <si>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</si>
  <si>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</si>
  <si>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</si>
  <si>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</si>
  <si>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</si>
  <si>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</si>
  <si>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</si>
  <si>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</si>
  <si>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</si>
  <si>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</si>
  <si>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</si>
  <si>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</si>
  <si>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</si>
  <si>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</si>
  <si>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</si>
  <si>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</si>
  <si>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</si>
  <si>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</si>
  <si>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</si>
  <si>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</si>
  <si>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</si>
  <si>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</si>
  <si>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</si>
  <si>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</si>
  <si>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</si>
  <si>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</si>
  <si>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</si>
  <si>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</si>
  <si>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</si>
  <si>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</si>
  <si>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</si>
  <si>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</si>
  <si>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</si>
  <si>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</si>
  <si>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</si>
  <si>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</si>
  <si>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</si>
  <si>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</si>
  <si>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</si>
  <si>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</si>
  <si>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</si>
  <si>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</si>
  <si>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</si>
  <si>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</si>
  <si>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</si>
  <si>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</si>
  <si>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</si>
  <si>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</si>
  <si>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</si>
  <si>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</si>
  <si>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</si>
  <si>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</si>
  <si>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</si>
  <si>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</si>
  <si>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</si>
  <si>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</si>
  <si>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</si>
  <si>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</si>
  <si>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</si>
  <si>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</si>
  <si>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</si>
  <si>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</si>
  <si>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</si>
  <si>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</si>
  <si>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</si>
  <si>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</si>
  <si>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</si>
  <si>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</si>
  <si>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</si>
  <si>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</si>
  <si>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</si>
  <si>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</si>
  <si>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</si>
  <si>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</si>
  <si>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</si>
  <si>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</si>
  <si>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</si>
  <si>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</si>
  <si>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</si>
  <si>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</si>
  <si>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</si>
  <si>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</si>
  <si>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</si>
  <si>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</si>
  <si>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</si>
  <si>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</si>
  <si>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</si>
  <si>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</si>
  <si>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</si>
  <si>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</si>
  <si>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</si>
  <si>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</si>
  <si>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</si>
  <si>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</si>
  <si>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</si>
  <si>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</si>
  <si>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</si>
  <si>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</si>
  <si>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</si>
  <si>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</si>
  <si>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</si>
  <si>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</si>
  <si>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</si>
  <si>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</si>
  <si>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</si>
  <si>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</si>
  <si>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</si>
  <si>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</si>
  <si>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</si>
  <si>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</si>
  <si>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</si>
  <si>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</si>
  <si>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</si>
  <si>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</si>
  <si>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</si>
  <si>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</si>
  <si>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</si>
  <si>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</si>
  <si>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</si>
  <si>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</si>
  <si>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</si>
  <si>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</si>
  <si>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</si>
  <si>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</si>
  <si>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</si>
  <si>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</si>
  <si>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</si>
  <si>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</si>
  <si>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</si>
  <si>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</si>
  <si>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</si>
  <si>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</si>
  <si>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</si>
  <si>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</si>
  <si>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</si>
  <si>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</si>
  <si>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</si>
  <si>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</si>
  <si>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</si>
  <si>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</si>
  <si>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</si>
  <si>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</si>
  <si>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</si>
  <si>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</si>
  <si>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</si>
  <si>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</si>
  <si>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</si>
  <si>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</si>
  <si>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</si>
  <si>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</si>
  <si>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</si>
  <si>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</si>
  <si>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</si>
  <si>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</si>
  <si>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</si>
  <si>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</si>
  <si>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</si>
  <si>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</si>
  <si>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</si>
  <si>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</si>
  <si>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</si>
  <si>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</si>
  <si>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</si>
  <si>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</si>
  <si>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</si>
  <si>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</si>
  <si>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</si>
  <si>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</si>
  <si>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</si>
  <si>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</si>
  <si>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</si>
  <si>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</si>
  <si>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</si>
  <si>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</si>
  <si>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</si>
  <si>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</si>
  <si>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</si>
  <si>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</si>
  <si>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</si>
  <si>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</si>
  <si>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</si>
  <si>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</si>
  <si>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</si>
  <si>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</si>
  <si>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</si>
  <si>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</si>
  <si>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</si>
  <si>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</si>
  <si>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</si>
  <si>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</si>
  <si>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</si>
  <si>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</si>
  <si>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</si>
  <si>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</si>
  <si>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</si>
  <si>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</si>
  <si>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</si>
  <si>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</si>
  <si>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</si>
  <si>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</si>
  <si>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</si>
  <si>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</si>
  <si>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</si>
  <si>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</si>
  <si>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</si>
  <si>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</si>
  <si>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</si>
  <si>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</si>
  <si>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</si>
  <si>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</si>
  <si>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</si>
  <si>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</si>
  <si>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</si>
  <si>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</si>
  <si>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</si>
  <si>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</si>
  <si>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</si>
  <si>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</si>
  <si>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</si>
  <si>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</si>
  <si>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</si>
  <si>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</si>
  <si>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</si>
  <si>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</si>
  <si>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</si>
  <si>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</si>
  <si>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</si>
  <si>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</si>
  <si>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</si>
  <si>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</si>
  <si>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</si>
  <si>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</si>
  <si>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</si>
  <si>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</si>
  <si>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</si>
  <si>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</si>
  <si>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</si>
  <si>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</si>
  <si>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</si>
  <si>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</si>
  <si>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</si>
  <si>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</si>
  <si>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</si>
  <si>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</si>
  <si>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</si>
  <si>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</si>
  <si>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</si>
  <si>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</si>
  <si>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</si>
  <si>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</si>
  <si>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</si>
  <si>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</si>
  <si>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</si>
  <si>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</si>
  <si>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</si>
  <si>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</si>
  <si>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</si>
  <si>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</si>
  <si>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</si>
  <si>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</si>
  <si>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</si>
  <si>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</si>
  <si>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</si>
  <si>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</si>
  <si>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</si>
  <si>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</si>
  <si>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</si>
  <si>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</si>
  <si>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</si>
  <si>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</si>
  <si>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</si>
  <si>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</si>
  <si>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</si>
  <si>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</si>
  <si>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</si>
  <si>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</si>
  <si>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</si>
  <si>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</si>
  <si>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</si>
  <si>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</si>
  <si>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</si>
  <si>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</si>
  <si>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</si>
  <si>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</si>
  <si>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</si>
  <si>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</si>
  <si>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</si>
  <si>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</si>
  <si>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</si>
  <si>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</si>
  <si>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</si>
  <si>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</si>
  <si>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</si>
  <si>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</si>
  <si>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</si>
  <si>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</si>
  <si>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</si>
  <si>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</si>
  <si>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</si>
  <si>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</si>
  <si>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</si>
  <si>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</si>
  <si>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</si>
  <si>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</si>
  <si>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</si>
  <si>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</si>
  <si>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</si>
  <si>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</si>
  <si>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</si>
  <si>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</si>
  <si>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</si>
  <si>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</si>
  <si>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</si>
  <si>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</si>
  <si>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</si>
  <si>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</si>
  <si>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</si>
  <si>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</si>
  <si>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</si>
  <si>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</si>
  <si>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</si>
  <si>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</si>
  <si>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</si>
  <si>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</si>
  <si>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</si>
  <si>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</si>
  <si>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</si>
  <si>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</si>
  <si>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</si>
  <si>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</si>
  <si>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</si>
  <si>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</si>
  <si>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</si>
  <si>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</si>
  <si>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</si>
  <si>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</si>
  <si>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</si>
  <si>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</si>
  <si>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</si>
  <si>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</si>
  <si>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</si>
  <si>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</si>
  <si>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</si>
  <si>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</si>
  <si>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</si>
  <si>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</si>
  <si>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</si>
  <si>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</si>
  <si>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</si>
  <si>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</si>
  <si>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</si>
  <si>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</si>
  <si>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</si>
  <si>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</si>
  <si>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</si>
  <si>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</si>
  <si>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</si>
  <si>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</si>
  <si>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</si>
  <si>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</si>
  <si>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</si>
  <si>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</si>
  <si>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</si>
  <si>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</si>
  <si>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</si>
  <si>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</si>
  <si>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</si>
  <si>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</si>
  <si>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</si>
  <si>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</si>
  <si>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</si>
  <si>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</si>
  <si>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</si>
  <si>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</si>
  <si>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</si>
  <si>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</si>
  <si>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</si>
  <si>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</si>
  <si>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</si>
  <si>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</si>
  <si>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</si>
  <si>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</si>
  <si>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</si>
  <si>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</si>
  <si>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</si>
  <si>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</si>
  <si>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</si>
  <si>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</si>
  <si>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</si>
  <si>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</si>
  <si>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</si>
  <si>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</si>
  <si>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</si>
  <si>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</si>
  <si>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</si>
  <si>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</si>
  <si>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</si>
  <si>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</si>
  <si>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</si>
  <si>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</si>
  <si>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</si>
  <si>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</si>
  <si>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</si>
  <si>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</si>
  <si>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</si>
  <si>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</si>
  <si>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</si>
  <si>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</si>
  <si>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</si>
  <si>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</si>
  <si>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</si>
  <si>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</si>
  <si>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</si>
  <si>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</si>
  <si>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</si>
  <si>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</si>
  <si>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</si>
  <si>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</si>
  <si>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</si>
  <si>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</si>
  <si>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</si>
  <si>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</si>
  <si>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</si>
  <si>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</si>
  <si>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</si>
  <si>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</si>
  <si>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</si>
  <si>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</si>
  <si>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</si>
  <si>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</si>
  <si>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</si>
  <si>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</si>
  <si>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</si>
  <si>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</si>
  <si>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</si>
  <si>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</si>
  <si>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</si>
  <si>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</si>
  <si>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</si>
  <si>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</si>
  <si>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</si>
  <si>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</si>
  <si>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</si>
  <si>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</si>
  <si>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</si>
  <si>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</si>
  <si>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</si>
  <si>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</si>
  <si>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</si>
  <si>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</si>
  <si>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</si>
  <si>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</si>
  <si>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</si>
  <si>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</si>
  <si>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</si>
  <si>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</si>
  <si>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</si>
  <si>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46021</t>
  </si>
  <si>
    <t>SINT-NIKLAAS</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</si>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</sst>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78A3FEE-DDE2-4750-A1AA-88942C144B4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673300.93968198902</c:v>
                </c:pt>
                <c:pt idx="1">
                  <c:v>349797.65290964354</c:v>
                </c:pt>
                <c:pt idx="2">
                  <c:v>3617.5590000000002</c:v>
                </c:pt>
                <c:pt idx="3">
                  <c:v>20703.622418549825</c:v>
                </c:pt>
                <c:pt idx="4">
                  <c:v>180714.13545573916</c:v>
                </c:pt>
                <c:pt idx="5">
                  <c:v>498652.24890827166</c:v>
                </c:pt>
                <c:pt idx="6">
                  <c:v>10466.401521842972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673300.93968198902</c:v>
                </c:pt>
                <c:pt idx="1">
                  <c:v>349797.65290964354</c:v>
                </c:pt>
                <c:pt idx="2">
                  <c:v>3617.5590000000002</c:v>
                </c:pt>
                <c:pt idx="3">
                  <c:v>20703.622418549825</c:v>
                </c:pt>
                <c:pt idx="4">
                  <c:v>180714.13545573916</c:v>
                </c:pt>
                <c:pt idx="5">
                  <c:v>498652.24890827166</c:v>
                </c:pt>
                <c:pt idx="6">
                  <c:v>10466.401521842972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137896.69087136534</c:v>
                </c:pt>
                <c:pt idx="2">
                  <c:v>70922.024172395773</c:v>
                </c:pt>
                <c:pt idx="3">
                  <c:v>749.76893309895036</c:v>
                </c:pt>
                <c:pt idx="4">
                  <c:v>5190.3516525806344</c:v>
                </c:pt>
                <c:pt idx="5">
                  <c:v>37950.396370052091</c:v>
                </c:pt>
                <c:pt idx="6">
                  <c:v>126213.39743062857</c:v>
                </c:pt>
                <c:pt idx="7">
                  <c:v>2672.125292932265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137896.69087136534</c:v>
                </c:pt>
                <c:pt idx="2">
                  <c:v>70922.024172395773</c:v>
                </c:pt>
                <c:pt idx="3">
                  <c:v>749.76893309895036</c:v>
                </c:pt>
                <c:pt idx="4">
                  <c:v>5190.3516525806344</c:v>
                </c:pt>
                <c:pt idx="5">
                  <c:v>37950.396370052091</c:v>
                </c:pt>
                <c:pt idx="6">
                  <c:v>126213.39743062857</c:v>
                </c:pt>
                <c:pt idx="7">
                  <c:v>2672.125292932265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46021</v>
      </c>
      <c r="B6" s="385"/>
      <c r="C6" s="386"/>
    </row>
    <row r="7" spans="1:7" s="383" customFormat="1" ht="15.75" customHeight="1">
      <c r="A7" s="387" t="str">
        <f>txtMunicipality</f>
        <v>SINT-NIKLAAS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132516.85227947476</v>
      </c>
      <c r="D10" s="676">
        <f ca="1">tertiair!C16</f>
        <v>67.5</v>
      </c>
      <c r="E10" s="676">
        <f ca="1">tertiair!D16</f>
        <v>183733.46739670003</v>
      </c>
      <c r="F10" s="676">
        <f>tertiair!E16</f>
        <v>1517.834000867028</v>
      </c>
      <c r="G10" s="676">
        <f ca="1">tertiair!F16</f>
        <v>25212.857038831611</v>
      </c>
      <c r="H10" s="676">
        <f>tertiair!G16</f>
        <v>0</v>
      </c>
      <c r="I10" s="676">
        <f>tertiair!H16</f>
        <v>0</v>
      </c>
      <c r="J10" s="676">
        <f>tertiair!I16</f>
        <v>0</v>
      </c>
      <c r="K10" s="676">
        <f>tertiair!J16</f>
        <v>0</v>
      </c>
      <c r="L10" s="676">
        <f>tertiair!K16</f>
        <v>0</v>
      </c>
      <c r="M10" s="676">
        <f ca="1">tertiair!L16</f>
        <v>0</v>
      </c>
      <c r="N10" s="676">
        <f>tertiair!M16</f>
        <v>0</v>
      </c>
      <c r="O10" s="676">
        <f ca="1">tertiair!N16</f>
        <v>10161.96452710341</v>
      </c>
      <c r="P10" s="676">
        <f>tertiair!O16</f>
        <v>14.070000000000002</v>
      </c>
      <c r="Q10" s="677">
        <f>tertiair!P16</f>
        <v>190.66666666666669</v>
      </c>
      <c r="R10" s="679">
        <f ca="1">SUM(C10:Q10)</f>
        <v>353415.21190964355</v>
      </c>
      <c r="S10" s="67"/>
    </row>
    <row r="11" spans="1:19" s="444" customFormat="1">
      <c r="A11" s="791" t="s">
        <v>214</v>
      </c>
      <c r="B11" s="796"/>
      <c r="C11" s="676">
        <f>huishoudens!B8</f>
        <v>119341.78828813105</v>
      </c>
      <c r="D11" s="676">
        <f>huishoudens!C8</f>
        <v>0</v>
      </c>
      <c r="E11" s="676">
        <f>huishoudens!D8</f>
        <v>333785.38273802819</v>
      </c>
      <c r="F11" s="676">
        <f>huishoudens!E8</f>
        <v>5309.18025515105</v>
      </c>
      <c r="G11" s="676">
        <f>huishoudens!F8</f>
        <v>162702.33886907011</v>
      </c>
      <c r="H11" s="676">
        <f>huishoudens!G8</f>
        <v>0</v>
      </c>
      <c r="I11" s="676">
        <f>huishoudens!H8</f>
        <v>0</v>
      </c>
      <c r="J11" s="676">
        <f>huishoudens!I8</f>
        <v>0</v>
      </c>
      <c r="K11" s="676">
        <f>huishoudens!J8</f>
        <v>3081.2583294503115</v>
      </c>
      <c r="L11" s="676">
        <f>huishoudens!K8</f>
        <v>0</v>
      </c>
      <c r="M11" s="676">
        <f>huishoudens!L8</f>
        <v>0</v>
      </c>
      <c r="N11" s="676">
        <f>huishoudens!M8</f>
        <v>0</v>
      </c>
      <c r="O11" s="676">
        <f>huishoudens!N8</f>
        <v>46898.474535491659</v>
      </c>
      <c r="P11" s="676">
        <f>huishoudens!O8</f>
        <v>523.7166666666667</v>
      </c>
      <c r="Q11" s="677">
        <f>huishoudens!P8</f>
        <v>1658.8</v>
      </c>
      <c r="R11" s="679">
        <f>SUM(C11:Q11)</f>
        <v>673300.93968198902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69782.070512670776</v>
      </c>
      <c r="D13" s="676">
        <f>industrie!C18</f>
        <v>766.07142857142856</v>
      </c>
      <c r="E13" s="676">
        <f>industrie!D18</f>
        <v>63367.97976791329</v>
      </c>
      <c r="F13" s="676">
        <f>industrie!E18</f>
        <v>4797.1807563446237</v>
      </c>
      <c r="G13" s="676">
        <f>industrie!F18</f>
        <v>35165.894169080595</v>
      </c>
      <c r="H13" s="676">
        <f>industrie!G18</f>
        <v>0</v>
      </c>
      <c r="I13" s="676">
        <f>industrie!H18</f>
        <v>0</v>
      </c>
      <c r="J13" s="676">
        <f>industrie!I18</f>
        <v>0</v>
      </c>
      <c r="K13" s="676">
        <f>industrie!J18</f>
        <v>75.837639453948796</v>
      </c>
      <c r="L13" s="676">
        <f>industrie!K18</f>
        <v>0</v>
      </c>
      <c r="M13" s="676">
        <f>industrie!L18</f>
        <v>0</v>
      </c>
      <c r="N13" s="676">
        <f>industrie!M18</f>
        <v>0</v>
      </c>
      <c r="O13" s="676">
        <f>industrie!N18</f>
        <v>6759.1011817045073</v>
      </c>
      <c r="P13" s="676">
        <f>industrie!O18</f>
        <v>0</v>
      </c>
      <c r="Q13" s="677">
        <f>industrie!P18</f>
        <v>0</v>
      </c>
      <c r="R13" s="679">
        <f>SUM(C13:Q13)</f>
        <v>180714.13545573916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321640.71108027658</v>
      </c>
      <c r="D16" s="711">
        <f t="shared" ref="D16:R16" ca="1" si="0">SUM(D9:D15)</f>
        <v>833.57142857142856</v>
      </c>
      <c r="E16" s="711">
        <f t="shared" ca="1" si="0"/>
        <v>580886.82990264148</v>
      </c>
      <c r="F16" s="711">
        <f t="shared" si="0"/>
        <v>11624.195012362701</v>
      </c>
      <c r="G16" s="711">
        <f t="shared" ca="1" si="0"/>
        <v>223081.09007698231</v>
      </c>
      <c r="H16" s="711">
        <f t="shared" si="0"/>
        <v>0</v>
      </c>
      <c r="I16" s="711">
        <f t="shared" si="0"/>
        <v>0</v>
      </c>
      <c r="J16" s="711">
        <f t="shared" si="0"/>
        <v>0</v>
      </c>
      <c r="K16" s="711">
        <f t="shared" si="0"/>
        <v>3157.0959689042602</v>
      </c>
      <c r="L16" s="711">
        <f t="shared" si="0"/>
        <v>0</v>
      </c>
      <c r="M16" s="711">
        <f t="shared" ca="1" si="0"/>
        <v>0</v>
      </c>
      <c r="N16" s="711">
        <f t="shared" si="0"/>
        <v>0</v>
      </c>
      <c r="O16" s="711">
        <f t="shared" ca="1" si="0"/>
        <v>63819.540244299576</v>
      </c>
      <c r="P16" s="711">
        <f t="shared" si="0"/>
        <v>537.78666666666675</v>
      </c>
      <c r="Q16" s="711">
        <f t="shared" si="0"/>
        <v>1849.4666666666667</v>
      </c>
      <c r="R16" s="711">
        <f t="shared" ca="1" si="0"/>
        <v>1207430.2870473717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51.21241397516377</v>
      </c>
      <c r="D19" s="676">
        <f>transport!C54</f>
        <v>0</v>
      </c>
      <c r="E19" s="676">
        <f>transport!D54</f>
        <v>0</v>
      </c>
      <c r="F19" s="676">
        <f>transport!E54</f>
        <v>0</v>
      </c>
      <c r="G19" s="676">
        <f>transport!F54</f>
        <v>0</v>
      </c>
      <c r="H19" s="676">
        <f>transport!G54</f>
        <v>9968.2063589473746</v>
      </c>
      <c r="I19" s="676">
        <f>transport!H54</f>
        <v>0</v>
      </c>
      <c r="J19" s="676">
        <f>transport!I54</f>
        <v>0</v>
      </c>
      <c r="K19" s="676">
        <f>transport!J54</f>
        <v>0</v>
      </c>
      <c r="L19" s="676">
        <f>transport!K54</f>
        <v>0</v>
      </c>
      <c r="M19" s="676">
        <f>transport!L54</f>
        <v>0</v>
      </c>
      <c r="N19" s="676">
        <f>transport!M54</f>
        <v>446.98274892043395</v>
      </c>
      <c r="O19" s="676">
        <f>transport!N54</f>
        <v>0</v>
      </c>
      <c r="P19" s="676">
        <f>transport!O54</f>
        <v>0</v>
      </c>
      <c r="Q19" s="677">
        <f>transport!P54</f>
        <v>0</v>
      </c>
      <c r="R19" s="679">
        <f>SUM(C19:Q19)</f>
        <v>10466.401521842972</v>
      </c>
      <c r="S19" s="67"/>
    </row>
    <row r="20" spans="1:19" s="444" customFormat="1">
      <c r="A20" s="791" t="s">
        <v>296</v>
      </c>
      <c r="B20" s="796"/>
      <c r="C20" s="676">
        <f>transport!B14</f>
        <v>35.392205851001101</v>
      </c>
      <c r="D20" s="676">
        <f>transport!C14</f>
        <v>0</v>
      </c>
      <c r="E20" s="676">
        <f>transport!D14</f>
        <v>36.442171925857068</v>
      </c>
      <c r="F20" s="676">
        <f>transport!E14</f>
        <v>1349.0605610529565</v>
      </c>
      <c r="G20" s="676">
        <f>transport!F14</f>
        <v>0</v>
      </c>
      <c r="H20" s="676">
        <f>transport!G14</f>
        <v>413166.11234586814</v>
      </c>
      <c r="I20" s="676">
        <f>transport!H14</f>
        <v>62558.682898342959</v>
      </c>
      <c r="J20" s="676">
        <f>transport!I14</f>
        <v>0</v>
      </c>
      <c r="K20" s="676">
        <f>transport!J14</f>
        <v>0</v>
      </c>
      <c r="L20" s="676">
        <f>transport!K14</f>
        <v>0</v>
      </c>
      <c r="M20" s="676">
        <f>transport!L14</f>
        <v>0</v>
      </c>
      <c r="N20" s="676">
        <f>transport!M14</f>
        <v>21506.558725230767</v>
      </c>
      <c r="O20" s="676">
        <f>transport!N14</f>
        <v>0</v>
      </c>
      <c r="P20" s="676">
        <f>transport!O14</f>
        <v>0</v>
      </c>
      <c r="Q20" s="677">
        <f>transport!P14</f>
        <v>0</v>
      </c>
      <c r="R20" s="679">
        <f>SUM(C20:Q20)</f>
        <v>498652.24890827166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86.604619826164878</v>
      </c>
      <c r="D22" s="794">
        <f t="shared" ref="D22:R22" si="1">SUM(D18:D21)</f>
        <v>0</v>
      </c>
      <c r="E22" s="794">
        <f t="shared" si="1"/>
        <v>36.442171925857068</v>
      </c>
      <c r="F22" s="794">
        <f t="shared" si="1"/>
        <v>1349.0605610529565</v>
      </c>
      <c r="G22" s="794">
        <f t="shared" si="1"/>
        <v>0</v>
      </c>
      <c r="H22" s="794">
        <f t="shared" si="1"/>
        <v>423134.31870481552</v>
      </c>
      <c r="I22" s="794">
        <f t="shared" si="1"/>
        <v>62558.682898342959</v>
      </c>
      <c r="J22" s="794">
        <f t="shared" si="1"/>
        <v>0</v>
      </c>
      <c r="K22" s="794">
        <f t="shared" si="1"/>
        <v>0</v>
      </c>
      <c r="L22" s="794">
        <f t="shared" si="1"/>
        <v>0</v>
      </c>
      <c r="M22" s="794">
        <f t="shared" si="1"/>
        <v>0</v>
      </c>
      <c r="N22" s="794">
        <f t="shared" si="1"/>
        <v>21953.5414741512</v>
      </c>
      <c r="O22" s="794">
        <f t="shared" si="1"/>
        <v>0</v>
      </c>
      <c r="P22" s="794">
        <f t="shared" si="1"/>
        <v>0</v>
      </c>
      <c r="Q22" s="794">
        <f t="shared" si="1"/>
        <v>0</v>
      </c>
      <c r="R22" s="794">
        <f t="shared" si="1"/>
        <v>509118.65043011465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3989.8115351921078</v>
      </c>
      <c r="D24" s="676">
        <f>+landbouw!C8</f>
        <v>0</v>
      </c>
      <c r="E24" s="676">
        <f>+landbouw!D8</f>
        <v>2297.6625138505551</v>
      </c>
      <c r="F24" s="676">
        <f>+landbouw!E8</f>
        <v>50.276765265729843</v>
      </c>
      <c r="G24" s="676">
        <f>+landbouw!F8</f>
        <v>13765.849303925361</v>
      </c>
      <c r="H24" s="676">
        <f>+landbouw!G8</f>
        <v>0</v>
      </c>
      <c r="I24" s="676">
        <f>+landbouw!H8</f>
        <v>0</v>
      </c>
      <c r="J24" s="676">
        <f>+landbouw!I8</f>
        <v>0</v>
      </c>
      <c r="K24" s="676">
        <f>+landbouw!J8</f>
        <v>600.02230031607303</v>
      </c>
      <c r="L24" s="676">
        <f>+landbouw!K8</f>
        <v>0</v>
      </c>
      <c r="M24" s="676">
        <f>+landbouw!L8</f>
        <v>0</v>
      </c>
      <c r="N24" s="676">
        <f>+landbouw!M8</f>
        <v>0</v>
      </c>
      <c r="O24" s="676">
        <f>+landbouw!N8</f>
        <v>0</v>
      </c>
      <c r="P24" s="676">
        <f>+landbouw!O8</f>
        <v>0</v>
      </c>
      <c r="Q24" s="677">
        <f>+landbouw!P8</f>
        <v>0</v>
      </c>
      <c r="R24" s="679">
        <f>SUM(C24:Q24)</f>
        <v>20703.622418549825</v>
      </c>
      <c r="S24" s="67"/>
    </row>
    <row r="25" spans="1:19" s="444" customFormat="1" ht="15" thickBot="1">
      <c r="A25" s="813" t="s">
        <v>833</v>
      </c>
      <c r="B25" s="977"/>
      <c r="C25" s="978">
        <f>IF(Onbekend_ele_kWh="---",0,Onbekend_ele_kWh)/1000+IF(REST_rest_ele_kWh="---",0,REST_rest_ele_kWh)/1000</f>
        <v>4879.2075210339799</v>
      </c>
      <c r="D25" s="978"/>
      <c r="E25" s="978">
        <f>IF(onbekend_gas_kWh="---",0,onbekend_gas_kWh)/1000+IF(REST_rest_gas_kWh="---",0,REST_rest_gas_kWh)/1000</f>
        <v>15895.244124189001</v>
      </c>
      <c r="F25" s="978"/>
      <c r="G25" s="978"/>
      <c r="H25" s="978"/>
      <c r="I25" s="978"/>
      <c r="J25" s="978"/>
      <c r="K25" s="978"/>
      <c r="L25" s="978"/>
      <c r="M25" s="978"/>
      <c r="N25" s="978"/>
      <c r="O25" s="978"/>
      <c r="P25" s="978"/>
      <c r="Q25" s="979"/>
      <c r="R25" s="679">
        <f>SUM(C25:Q25)</f>
        <v>20774.45164522298</v>
      </c>
      <c r="S25" s="67"/>
    </row>
    <row r="26" spans="1:19" s="444" customFormat="1" ht="15.75" thickBot="1">
      <c r="A26" s="684" t="s">
        <v>834</v>
      </c>
      <c r="B26" s="799"/>
      <c r="C26" s="794">
        <f>SUM(C24:C25)</f>
        <v>8869.0190562260868</v>
      </c>
      <c r="D26" s="794">
        <f t="shared" ref="D26:R26" si="2">SUM(D24:D25)</f>
        <v>0</v>
      </c>
      <c r="E26" s="794">
        <f t="shared" si="2"/>
        <v>18192.906638039556</v>
      </c>
      <c r="F26" s="794">
        <f t="shared" si="2"/>
        <v>50.276765265729843</v>
      </c>
      <c r="G26" s="794">
        <f t="shared" si="2"/>
        <v>13765.849303925361</v>
      </c>
      <c r="H26" s="794">
        <f t="shared" si="2"/>
        <v>0</v>
      </c>
      <c r="I26" s="794">
        <f t="shared" si="2"/>
        <v>0</v>
      </c>
      <c r="J26" s="794">
        <f t="shared" si="2"/>
        <v>0</v>
      </c>
      <c r="K26" s="794">
        <f t="shared" si="2"/>
        <v>600.02230031607303</v>
      </c>
      <c r="L26" s="794">
        <f t="shared" si="2"/>
        <v>0</v>
      </c>
      <c r="M26" s="794">
        <f t="shared" si="2"/>
        <v>0</v>
      </c>
      <c r="N26" s="794">
        <f t="shared" si="2"/>
        <v>0</v>
      </c>
      <c r="O26" s="794">
        <f t="shared" si="2"/>
        <v>0</v>
      </c>
      <c r="P26" s="794">
        <f t="shared" si="2"/>
        <v>0</v>
      </c>
      <c r="Q26" s="794">
        <f t="shared" si="2"/>
        <v>0</v>
      </c>
      <c r="R26" s="794">
        <f t="shared" si="2"/>
        <v>41478.074063772801</v>
      </c>
      <c r="S26" s="67"/>
    </row>
    <row r="27" spans="1:19" s="444" customFormat="1" ht="17.25" thickTop="1" thickBot="1">
      <c r="A27" s="685" t="s">
        <v>109</v>
      </c>
      <c r="B27" s="786"/>
      <c r="C27" s="686">
        <f ca="1">C22+C16+C26</f>
        <v>330596.33475632884</v>
      </c>
      <c r="D27" s="686">
        <f t="shared" ref="D27:R27" ca="1" si="3">D22+D16+D26</f>
        <v>833.57142857142856</v>
      </c>
      <c r="E27" s="686">
        <f t="shared" ca="1" si="3"/>
        <v>599116.1787126069</v>
      </c>
      <c r="F27" s="686">
        <f t="shared" si="3"/>
        <v>13023.532338681387</v>
      </c>
      <c r="G27" s="686">
        <f t="shared" ca="1" si="3"/>
        <v>236846.93938090766</v>
      </c>
      <c r="H27" s="686">
        <f t="shared" si="3"/>
        <v>423134.31870481552</v>
      </c>
      <c r="I27" s="686">
        <f t="shared" si="3"/>
        <v>62558.682898342959</v>
      </c>
      <c r="J27" s="686">
        <f t="shared" si="3"/>
        <v>0</v>
      </c>
      <c r="K27" s="686">
        <f t="shared" si="3"/>
        <v>3757.1182692203333</v>
      </c>
      <c r="L27" s="686">
        <f t="shared" si="3"/>
        <v>0</v>
      </c>
      <c r="M27" s="686">
        <f t="shared" ca="1" si="3"/>
        <v>0</v>
      </c>
      <c r="N27" s="686">
        <f t="shared" si="3"/>
        <v>21953.5414741512</v>
      </c>
      <c r="O27" s="686">
        <f t="shared" ca="1" si="3"/>
        <v>63819.540244299576</v>
      </c>
      <c r="P27" s="686">
        <f t="shared" si="3"/>
        <v>537.78666666666675</v>
      </c>
      <c r="Q27" s="686">
        <f t="shared" si="3"/>
        <v>1849.4666666666667</v>
      </c>
      <c r="R27" s="686">
        <f t="shared" ca="1" si="3"/>
        <v>1758027.0115412592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27465.210367325861</v>
      </c>
      <c r="D40" s="676">
        <f ca="1">tertiair!C20</f>
        <v>16.041176470588237</v>
      </c>
      <c r="E40" s="676">
        <f ca="1">tertiair!D20</f>
        <v>37114.16041413341</v>
      </c>
      <c r="F40" s="676">
        <f>tertiair!E20</f>
        <v>344.54831819681533</v>
      </c>
      <c r="G40" s="676">
        <f ca="1">tertiair!F20</f>
        <v>6731.8328293680406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71671.793105494711</v>
      </c>
    </row>
    <row r="41" spans="1:18">
      <c r="A41" s="804" t="s">
        <v>214</v>
      </c>
      <c r="B41" s="811"/>
      <c r="C41" s="676">
        <f ca="1">huishoudens!B12</f>
        <v>24734.569713697227</v>
      </c>
      <c r="D41" s="676">
        <f ca="1">huishoudens!C12</f>
        <v>0</v>
      </c>
      <c r="E41" s="676">
        <f>huishoudens!D12</f>
        <v>67424.647313081703</v>
      </c>
      <c r="F41" s="676">
        <f>huishoudens!E12</f>
        <v>1205.1839179192884</v>
      </c>
      <c r="G41" s="676">
        <f>huishoudens!F12</f>
        <v>43441.52447804172</v>
      </c>
      <c r="H41" s="676">
        <f>huishoudens!G12</f>
        <v>0</v>
      </c>
      <c r="I41" s="676">
        <f>huishoudens!H12</f>
        <v>0</v>
      </c>
      <c r="J41" s="676">
        <f>huishoudens!I12</f>
        <v>0</v>
      </c>
      <c r="K41" s="676">
        <f>huishoudens!J12</f>
        <v>1090.7654486254103</v>
      </c>
      <c r="L41" s="676">
        <f>huishoudens!K12</f>
        <v>0</v>
      </c>
      <c r="M41" s="676">
        <f>huishoudens!L12</f>
        <v>0</v>
      </c>
      <c r="N41" s="676">
        <f>huishoudens!M12</f>
        <v>0</v>
      </c>
      <c r="O41" s="676">
        <f>huishoudens!N12</f>
        <v>0</v>
      </c>
      <c r="P41" s="676">
        <f>huishoudens!O12</f>
        <v>0</v>
      </c>
      <c r="Q41" s="753">
        <f>huishoudens!P12</f>
        <v>0</v>
      </c>
      <c r="R41" s="832">
        <f t="shared" ca="1" si="4"/>
        <v>137896.69087136534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14462.90953588342</v>
      </c>
      <c r="D43" s="676">
        <f ca="1">industrie!C22</f>
        <v>182.05462184873954</v>
      </c>
      <c r="E43" s="676">
        <f>industrie!D22</f>
        <v>12800.331913118485</v>
      </c>
      <c r="F43" s="676">
        <f>industrie!E22</f>
        <v>1088.9600316902297</v>
      </c>
      <c r="G43" s="676">
        <f>industrie!F22</f>
        <v>9389.2937431445189</v>
      </c>
      <c r="H43" s="676">
        <f>industrie!G22</f>
        <v>0</v>
      </c>
      <c r="I43" s="676">
        <f>industrie!H22</f>
        <v>0</v>
      </c>
      <c r="J43" s="676">
        <f>industrie!I22</f>
        <v>0</v>
      </c>
      <c r="K43" s="676">
        <f>industrie!J22</f>
        <v>26.846524366697871</v>
      </c>
      <c r="L43" s="676">
        <f>industrie!K22</f>
        <v>0</v>
      </c>
      <c r="M43" s="676">
        <f>industrie!L22</f>
        <v>0</v>
      </c>
      <c r="N43" s="676">
        <f>industrie!M22</f>
        <v>0</v>
      </c>
      <c r="O43" s="676">
        <f>industrie!N22</f>
        <v>0</v>
      </c>
      <c r="P43" s="676">
        <f>industrie!O22</f>
        <v>0</v>
      </c>
      <c r="Q43" s="753">
        <f>industrie!P22</f>
        <v>0</v>
      </c>
      <c r="R43" s="831">
        <f t="shared" ca="1" si="4"/>
        <v>37950.396370052091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66662.6896169065</v>
      </c>
      <c r="D46" s="711">
        <f t="shared" ref="D46:Q46" ca="1" si="5">SUM(D39:D45)</f>
        <v>198.09579831932777</v>
      </c>
      <c r="E46" s="711">
        <f t="shared" ca="1" si="5"/>
        <v>117339.1396403336</v>
      </c>
      <c r="F46" s="711">
        <f t="shared" si="5"/>
        <v>2638.6922678063333</v>
      </c>
      <c r="G46" s="711">
        <f t="shared" ca="1" si="5"/>
        <v>59562.651050554276</v>
      </c>
      <c r="H46" s="711">
        <f t="shared" si="5"/>
        <v>0</v>
      </c>
      <c r="I46" s="711">
        <f t="shared" si="5"/>
        <v>0</v>
      </c>
      <c r="J46" s="711">
        <f t="shared" si="5"/>
        <v>0</v>
      </c>
      <c r="K46" s="711">
        <f t="shared" si="5"/>
        <v>1117.6119729921081</v>
      </c>
      <c r="L46" s="711">
        <f t="shared" si="5"/>
        <v>0</v>
      </c>
      <c r="M46" s="711">
        <f t="shared" ca="1" si="5"/>
        <v>0</v>
      </c>
      <c r="N46" s="711">
        <f t="shared" si="5"/>
        <v>0</v>
      </c>
      <c r="O46" s="711">
        <f t="shared" ca="1" si="5"/>
        <v>0</v>
      </c>
      <c r="P46" s="711">
        <f t="shared" si="5"/>
        <v>0</v>
      </c>
      <c r="Q46" s="711">
        <f t="shared" si="5"/>
        <v>0</v>
      </c>
      <c r="R46" s="711">
        <f ca="1">SUM(R39:R45)</f>
        <v>247518.88034691216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10.614195093315772</v>
      </c>
      <c r="D49" s="676">
        <f ca="1">transport!C58</f>
        <v>0</v>
      </c>
      <c r="E49" s="676">
        <f>transport!D58</f>
        <v>0</v>
      </c>
      <c r="F49" s="676">
        <f>transport!E58</f>
        <v>0</v>
      </c>
      <c r="G49" s="676">
        <f>transport!F58</f>
        <v>0</v>
      </c>
      <c r="H49" s="676">
        <f>transport!G58</f>
        <v>2661.5110978389494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2672.125292932265</v>
      </c>
    </row>
    <row r="50" spans="1:18">
      <c r="A50" s="807" t="s">
        <v>296</v>
      </c>
      <c r="B50" s="817"/>
      <c r="C50" s="682">
        <f ca="1">transport!B18</f>
        <v>7.335326506333006</v>
      </c>
      <c r="D50" s="682">
        <f>transport!C18</f>
        <v>0</v>
      </c>
      <c r="E50" s="682">
        <f>transport!D18</f>
        <v>7.3613187290231279</v>
      </c>
      <c r="F50" s="682">
        <f>transport!E18</f>
        <v>306.23674735902114</v>
      </c>
      <c r="G50" s="682">
        <f>transport!F18</f>
        <v>0</v>
      </c>
      <c r="H50" s="682">
        <f>transport!G18</f>
        <v>110315.3519963468</v>
      </c>
      <c r="I50" s="682">
        <f>transport!H18</f>
        <v>15577.112041687396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126213.39743062857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17.949521599648776</v>
      </c>
      <c r="D52" s="711">
        <f t="shared" ref="D52:Q52" ca="1" si="6">SUM(D48:D51)</f>
        <v>0</v>
      </c>
      <c r="E52" s="711">
        <f t="shared" si="6"/>
        <v>7.3613187290231279</v>
      </c>
      <c r="F52" s="711">
        <f t="shared" si="6"/>
        <v>306.23674735902114</v>
      </c>
      <c r="G52" s="711">
        <f t="shared" si="6"/>
        <v>0</v>
      </c>
      <c r="H52" s="711">
        <f t="shared" si="6"/>
        <v>112976.86309418574</v>
      </c>
      <c r="I52" s="711">
        <f t="shared" si="6"/>
        <v>15577.112041687396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128885.52272356083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826.92134060753995</v>
      </c>
      <c r="D54" s="682">
        <f ca="1">+landbouw!C12</f>
        <v>0</v>
      </c>
      <c r="E54" s="682">
        <f>+landbouw!D12</f>
        <v>464.12782779781219</v>
      </c>
      <c r="F54" s="682">
        <f>+landbouw!E12</f>
        <v>11.412825715320675</v>
      </c>
      <c r="G54" s="682">
        <f>+landbouw!F12</f>
        <v>3675.4817641480718</v>
      </c>
      <c r="H54" s="682">
        <f>+landbouw!G12</f>
        <v>0</v>
      </c>
      <c r="I54" s="682">
        <f>+landbouw!H12</f>
        <v>0</v>
      </c>
      <c r="J54" s="682">
        <f>+landbouw!I12</f>
        <v>0</v>
      </c>
      <c r="K54" s="682">
        <f>+landbouw!J12</f>
        <v>212.40789431188983</v>
      </c>
      <c r="L54" s="682">
        <f>+landbouw!K12</f>
        <v>0</v>
      </c>
      <c r="M54" s="682">
        <f>+landbouw!L12</f>
        <v>0</v>
      </c>
      <c r="N54" s="682">
        <f>+landbouw!M12</f>
        <v>0</v>
      </c>
      <c r="O54" s="682">
        <f>+landbouw!N12</f>
        <v>0</v>
      </c>
      <c r="P54" s="682">
        <f>+landbouw!O12</f>
        <v>0</v>
      </c>
      <c r="Q54" s="683">
        <f>+landbouw!P12</f>
        <v>0</v>
      </c>
      <c r="R54" s="710">
        <f ca="1">SUM(C54:Q54)</f>
        <v>5190.3516525806344</v>
      </c>
    </row>
    <row r="55" spans="1:18" ht="15" thickBot="1">
      <c r="A55" s="807" t="s">
        <v>833</v>
      </c>
      <c r="B55" s="817"/>
      <c r="C55" s="682">
        <f ca="1">C25*'EF ele_warmte'!B12</f>
        <v>1011.2559926221027</v>
      </c>
      <c r="D55" s="682"/>
      <c r="E55" s="682">
        <f>E25*EF_CO2_aardgas</f>
        <v>3210.8393130861782</v>
      </c>
      <c r="F55" s="682"/>
      <c r="G55" s="682"/>
      <c r="H55" s="682"/>
      <c r="I55" s="682"/>
      <c r="J55" s="682"/>
      <c r="K55" s="682"/>
      <c r="L55" s="682"/>
      <c r="M55" s="682"/>
      <c r="N55" s="682"/>
      <c r="O55" s="682"/>
      <c r="P55" s="682"/>
      <c r="Q55" s="683"/>
      <c r="R55" s="710">
        <f ca="1">SUM(C55:Q55)</f>
        <v>4222.0953057082806</v>
      </c>
    </row>
    <row r="56" spans="1:18" ht="15.75" thickBot="1">
      <c r="A56" s="805" t="s">
        <v>834</v>
      </c>
      <c r="B56" s="818"/>
      <c r="C56" s="711">
        <f ca="1">SUM(C54:C55)</f>
        <v>1838.1773332296425</v>
      </c>
      <c r="D56" s="711">
        <f t="shared" ref="D56:Q56" ca="1" si="7">SUM(D54:D55)</f>
        <v>0</v>
      </c>
      <c r="E56" s="711">
        <f t="shared" si="7"/>
        <v>3674.9671408839904</v>
      </c>
      <c r="F56" s="711">
        <f t="shared" si="7"/>
        <v>11.412825715320675</v>
      </c>
      <c r="G56" s="711">
        <f t="shared" si="7"/>
        <v>3675.4817641480718</v>
      </c>
      <c r="H56" s="711">
        <f t="shared" si="7"/>
        <v>0</v>
      </c>
      <c r="I56" s="711">
        <f t="shared" si="7"/>
        <v>0</v>
      </c>
      <c r="J56" s="711">
        <f t="shared" si="7"/>
        <v>0</v>
      </c>
      <c r="K56" s="711">
        <f t="shared" si="7"/>
        <v>212.40789431188983</v>
      </c>
      <c r="L56" s="711">
        <f t="shared" si="7"/>
        <v>0</v>
      </c>
      <c r="M56" s="711">
        <f t="shared" si="7"/>
        <v>0</v>
      </c>
      <c r="N56" s="711">
        <f t="shared" si="7"/>
        <v>0</v>
      </c>
      <c r="O56" s="711">
        <f t="shared" si="7"/>
        <v>0</v>
      </c>
      <c r="P56" s="711">
        <f t="shared" si="7"/>
        <v>0</v>
      </c>
      <c r="Q56" s="712">
        <f t="shared" si="7"/>
        <v>0</v>
      </c>
      <c r="R56" s="713">
        <f ca="1">SUM(R54:R55)</f>
        <v>9412.4469582889142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68518.816471735787</v>
      </c>
      <c r="D61" s="719">
        <f t="shared" ref="D61:Q61" ca="1" si="8">D46+D52+D56</f>
        <v>198.09579831932777</v>
      </c>
      <c r="E61" s="719">
        <f t="shared" ca="1" si="8"/>
        <v>121021.46809994661</v>
      </c>
      <c r="F61" s="719">
        <f t="shared" si="8"/>
        <v>2956.3418408806751</v>
      </c>
      <c r="G61" s="719">
        <f t="shared" ca="1" si="8"/>
        <v>63238.132814702345</v>
      </c>
      <c r="H61" s="719">
        <f t="shared" si="8"/>
        <v>112976.86309418574</v>
      </c>
      <c r="I61" s="719">
        <f t="shared" si="8"/>
        <v>15577.112041687396</v>
      </c>
      <c r="J61" s="719">
        <f t="shared" si="8"/>
        <v>0</v>
      </c>
      <c r="K61" s="719">
        <f t="shared" si="8"/>
        <v>1330.0198673039979</v>
      </c>
      <c r="L61" s="719">
        <f t="shared" si="8"/>
        <v>0</v>
      </c>
      <c r="M61" s="719">
        <f t="shared" ca="1" si="8"/>
        <v>0</v>
      </c>
      <c r="N61" s="719">
        <f t="shared" si="8"/>
        <v>0</v>
      </c>
      <c r="O61" s="719">
        <f t="shared" ca="1" si="8"/>
        <v>0</v>
      </c>
      <c r="P61" s="719">
        <f t="shared" si="8"/>
        <v>0</v>
      </c>
      <c r="Q61" s="719">
        <f t="shared" si="8"/>
        <v>0</v>
      </c>
      <c r="R61" s="719">
        <f ca="1">R46+R52+R56</f>
        <v>385816.8500287619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0.20725824598823409</v>
      </c>
      <c r="D63" s="762">
        <f t="shared" ca="1" si="9"/>
        <v>0.23764705882352946</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20600.393973920385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583.5</v>
      </c>
      <c r="D76" s="994">
        <f>'lokale energieproductie'!C8</f>
        <v>686.47058823529426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138.66705882352946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20600.393973920385</v>
      </c>
      <c r="C78" s="734">
        <f>SUM(C72:C77)</f>
        <v>583.5</v>
      </c>
      <c r="D78" s="735">
        <f t="shared" ref="D78:H78" si="10">SUM(D76:D77)</f>
        <v>686.47058823529426</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138.66705882352946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833.57142857142856</v>
      </c>
      <c r="D87" s="756">
        <f>'lokale energieproductie'!C17</f>
        <v>980.67226890756319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198.09579831932777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833.57142857142856</v>
      </c>
      <c r="D90" s="734">
        <f t="shared" ref="D90:H90" si="12">SUM(D87:D89)</f>
        <v>980.67226890756319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198.09579831932777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119341.78828813105</v>
      </c>
      <c r="C4" s="448">
        <f>huishoudens!C8</f>
        <v>0</v>
      </c>
      <c r="D4" s="448">
        <f>huishoudens!D8</f>
        <v>333785.38273802819</v>
      </c>
      <c r="E4" s="448">
        <f>huishoudens!E8</f>
        <v>5309.18025515105</v>
      </c>
      <c r="F4" s="448">
        <f>huishoudens!F8</f>
        <v>162702.33886907011</v>
      </c>
      <c r="G4" s="448">
        <f>huishoudens!G8</f>
        <v>0</v>
      </c>
      <c r="H4" s="448">
        <f>huishoudens!H8</f>
        <v>0</v>
      </c>
      <c r="I4" s="448">
        <f>huishoudens!I8</f>
        <v>0</v>
      </c>
      <c r="J4" s="448">
        <f>huishoudens!J8</f>
        <v>3081.2583294503115</v>
      </c>
      <c r="K4" s="448">
        <f>huishoudens!K8</f>
        <v>0</v>
      </c>
      <c r="L4" s="448">
        <f>huishoudens!L8</f>
        <v>0</v>
      </c>
      <c r="M4" s="448">
        <f>huishoudens!M8</f>
        <v>0</v>
      </c>
      <c r="N4" s="448">
        <f>huishoudens!N8</f>
        <v>46898.474535491659</v>
      </c>
      <c r="O4" s="448">
        <f>huishoudens!O8</f>
        <v>523.7166666666667</v>
      </c>
      <c r="P4" s="449">
        <f>huishoudens!P8</f>
        <v>1658.8</v>
      </c>
      <c r="Q4" s="450">
        <f>SUM(B4:P4)</f>
        <v>673300.93968198902</v>
      </c>
    </row>
    <row r="5" spans="1:17">
      <c r="A5" s="447" t="s">
        <v>149</v>
      </c>
      <c r="B5" s="448">
        <f ca="1">tertiair!B16</f>
        <v>128899.29327947475</v>
      </c>
      <c r="C5" s="448">
        <f ca="1">tertiair!C16</f>
        <v>67.5</v>
      </c>
      <c r="D5" s="448">
        <f ca="1">tertiair!D16</f>
        <v>183733.46739670003</v>
      </c>
      <c r="E5" s="448">
        <f>tertiair!E16</f>
        <v>1517.834000867028</v>
      </c>
      <c r="F5" s="448">
        <f ca="1">tertiair!F16</f>
        <v>25212.857038831611</v>
      </c>
      <c r="G5" s="448">
        <f>tertiair!G16</f>
        <v>0</v>
      </c>
      <c r="H5" s="448">
        <f>tertiair!H16</f>
        <v>0</v>
      </c>
      <c r="I5" s="448">
        <f>tertiair!I16</f>
        <v>0</v>
      </c>
      <c r="J5" s="448">
        <f>tertiair!J16</f>
        <v>0</v>
      </c>
      <c r="K5" s="448">
        <f>tertiair!K16</f>
        <v>0</v>
      </c>
      <c r="L5" s="448">
        <f ca="1">tertiair!L16</f>
        <v>0</v>
      </c>
      <c r="M5" s="448">
        <f>tertiair!M16</f>
        <v>0</v>
      </c>
      <c r="N5" s="448">
        <f ca="1">tertiair!N16</f>
        <v>10161.96452710341</v>
      </c>
      <c r="O5" s="448">
        <f>tertiair!O16</f>
        <v>14.070000000000002</v>
      </c>
      <c r="P5" s="449">
        <f>tertiair!P16</f>
        <v>190.66666666666669</v>
      </c>
      <c r="Q5" s="447">
        <f t="shared" ref="Q5:Q14" ca="1" si="0">SUM(B5:P5)</f>
        <v>349797.65290964354</v>
      </c>
    </row>
    <row r="6" spans="1:17">
      <c r="A6" s="447" t="s">
        <v>187</v>
      </c>
      <c r="B6" s="448">
        <f>'openbare verlichting'!B8</f>
        <v>3617.5590000000002</v>
      </c>
      <c r="C6" s="448"/>
      <c r="D6" s="448"/>
      <c r="E6" s="448"/>
      <c r="F6" s="448"/>
      <c r="G6" s="448"/>
      <c r="H6" s="448"/>
      <c r="I6" s="448"/>
      <c r="J6" s="448"/>
      <c r="K6" s="448"/>
      <c r="L6" s="448"/>
      <c r="M6" s="448"/>
      <c r="N6" s="448"/>
      <c r="O6" s="448"/>
      <c r="P6" s="449"/>
      <c r="Q6" s="447">
        <f t="shared" si="0"/>
        <v>3617.5590000000002</v>
      </c>
    </row>
    <row r="7" spans="1:17">
      <c r="A7" s="447" t="s">
        <v>105</v>
      </c>
      <c r="B7" s="448">
        <f>landbouw!B8</f>
        <v>3989.8115351921078</v>
      </c>
      <c r="C7" s="448">
        <f>landbouw!C8</f>
        <v>0</v>
      </c>
      <c r="D7" s="448">
        <f>landbouw!D8</f>
        <v>2297.6625138505551</v>
      </c>
      <c r="E7" s="448">
        <f>landbouw!E8</f>
        <v>50.276765265729843</v>
      </c>
      <c r="F7" s="448">
        <f>landbouw!F8</f>
        <v>13765.849303925361</v>
      </c>
      <c r="G7" s="448">
        <f>landbouw!G8</f>
        <v>0</v>
      </c>
      <c r="H7" s="448">
        <f>landbouw!H8</f>
        <v>0</v>
      </c>
      <c r="I7" s="448">
        <f>landbouw!I8</f>
        <v>0</v>
      </c>
      <c r="J7" s="448">
        <f>landbouw!J8</f>
        <v>600.02230031607303</v>
      </c>
      <c r="K7" s="448">
        <f>landbouw!K8</f>
        <v>0</v>
      </c>
      <c r="L7" s="448">
        <f>landbouw!L8</f>
        <v>0</v>
      </c>
      <c r="M7" s="448">
        <f>landbouw!M8</f>
        <v>0</v>
      </c>
      <c r="N7" s="448">
        <f>landbouw!N8</f>
        <v>0</v>
      </c>
      <c r="O7" s="448">
        <f>landbouw!O8</f>
        <v>0</v>
      </c>
      <c r="P7" s="449">
        <f>landbouw!P8</f>
        <v>0</v>
      </c>
      <c r="Q7" s="447">
        <f t="shared" si="0"/>
        <v>20703.622418549825</v>
      </c>
    </row>
    <row r="8" spans="1:17">
      <c r="A8" s="447" t="s">
        <v>639</v>
      </c>
      <c r="B8" s="448">
        <f>industrie!B18</f>
        <v>69782.070512670776</v>
      </c>
      <c r="C8" s="448">
        <f>industrie!C18</f>
        <v>766.07142857142856</v>
      </c>
      <c r="D8" s="448">
        <f>industrie!D18</f>
        <v>63367.97976791329</v>
      </c>
      <c r="E8" s="448">
        <f>industrie!E18</f>
        <v>4797.1807563446237</v>
      </c>
      <c r="F8" s="448">
        <f>industrie!F18</f>
        <v>35165.894169080595</v>
      </c>
      <c r="G8" s="448">
        <f>industrie!G18</f>
        <v>0</v>
      </c>
      <c r="H8" s="448">
        <f>industrie!H18</f>
        <v>0</v>
      </c>
      <c r="I8" s="448">
        <f>industrie!I18</f>
        <v>0</v>
      </c>
      <c r="J8" s="448">
        <f>industrie!J18</f>
        <v>75.837639453948796</v>
      </c>
      <c r="K8" s="448">
        <f>industrie!K18</f>
        <v>0</v>
      </c>
      <c r="L8" s="448">
        <f>industrie!L18</f>
        <v>0</v>
      </c>
      <c r="M8" s="448">
        <f>industrie!M18</f>
        <v>0</v>
      </c>
      <c r="N8" s="448">
        <f>industrie!N18</f>
        <v>6759.1011817045073</v>
      </c>
      <c r="O8" s="448">
        <f>industrie!O18</f>
        <v>0</v>
      </c>
      <c r="P8" s="449">
        <f>industrie!P18</f>
        <v>0</v>
      </c>
      <c r="Q8" s="447">
        <f t="shared" si="0"/>
        <v>180714.13545573916</v>
      </c>
    </row>
    <row r="9" spans="1:17" s="453" customFormat="1">
      <c r="A9" s="451" t="s">
        <v>557</v>
      </c>
      <c r="B9" s="452">
        <f>transport!B14</f>
        <v>35.392205851001101</v>
      </c>
      <c r="C9" s="452">
        <f>transport!C14</f>
        <v>0</v>
      </c>
      <c r="D9" s="452">
        <f>transport!D14</f>
        <v>36.442171925857068</v>
      </c>
      <c r="E9" s="452">
        <f>transport!E14</f>
        <v>1349.0605610529565</v>
      </c>
      <c r="F9" s="452">
        <f>transport!F14</f>
        <v>0</v>
      </c>
      <c r="G9" s="452">
        <f>transport!G14</f>
        <v>413166.11234586814</v>
      </c>
      <c r="H9" s="452">
        <f>transport!H14</f>
        <v>62558.682898342959</v>
      </c>
      <c r="I9" s="452">
        <f>transport!I14</f>
        <v>0</v>
      </c>
      <c r="J9" s="452">
        <f>transport!J14</f>
        <v>0</v>
      </c>
      <c r="K9" s="452">
        <f>transport!K14</f>
        <v>0</v>
      </c>
      <c r="L9" s="452">
        <f>transport!L14</f>
        <v>0</v>
      </c>
      <c r="M9" s="452">
        <f>transport!M14</f>
        <v>21506.558725230767</v>
      </c>
      <c r="N9" s="452">
        <f>transport!N14</f>
        <v>0</v>
      </c>
      <c r="O9" s="452">
        <f>transport!O14</f>
        <v>0</v>
      </c>
      <c r="P9" s="452">
        <f>transport!P14</f>
        <v>0</v>
      </c>
      <c r="Q9" s="451">
        <f>SUM(B9:P9)</f>
        <v>498652.24890827166</v>
      </c>
    </row>
    <row r="10" spans="1:17">
      <c r="A10" s="447" t="s">
        <v>547</v>
      </c>
      <c r="B10" s="448">
        <f>transport!B54</f>
        <v>51.21241397516377</v>
      </c>
      <c r="C10" s="448">
        <f>transport!C54</f>
        <v>0</v>
      </c>
      <c r="D10" s="448">
        <f>transport!D54</f>
        <v>0</v>
      </c>
      <c r="E10" s="448">
        <f>transport!E54</f>
        <v>0</v>
      </c>
      <c r="F10" s="448">
        <f>transport!F54</f>
        <v>0</v>
      </c>
      <c r="G10" s="448">
        <f>transport!G54</f>
        <v>9968.2063589473746</v>
      </c>
      <c r="H10" s="448">
        <f>transport!H54</f>
        <v>0</v>
      </c>
      <c r="I10" s="448">
        <f>transport!I54</f>
        <v>0</v>
      </c>
      <c r="J10" s="448">
        <f>transport!J54</f>
        <v>0</v>
      </c>
      <c r="K10" s="448">
        <f>transport!K54</f>
        <v>0</v>
      </c>
      <c r="L10" s="448">
        <f>transport!L54</f>
        <v>0</v>
      </c>
      <c r="M10" s="448">
        <f>transport!M54</f>
        <v>446.98274892043395</v>
      </c>
      <c r="N10" s="448">
        <f>transport!N54</f>
        <v>0</v>
      </c>
      <c r="O10" s="448">
        <f>transport!O54</f>
        <v>0</v>
      </c>
      <c r="P10" s="449">
        <f>transport!P54</f>
        <v>0</v>
      </c>
      <c r="Q10" s="447">
        <f t="shared" si="0"/>
        <v>10466.401521842972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4879.2075210339799</v>
      </c>
      <c r="C14" s="455"/>
      <c r="D14" s="455">
        <f>'SEAP template'!E25</f>
        <v>15895.244124189001</v>
      </c>
      <c r="E14" s="455"/>
      <c r="F14" s="455"/>
      <c r="G14" s="455"/>
      <c r="H14" s="455"/>
      <c r="I14" s="455"/>
      <c r="J14" s="455"/>
      <c r="K14" s="455"/>
      <c r="L14" s="455"/>
      <c r="M14" s="455"/>
      <c r="N14" s="455"/>
      <c r="O14" s="455"/>
      <c r="P14" s="456"/>
      <c r="Q14" s="447">
        <f t="shared" si="0"/>
        <v>20774.45164522298</v>
      </c>
    </row>
    <row r="15" spans="1:17" s="460" customFormat="1">
      <c r="A15" s="457" t="s">
        <v>551</v>
      </c>
      <c r="B15" s="458">
        <f ca="1">SUM(B4:B14)</f>
        <v>330596.33475632878</v>
      </c>
      <c r="C15" s="458">
        <f t="shared" ref="C15:Q15" ca="1" si="1">SUM(C4:C14)</f>
        <v>833.57142857142856</v>
      </c>
      <c r="D15" s="458">
        <f t="shared" ca="1" si="1"/>
        <v>599116.17871260701</v>
      </c>
      <c r="E15" s="458">
        <f t="shared" si="1"/>
        <v>13023.532338681387</v>
      </c>
      <c r="F15" s="458">
        <f t="shared" ca="1" si="1"/>
        <v>236846.93938090766</v>
      </c>
      <c r="G15" s="458">
        <f t="shared" si="1"/>
        <v>423134.31870481552</v>
      </c>
      <c r="H15" s="458">
        <f t="shared" si="1"/>
        <v>62558.682898342959</v>
      </c>
      <c r="I15" s="458">
        <f t="shared" si="1"/>
        <v>0</v>
      </c>
      <c r="J15" s="458">
        <f t="shared" si="1"/>
        <v>3757.1182692203333</v>
      </c>
      <c r="K15" s="458">
        <f t="shared" si="1"/>
        <v>0</v>
      </c>
      <c r="L15" s="458">
        <f t="shared" ca="1" si="1"/>
        <v>0</v>
      </c>
      <c r="M15" s="458">
        <f t="shared" si="1"/>
        <v>21953.5414741512</v>
      </c>
      <c r="N15" s="458">
        <f t="shared" ca="1" si="1"/>
        <v>63819.540244299576</v>
      </c>
      <c r="O15" s="458">
        <f t="shared" si="1"/>
        <v>537.78666666666675</v>
      </c>
      <c r="P15" s="458">
        <f t="shared" si="1"/>
        <v>1849.4666666666667</v>
      </c>
      <c r="Q15" s="458">
        <f t="shared" ca="1" si="1"/>
        <v>1758027.011541259</v>
      </c>
    </row>
    <row r="17" spans="1:17">
      <c r="A17" s="461" t="s">
        <v>552</v>
      </c>
      <c r="B17" s="767">
        <f ca="1">huishoudens!B10</f>
        <v>0.20725824598823414</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24734.569713697227</v>
      </c>
      <c r="C22" s="448">
        <f t="shared" ref="C22:C32" ca="1" si="3">C4*$C$17</f>
        <v>0</v>
      </c>
      <c r="D22" s="448">
        <f t="shared" ref="D22:D32" si="4">D4*$D$17</f>
        <v>67424.647313081703</v>
      </c>
      <c r="E22" s="448">
        <f t="shared" ref="E22:E32" si="5">E4*$E$17</f>
        <v>1205.1839179192884</v>
      </c>
      <c r="F22" s="448">
        <f t="shared" ref="F22:F32" si="6">F4*$F$17</f>
        <v>43441.52447804172</v>
      </c>
      <c r="G22" s="448">
        <f t="shared" ref="G22:G32" si="7">G4*$G$17</f>
        <v>0</v>
      </c>
      <c r="H22" s="448">
        <f t="shared" ref="H22:H32" si="8">H4*$H$17</f>
        <v>0</v>
      </c>
      <c r="I22" s="448">
        <f t="shared" ref="I22:I32" si="9">I4*$I$17</f>
        <v>0</v>
      </c>
      <c r="J22" s="448">
        <f t="shared" ref="J22:J32" si="10">J4*$J$17</f>
        <v>1090.7654486254103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137896.69087136534</v>
      </c>
    </row>
    <row r="23" spans="1:17">
      <c r="A23" s="447" t="s">
        <v>149</v>
      </c>
      <c r="B23" s="448">
        <f t="shared" ca="1" si="2"/>
        <v>26715.441434226912</v>
      </c>
      <c r="C23" s="448">
        <f t="shared" ca="1" si="3"/>
        <v>16.041176470588237</v>
      </c>
      <c r="D23" s="448">
        <f t="shared" ca="1" si="4"/>
        <v>37114.16041413341</v>
      </c>
      <c r="E23" s="448">
        <f t="shared" si="5"/>
        <v>344.54831819681533</v>
      </c>
      <c r="F23" s="448">
        <f t="shared" ca="1" si="6"/>
        <v>6731.8328293680406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70922.024172395773</v>
      </c>
    </row>
    <row r="24" spans="1:17">
      <c r="A24" s="447" t="s">
        <v>187</v>
      </c>
      <c r="B24" s="448">
        <f t="shared" ca="1" si="2"/>
        <v>749.76893309895036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749.76893309895036</v>
      </c>
    </row>
    <row r="25" spans="1:17">
      <c r="A25" s="447" t="s">
        <v>105</v>
      </c>
      <c r="B25" s="448">
        <f t="shared" ca="1" si="2"/>
        <v>826.92134060753995</v>
      </c>
      <c r="C25" s="448">
        <f t="shared" ca="1" si="3"/>
        <v>0</v>
      </c>
      <c r="D25" s="448">
        <f t="shared" si="4"/>
        <v>464.12782779781219</v>
      </c>
      <c r="E25" s="448">
        <f t="shared" si="5"/>
        <v>11.412825715320675</v>
      </c>
      <c r="F25" s="448">
        <f t="shared" si="6"/>
        <v>3675.4817641480718</v>
      </c>
      <c r="G25" s="448">
        <f t="shared" si="7"/>
        <v>0</v>
      </c>
      <c r="H25" s="448">
        <f t="shared" si="8"/>
        <v>0</v>
      </c>
      <c r="I25" s="448">
        <f t="shared" si="9"/>
        <v>0</v>
      </c>
      <c r="J25" s="448">
        <f t="shared" si="10"/>
        <v>212.40789431188983</v>
      </c>
      <c r="K25" s="448">
        <f t="shared" si="11"/>
        <v>0</v>
      </c>
      <c r="L25" s="448">
        <f t="shared" si="12"/>
        <v>0</v>
      </c>
      <c r="M25" s="448">
        <f t="shared" si="13"/>
        <v>0</v>
      </c>
      <c r="N25" s="448">
        <f t="shared" si="14"/>
        <v>0</v>
      </c>
      <c r="O25" s="448">
        <f t="shared" si="15"/>
        <v>0</v>
      </c>
      <c r="P25" s="449">
        <f t="shared" si="16"/>
        <v>0</v>
      </c>
      <c r="Q25" s="447">
        <f t="shared" ca="1" si="17"/>
        <v>5190.3516525806344</v>
      </c>
    </row>
    <row r="26" spans="1:17">
      <c r="A26" s="447" t="s">
        <v>639</v>
      </c>
      <c r="B26" s="448">
        <f t="shared" ca="1" si="2"/>
        <v>14462.90953588342</v>
      </c>
      <c r="C26" s="448">
        <f t="shared" ca="1" si="3"/>
        <v>182.05462184873954</v>
      </c>
      <c r="D26" s="448">
        <f t="shared" si="4"/>
        <v>12800.331913118485</v>
      </c>
      <c r="E26" s="448">
        <f t="shared" si="5"/>
        <v>1088.9600316902297</v>
      </c>
      <c r="F26" s="448">
        <f t="shared" si="6"/>
        <v>9389.2937431445189</v>
      </c>
      <c r="G26" s="448">
        <f t="shared" si="7"/>
        <v>0</v>
      </c>
      <c r="H26" s="448">
        <f t="shared" si="8"/>
        <v>0</v>
      </c>
      <c r="I26" s="448">
        <f t="shared" si="9"/>
        <v>0</v>
      </c>
      <c r="J26" s="448">
        <f t="shared" si="10"/>
        <v>26.846524366697871</v>
      </c>
      <c r="K26" s="448">
        <f t="shared" si="11"/>
        <v>0</v>
      </c>
      <c r="L26" s="448">
        <f t="shared" si="12"/>
        <v>0</v>
      </c>
      <c r="M26" s="448">
        <f t="shared" si="13"/>
        <v>0</v>
      </c>
      <c r="N26" s="448">
        <f t="shared" si="14"/>
        <v>0</v>
      </c>
      <c r="O26" s="448">
        <f t="shared" si="15"/>
        <v>0</v>
      </c>
      <c r="P26" s="449">
        <f t="shared" si="16"/>
        <v>0</v>
      </c>
      <c r="Q26" s="447">
        <f t="shared" ca="1" si="17"/>
        <v>37950.396370052091</v>
      </c>
    </row>
    <row r="27" spans="1:17" s="453" customFormat="1">
      <c r="A27" s="451" t="s">
        <v>557</v>
      </c>
      <c r="B27" s="761">
        <f t="shared" ca="1" si="2"/>
        <v>7.335326506333006</v>
      </c>
      <c r="C27" s="452">
        <f t="shared" ca="1" si="3"/>
        <v>0</v>
      </c>
      <c r="D27" s="452">
        <f t="shared" si="4"/>
        <v>7.3613187290231279</v>
      </c>
      <c r="E27" s="452">
        <f t="shared" si="5"/>
        <v>306.23674735902114</v>
      </c>
      <c r="F27" s="452">
        <f t="shared" si="6"/>
        <v>0</v>
      </c>
      <c r="G27" s="452">
        <f t="shared" si="7"/>
        <v>110315.3519963468</v>
      </c>
      <c r="H27" s="452">
        <f t="shared" si="8"/>
        <v>15577.112041687396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126213.39743062857</v>
      </c>
    </row>
    <row r="28" spans="1:17">
      <c r="A28" s="447" t="s">
        <v>547</v>
      </c>
      <c r="B28" s="448">
        <f t="shared" ca="1" si="2"/>
        <v>10.614195093315772</v>
      </c>
      <c r="C28" s="448">
        <f t="shared" ca="1" si="3"/>
        <v>0</v>
      </c>
      <c r="D28" s="448">
        <f t="shared" si="4"/>
        <v>0</v>
      </c>
      <c r="E28" s="448">
        <f t="shared" si="5"/>
        <v>0</v>
      </c>
      <c r="F28" s="448">
        <f t="shared" si="6"/>
        <v>0</v>
      </c>
      <c r="G28" s="448">
        <f t="shared" si="7"/>
        <v>2661.5110978389494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2672.125292932265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1011.2559926221027</v>
      </c>
      <c r="C32" s="448">
        <f t="shared" ca="1" si="3"/>
        <v>0</v>
      </c>
      <c r="D32" s="448">
        <f t="shared" si="4"/>
        <v>3210.8393130861782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4222.0953057082806</v>
      </c>
    </row>
    <row r="33" spans="1:17" s="460" customFormat="1">
      <c r="A33" s="457" t="s">
        <v>551</v>
      </c>
      <c r="B33" s="458">
        <f ca="1">SUM(B22:B32)</f>
        <v>68518.816471735801</v>
      </c>
      <c r="C33" s="458">
        <f t="shared" ref="C33:Q33" ca="1" si="18">SUM(C22:C32)</f>
        <v>198.09579831932777</v>
      </c>
      <c r="D33" s="458">
        <f t="shared" ca="1" si="18"/>
        <v>121021.46809994661</v>
      </c>
      <c r="E33" s="458">
        <f t="shared" si="18"/>
        <v>2956.3418408806751</v>
      </c>
      <c r="F33" s="458">
        <f t="shared" ca="1" si="18"/>
        <v>63238.132814702345</v>
      </c>
      <c r="G33" s="458">
        <f t="shared" si="18"/>
        <v>112976.86309418574</v>
      </c>
      <c r="H33" s="458">
        <f t="shared" si="18"/>
        <v>15577.112041687396</v>
      </c>
      <c r="I33" s="458">
        <f t="shared" si="18"/>
        <v>0</v>
      </c>
      <c r="J33" s="458">
        <f t="shared" si="18"/>
        <v>1330.0198673039979</v>
      </c>
      <c r="K33" s="458">
        <f t="shared" si="18"/>
        <v>0</v>
      </c>
      <c r="L33" s="458">
        <f t="shared" ca="1" si="18"/>
        <v>0</v>
      </c>
      <c r="M33" s="458">
        <f t="shared" si="18"/>
        <v>0</v>
      </c>
      <c r="N33" s="458">
        <f t="shared" ca="1" si="18"/>
        <v>0</v>
      </c>
      <c r="O33" s="458">
        <f t="shared" si="18"/>
        <v>0</v>
      </c>
      <c r="P33" s="458">
        <f t="shared" si="18"/>
        <v>0</v>
      </c>
      <c r="Q33" s="458">
        <f t="shared" ca="1" si="18"/>
        <v>385816.85002876195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20600.393973920385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583.5</v>
      </c>
      <c r="D8" s="1020">
        <f>'SEAP template'!D76</f>
        <v>686.47058823529426</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138.66705882352946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20600.393973920385</v>
      </c>
      <c r="C10" s="1024">
        <f>SUM(C4:C9)</f>
        <v>583.5</v>
      </c>
      <c r="D10" s="1024">
        <f t="shared" ref="D10:H10" si="0">SUM(D8:D9)</f>
        <v>686.47058823529426</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138.66705882352946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0.20725824598823414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833.57142857142856</v>
      </c>
      <c r="D17" s="1021">
        <f>'SEAP template'!D87</f>
        <v>980.67226890756319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198.09579831932777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833.57142857142856</v>
      </c>
      <c r="D20" s="1024">
        <f t="shared" ref="D20:H20" si="2">SUM(D17:D19)</f>
        <v>980.67226890756319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198.09579831932777</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0.20725824598823414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0.20725824598823414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0.20725824598823414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30872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3819</v>
      </c>
      <c r="C14" s="327"/>
      <c r="D14" s="327"/>
      <c r="E14" s="327"/>
      <c r="F14" s="327"/>
    </row>
    <row r="15" spans="1:6">
      <c r="A15" s="1296" t="s">
        <v>177</v>
      </c>
      <c r="B15" s="1297">
        <v>44</v>
      </c>
      <c r="C15" s="327"/>
      <c r="D15" s="327"/>
      <c r="E15" s="327"/>
      <c r="F15" s="327"/>
    </row>
    <row r="16" spans="1:6">
      <c r="A16" s="1296" t="s">
        <v>6</v>
      </c>
      <c r="B16" s="1297">
        <v>1992</v>
      </c>
      <c r="C16" s="327"/>
      <c r="D16" s="327"/>
      <c r="E16" s="327"/>
      <c r="F16" s="327"/>
    </row>
    <row r="17" spans="1:6">
      <c r="A17" s="1296" t="s">
        <v>7</v>
      </c>
      <c r="B17" s="1297">
        <v>865</v>
      </c>
      <c r="C17" s="327"/>
      <c r="D17" s="327"/>
      <c r="E17" s="327"/>
      <c r="F17" s="327"/>
    </row>
    <row r="18" spans="1:6">
      <c r="A18" s="1296" t="s">
        <v>8</v>
      </c>
      <c r="B18" s="1297">
        <v>1945</v>
      </c>
      <c r="C18" s="327"/>
      <c r="D18" s="327"/>
      <c r="E18" s="327"/>
      <c r="F18" s="327"/>
    </row>
    <row r="19" spans="1:6">
      <c r="A19" s="1296" t="s">
        <v>9</v>
      </c>
      <c r="B19" s="1297">
        <v>1777</v>
      </c>
      <c r="C19" s="327"/>
      <c r="D19" s="327"/>
      <c r="E19" s="327"/>
      <c r="F19" s="327"/>
    </row>
    <row r="20" spans="1:6">
      <c r="A20" s="1296" t="s">
        <v>10</v>
      </c>
      <c r="B20" s="1297">
        <v>965</v>
      </c>
      <c r="C20" s="327"/>
      <c r="D20" s="327"/>
      <c r="E20" s="327"/>
      <c r="F20" s="327"/>
    </row>
    <row r="21" spans="1:6">
      <c r="A21" s="1296" t="s">
        <v>11</v>
      </c>
      <c r="B21" s="1297">
        <v>15524</v>
      </c>
      <c r="C21" s="327"/>
      <c r="D21" s="327"/>
      <c r="E21" s="327"/>
      <c r="F21" s="327"/>
    </row>
    <row r="22" spans="1:6">
      <c r="A22" s="1296" t="s">
        <v>12</v>
      </c>
      <c r="B22" s="1297">
        <v>29611</v>
      </c>
      <c r="C22" s="327"/>
      <c r="D22" s="327"/>
      <c r="E22" s="327"/>
      <c r="F22" s="327"/>
    </row>
    <row r="23" spans="1:6">
      <c r="A23" s="1296" t="s">
        <v>13</v>
      </c>
      <c r="B23" s="1297">
        <v>1021</v>
      </c>
      <c r="C23" s="327"/>
      <c r="D23" s="327"/>
      <c r="E23" s="327"/>
      <c r="F23" s="327"/>
    </row>
    <row r="24" spans="1:6">
      <c r="A24" s="1296" t="s">
        <v>14</v>
      </c>
      <c r="B24" s="1297">
        <v>44</v>
      </c>
      <c r="C24" s="327"/>
      <c r="D24" s="327"/>
      <c r="E24" s="327"/>
      <c r="F24" s="327"/>
    </row>
    <row r="25" spans="1:6">
      <c r="A25" s="1296" t="s">
        <v>15</v>
      </c>
      <c r="B25" s="1297">
        <v>4589</v>
      </c>
      <c r="C25" s="327"/>
      <c r="D25" s="327"/>
      <c r="E25" s="327"/>
      <c r="F25" s="327"/>
    </row>
    <row r="26" spans="1:6">
      <c r="A26" s="1296" t="s">
        <v>16</v>
      </c>
      <c r="B26" s="1297">
        <v>327</v>
      </c>
      <c r="C26" s="327"/>
      <c r="D26" s="327"/>
      <c r="E26" s="327"/>
      <c r="F26" s="327"/>
    </row>
    <row r="27" spans="1:6">
      <c r="A27" s="1296" t="s">
        <v>17</v>
      </c>
      <c r="B27" s="1297">
        <v>729</v>
      </c>
      <c r="C27" s="327"/>
      <c r="D27" s="327"/>
      <c r="E27" s="327"/>
      <c r="F27" s="327"/>
    </row>
    <row r="28" spans="1:6">
      <c r="A28" s="1296" t="s">
        <v>18</v>
      </c>
      <c r="B28" s="1298">
        <v>145801</v>
      </c>
      <c r="C28" s="327"/>
      <c r="D28" s="327"/>
      <c r="E28" s="327"/>
      <c r="F28" s="327"/>
    </row>
    <row r="29" spans="1:6">
      <c r="A29" s="1296" t="s">
        <v>922</v>
      </c>
      <c r="B29" s="1298">
        <v>390</v>
      </c>
      <c r="C29" s="327"/>
      <c r="D29" s="327"/>
      <c r="E29" s="327"/>
      <c r="F29" s="327"/>
    </row>
    <row r="30" spans="1:6">
      <c r="A30" s="1291" t="s">
        <v>923</v>
      </c>
      <c r="B30" s="1299">
        <v>142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10</v>
      </c>
      <c r="D36" s="1297">
        <v>1194162.20360646</v>
      </c>
      <c r="E36" s="1297">
        <v>14</v>
      </c>
      <c r="F36" s="1297">
        <v>372232.84334237099</v>
      </c>
    </row>
    <row r="37" spans="1:6">
      <c r="A37" s="1296" t="s">
        <v>24</v>
      </c>
      <c r="B37" s="1296" t="s">
        <v>27</v>
      </c>
      <c r="C37" s="1297">
        <v>0</v>
      </c>
      <c r="D37" s="1297">
        <v>0</v>
      </c>
      <c r="E37" s="1297">
        <v>0</v>
      </c>
      <c r="F37" s="1297">
        <v>0</v>
      </c>
    </row>
    <row r="38" spans="1:6">
      <c r="A38" s="1296" t="s">
        <v>24</v>
      </c>
      <c r="B38" s="1296" t="s">
        <v>28</v>
      </c>
      <c r="C38" s="1297">
        <v>3</v>
      </c>
      <c r="D38" s="1297">
        <v>289624.295865505</v>
      </c>
      <c r="E38" s="1297">
        <v>6</v>
      </c>
      <c r="F38" s="1297">
        <v>69700.916613563706</v>
      </c>
    </row>
    <row r="39" spans="1:6">
      <c r="A39" s="1296" t="s">
        <v>29</v>
      </c>
      <c r="B39" s="1296" t="s">
        <v>30</v>
      </c>
      <c r="C39" s="1297">
        <v>22672</v>
      </c>
      <c r="D39" s="1297">
        <v>369997689.65969503</v>
      </c>
      <c r="E39" s="1297">
        <v>30559</v>
      </c>
      <c r="F39" s="1297">
        <v>109834355.34568401</v>
      </c>
    </row>
    <row r="40" spans="1:6">
      <c r="A40" s="1296" t="s">
        <v>29</v>
      </c>
      <c r="B40" s="1296" t="s">
        <v>28</v>
      </c>
      <c r="C40" s="1297">
        <v>1</v>
      </c>
      <c r="D40" s="1297">
        <v>52623.797098992</v>
      </c>
      <c r="E40" s="1297">
        <v>2</v>
      </c>
      <c r="F40" s="1297">
        <v>37541.525342794703</v>
      </c>
    </row>
    <row r="41" spans="1:6">
      <c r="A41" s="1296" t="s">
        <v>31</v>
      </c>
      <c r="B41" s="1296" t="s">
        <v>32</v>
      </c>
      <c r="C41" s="1297">
        <v>251</v>
      </c>
      <c r="D41" s="1297">
        <v>8249215.4268012503</v>
      </c>
      <c r="E41" s="1297">
        <v>538</v>
      </c>
      <c r="F41" s="1297">
        <v>6167822.5866937498</v>
      </c>
    </row>
    <row r="42" spans="1:6">
      <c r="A42" s="1296" t="s">
        <v>31</v>
      </c>
      <c r="B42" s="1296" t="s">
        <v>33</v>
      </c>
      <c r="C42" s="1297">
        <v>4</v>
      </c>
      <c r="D42" s="1297">
        <v>4363128.2316867895</v>
      </c>
      <c r="E42" s="1297">
        <v>4</v>
      </c>
      <c r="F42" s="1297">
        <v>2279343.1442229301</v>
      </c>
    </row>
    <row r="43" spans="1:6">
      <c r="A43" s="1296" t="s">
        <v>31</v>
      </c>
      <c r="B43" s="1296" t="s">
        <v>34</v>
      </c>
      <c r="C43" s="1297">
        <v>0</v>
      </c>
      <c r="D43" s="1297">
        <v>0</v>
      </c>
      <c r="E43" s="1297">
        <v>3</v>
      </c>
      <c r="F43" s="1297">
        <v>18476.1063439504</v>
      </c>
    </row>
    <row r="44" spans="1:6">
      <c r="A44" s="1296" t="s">
        <v>31</v>
      </c>
      <c r="B44" s="1296" t="s">
        <v>35</v>
      </c>
      <c r="C44" s="1297">
        <v>26</v>
      </c>
      <c r="D44" s="1297">
        <v>10431254.2040038</v>
      </c>
      <c r="E44" s="1297">
        <v>71</v>
      </c>
      <c r="F44" s="1297">
        <v>11810610.8981164</v>
      </c>
    </row>
    <row r="45" spans="1:6">
      <c r="A45" s="1296" t="s">
        <v>31</v>
      </c>
      <c r="B45" s="1296" t="s">
        <v>36</v>
      </c>
      <c r="C45" s="1297">
        <v>0</v>
      </c>
      <c r="D45" s="1297">
        <v>0</v>
      </c>
      <c r="E45" s="1297">
        <v>12</v>
      </c>
      <c r="F45" s="1297">
        <v>264670.01680437202</v>
      </c>
    </row>
    <row r="46" spans="1:6">
      <c r="A46" s="1296" t="s">
        <v>31</v>
      </c>
      <c r="B46" s="1296" t="s">
        <v>37</v>
      </c>
      <c r="C46" s="1297">
        <v>0</v>
      </c>
      <c r="D46" s="1297">
        <v>0</v>
      </c>
      <c r="E46" s="1297">
        <v>0</v>
      </c>
      <c r="F46" s="1297">
        <v>0</v>
      </c>
    </row>
    <row r="47" spans="1:6">
      <c r="A47" s="1296" t="s">
        <v>31</v>
      </c>
      <c r="B47" s="1296" t="s">
        <v>38</v>
      </c>
      <c r="C47" s="1297">
        <v>19</v>
      </c>
      <c r="D47" s="1297">
        <v>1993919.07248431</v>
      </c>
      <c r="E47" s="1297">
        <v>22</v>
      </c>
      <c r="F47" s="1297">
        <v>2205726.3627236802</v>
      </c>
    </row>
    <row r="48" spans="1:6">
      <c r="A48" s="1296" t="s">
        <v>31</v>
      </c>
      <c r="B48" s="1296" t="s">
        <v>28</v>
      </c>
      <c r="C48" s="1297">
        <v>80</v>
      </c>
      <c r="D48" s="1297">
        <v>29840256.8055319</v>
      </c>
      <c r="E48" s="1297">
        <v>101</v>
      </c>
      <c r="F48" s="1297">
        <v>28948801.1784175</v>
      </c>
    </row>
    <row r="49" spans="1:6">
      <c r="A49" s="1296" t="s">
        <v>31</v>
      </c>
      <c r="B49" s="1296" t="s">
        <v>39</v>
      </c>
      <c r="C49" s="1297">
        <v>11</v>
      </c>
      <c r="D49" s="1297">
        <v>8609359.6559890695</v>
      </c>
      <c r="E49" s="1297">
        <v>28</v>
      </c>
      <c r="F49" s="1297">
        <v>3612613.6541108801</v>
      </c>
    </row>
    <row r="50" spans="1:6">
      <c r="A50" s="1296" t="s">
        <v>31</v>
      </c>
      <c r="B50" s="1296" t="s">
        <v>40</v>
      </c>
      <c r="C50" s="1297">
        <v>37</v>
      </c>
      <c r="D50" s="1297">
        <v>8464222.0636538193</v>
      </c>
      <c r="E50" s="1297">
        <v>60</v>
      </c>
      <c r="F50" s="1297">
        <v>13937756.5652373</v>
      </c>
    </row>
    <row r="51" spans="1:6">
      <c r="A51" s="1296" t="s">
        <v>41</v>
      </c>
      <c r="B51" s="1296" t="s">
        <v>42</v>
      </c>
      <c r="C51" s="1297">
        <v>20</v>
      </c>
      <c r="D51" s="1297">
        <v>468839.49637156702</v>
      </c>
      <c r="E51" s="1297">
        <v>171</v>
      </c>
      <c r="F51" s="1297">
        <v>3256830.3383430098</v>
      </c>
    </row>
    <row r="52" spans="1:6">
      <c r="A52" s="1296" t="s">
        <v>41</v>
      </c>
      <c r="B52" s="1296" t="s">
        <v>28</v>
      </c>
      <c r="C52" s="1297">
        <v>18</v>
      </c>
      <c r="D52" s="1297">
        <v>2078458.1908241699</v>
      </c>
      <c r="E52" s="1297">
        <v>22</v>
      </c>
      <c r="F52" s="1297">
        <v>732981.19684909796</v>
      </c>
    </row>
    <row r="53" spans="1:6">
      <c r="A53" s="1296" t="s">
        <v>43</v>
      </c>
      <c r="B53" s="1296" t="s">
        <v>44</v>
      </c>
      <c r="C53" s="1297">
        <v>615</v>
      </c>
      <c r="D53" s="1297">
        <v>15895244.124189001</v>
      </c>
      <c r="E53" s="1297">
        <v>1128</v>
      </c>
      <c r="F53" s="1297">
        <v>4879207.52103398</v>
      </c>
    </row>
    <row r="54" spans="1:6">
      <c r="A54" s="1296" t="s">
        <v>45</v>
      </c>
      <c r="B54" s="1296" t="s">
        <v>46</v>
      </c>
      <c r="C54" s="1297">
        <v>0</v>
      </c>
      <c r="D54" s="1297">
        <v>0</v>
      </c>
      <c r="E54" s="1297">
        <v>1</v>
      </c>
      <c r="F54" s="1297">
        <v>3617559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289</v>
      </c>
      <c r="D57" s="1297">
        <v>22569779.335669801</v>
      </c>
      <c r="E57" s="1297">
        <v>484</v>
      </c>
      <c r="F57" s="1297">
        <v>12950763.2771955</v>
      </c>
    </row>
    <row r="58" spans="1:6">
      <c r="A58" s="1296" t="s">
        <v>48</v>
      </c>
      <c r="B58" s="1296" t="s">
        <v>50</v>
      </c>
      <c r="C58" s="1297">
        <v>195</v>
      </c>
      <c r="D58" s="1297">
        <v>42361565.471851103</v>
      </c>
      <c r="E58" s="1297">
        <v>259</v>
      </c>
      <c r="F58" s="1297">
        <v>17892417.4043051</v>
      </c>
    </row>
    <row r="59" spans="1:6">
      <c r="A59" s="1296" t="s">
        <v>48</v>
      </c>
      <c r="B59" s="1296" t="s">
        <v>51</v>
      </c>
      <c r="C59" s="1297">
        <v>632</v>
      </c>
      <c r="D59" s="1297">
        <v>40048525.381554604</v>
      </c>
      <c r="E59" s="1297">
        <v>1104</v>
      </c>
      <c r="F59" s="1297">
        <v>45011825.942549601</v>
      </c>
    </row>
    <row r="60" spans="1:6">
      <c r="A60" s="1296" t="s">
        <v>48</v>
      </c>
      <c r="B60" s="1296" t="s">
        <v>52</v>
      </c>
      <c r="C60" s="1297">
        <v>248</v>
      </c>
      <c r="D60" s="1297">
        <v>13219071.1173508</v>
      </c>
      <c r="E60" s="1297">
        <v>319</v>
      </c>
      <c r="F60" s="1297">
        <v>9750338.4458601698</v>
      </c>
    </row>
    <row r="61" spans="1:6">
      <c r="A61" s="1296" t="s">
        <v>48</v>
      </c>
      <c r="B61" s="1296" t="s">
        <v>53</v>
      </c>
      <c r="C61" s="1297">
        <v>687</v>
      </c>
      <c r="D61" s="1297">
        <v>59186445.8421712</v>
      </c>
      <c r="E61" s="1297">
        <v>1529</v>
      </c>
      <c r="F61" s="1297">
        <v>29349781.656636801</v>
      </c>
    </row>
    <row r="62" spans="1:6">
      <c r="A62" s="1296" t="s">
        <v>48</v>
      </c>
      <c r="B62" s="1296" t="s">
        <v>54</v>
      </c>
      <c r="C62" s="1297">
        <v>69</v>
      </c>
      <c r="D62" s="1297">
        <v>12020323.0319192</v>
      </c>
      <c r="E62" s="1297">
        <v>76</v>
      </c>
      <c r="F62" s="1297">
        <v>3699687.7770256801</v>
      </c>
    </row>
    <row r="63" spans="1:6">
      <c r="A63" s="1296" t="s">
        <v>48</v>
      </c>
      <c r="B63" s="1296" t="s">
        <v>28</v>
      </c>
      <c r="C63" s="1297">
        <v>208</v>
      </c>
      <c r="D63" s="1297">
        <v>14439597.354627401</v>
      </c>
      <c r="E63" s="1297">
        <v>263</v>
      </c>
      <c r="F63" s="1297">
        <v>10197228.775901901</v>
      </c>
    </row>
    <row r="64" spans="1:6">
      <c r="A64" s="1296" t="s">
        <v>55</v>
      </c>
      <c r="B64" s="1296" t="s">
        <v>56</v>
      </c>
      <c r="C64" s="1297">
        <v>0</v>
      </c>
      <c r="D64" s="1297">
        <v>0</v>
      </c>
      <c r="E64" s="1297">
        <v>0</v>
      </c>
      <c r="F64" s="1297">
        <v>0</v>
      </c>
    </row>
    <row r="65" spans="1:6">
      <c r="A65" s="1296" t="s">
        <v>55</v>
      </c>
      <c r="B65" s="1296" t="s">
        <v>28</v>
      </c>
      <c r="C65" s="1297">
        <v>5</v>
      </c>
      <c r="D65" s="1297">
        <v>103927.823973158</v>
      </c>
      <c r="E65" s="1297">
        <v>6</v>
      </c>
      <c r="F65" s="1297">
        <v>41077.719648040598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10</v>
      </c>
      <c r="D68" s="1299">
        <v>185666.65318679</v>
      </c>
      <c r="E68" s="1299">
        <v>40</v>
      </c>
      <c r="F68" s="1299">
        <v>357300.15029189602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164857679</v>
      </c>
      <c r="E73" s="446"/>
      <c r="F73" s="327"/>
    </row>
    <row r="74" spans="1:6">
      <c r="A74" s="1296" t="s">
        <v>63</v>
      </c>
      <c r="B74" s="1296" t="s">
        <v>706</v>
      </c>
      <c r="C74" s="1309" t="s">
        <v>707</v>
      </c>
      <c r="D74" s="1297">
        <v>18709403.555861872</v>
      </c>
      <c r="E74" s="446"/>
      <c r="F74" s="327"/>
    </row>
    <row r="75" spans="1:6">
      <c r="A75" s="1296" t="s">
        <v>64</v>
      </c>
      <c r="B75" s="1296" t="s">
        <v>704</v>
      </c>
      <c r="C75" s="1309" t="s">
        <v>708</v>
      </c>
      <c r="D75" s="1297">
        <v>159395001</v>
      </c>
      <c r="E75" s="446"/>
      <c r="F75" s="327"/>
    </row>
    <row r="76" spans="1:6">
      <c r="A76" s="1296" t="s">
        <v>64</v>
      </c>
      <c r="B76" s="1296" t="s">
        <v>706</v>
      </c>
      <c r="C76" s="1309" t="s">
        <v>709</v>
      </c>
      <c r="D76" s="1297">
        <v>10050589.555861874</v>
      </c>
      <c r="E76" s="446"/>
      <c r="F76" s="327"/>
    </row>
    <row r="77" spans="1:6">
      <c r="A77" s="1296" t="s">
        <v>65</v>
      </c>
      <c r="B77" s="1296" t="s">
        <v>704</v>
      </c>
      <c r="C77" s="1309" t="s">
        <v>710</v>
      </c>
      <c r="D77" s="1297">
        <v>129152130</v>
      </c>
      <c r="E77" s="446"/>
      <c r="F77" s="327"/>
    </row>
    <row r="78" spans="1:6">
      <c r="A78" s="1291" t="s">
        <v>65</v>
      </c>
      <c r="B78" s="1291" t="s">
        <v>706</v>
      </c>
      <c r="C78" s="1291" t="s">
        <v>711</v>
      </c>
      <c r="D78" s="1299">
        <v>31135741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2770146.8882762534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9469.8914171042616</v>
      </c>
      <c r="C91" s="327"/>
      <c r="D91" s="327"/>
      <c r="E91" s="327"/>
      <c r="F91" s="327"/>
    </row>
    <row r="92" spans="1:6">
      <c r="A92" s="1291" t="s">
        <v>68</v>
      </c>
      <c r="B92" s="1292">
        <v>11130.502556816124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16810</v>
      </c>
      <c r="C97" s="327"/>
      <c r="D97" s="327"/>
      <c r="E97" s="327"/>
      <c r="F97" s="327"/>
    </row>
    <row r="98" spans="1:6">
      <c r="A98" s="1296" t="s">
        <v>71</v>
      </c>
      <c r="B98" s="1297">
        <v>15</v>
      </c>
      <c r="C98" s="327"/>
      <c r="D98" s="327"/>
      <c r="E98" s="327"/>
      <c r="F98" s="327"/>
    </row>
    <row r="99" spans="1:6">
      <c r="A99" s="1296" t="s">
        <v>72</v>
      </c>
      <c r="B99" s="1297">
        <v>215</v>
      </c>
      <c r="C99" s="327"/>
      <c r="D99" s="327"/>
      <c r="E99" s="327"/>
      <c r="F99" s="327"/>
    </row>
    <row r="100" spans="1:6">
      <c r="A100" s="1296" t="s">
        <v>73</v>
      </c>
      <c r="B100" s="1297">
        <v>2077</v>
      </c>
      <c r="C100" s="327"/>
      <c r="D100" s="327"/>
      <c r="E100" s="327"/>
      <c r="F100" s="327"/>
    </row>
    <row r="101" spans="1:6">
      <c r="A101" s="1296" t="s">
        <v>74</v>
      </c>
      <c r="B101" s="1297">
        <v>290</v>
      </c>
      <c r="C101" s="327"/>
      <c r="D101" s="327"/>
      <c r="E101" s="327"/>
      <c r="F101" s="327"/>
    </row>
    <row r="102" spans="1:6">
      <c r="A102" s="1296" t="s">
        <v>75</v>
      </c>
      <c r="B102" s="1297">
        <v>856</v>
      </c>
      <c r="C102" s="327"/>
      <c r="D102" s="327"/>
      <c r="E102" s="327"/>
      <c r="F102" s="327"/>
    </row>
    <row r="103" spans="1:6">
      <c r="A103" s="1296" t="s">
        <v>76</v>
      </c>
      <c r="B103" s="1297">
        <v>965</v>
      </c>
      <c r="C103" s="327"/>
      <c r="D103" s="327"/>
      <c r="E103" s="327"/>
      <c r="F103" s="327"/>
    </row>
    <row r="104" spans="1:6">
      <c r="A104" s="1296" t="s">
        <v>77</v>
      </c>
      <c r="B104" s="1297">
        <v>6412</v>
      </c>
      <c r="C104" s="327"/>
      <c r="D104" s="327"/>
      <c r="E104" s="327"/>
      <c r="F104" s="327"/>
    </row>
    <row r="105" spans="1:6">
      <c r="A105" s="1291" t="s">
        <v>78</v>
      </c>
      <c r="B105" s="1299">
        <v>32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50</v>
      </c>
      <c r="C123" s="1297">
        <v>28</v>
      </c>
      <c r="D123" s="327"/>
      <c r="E123" s="327"/>
      <c r="F123" s="327"/>
    </row>
    <row r="124" spans="1:6">
      <c r="A124" s="1296" t="s">
        <v>88</v>
      </c>
      <c r="B124" s="1297">
        <v>3</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305</v>
      </c>
      <c r="C129" s="327"/>
      <c r="D129" s="327"/>
      <c r="E129" s="327"/>
      <c r="F129" s="327"/>
    </row>
    <row r="130" spans="1:6">
      <c r="A130" s="1296" t="s">
        <v>284</v>
      </c>
      <c r="B130" s="1297">
        <v>9</v>
      </c>
      <c r="C130" s="327"/>
      <c r="D130" s="327"/>
      <c r="E130" s="327"/>
      <c r="F130" s="327"/>
    </row>
    <row r="131" spans="1:6">
      <c r="A131" s="1296" t="s">
        <v>285</v>
      </c>
      <c r="B131" s="1297">
        <v>10</v>
      </c>
      <c r="C131" s="327"/>
      <c r="D131" s="327"/>
      <c r="E131" s="327"/>
      <c r="F131" s="327"/>
    </row>
    <row r="132" spans="1:6">
      <c r="A132" s="1291" t="s">
        <v>286</v>
      </c>
      <c r="B132" s="1292">
        <v>34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330596.33475632884</v>
      </c>
      <c r="C3" s="43" t="s">
        <v>163</v>
      </c>
      <c r="D3" s="43"/>
      <c r="E3" s="156"/>
      <c r="F3" s="43"/>
      <c r="G3" s="43"/>
      <c r="H3" s="43"/>
      <c r="I3" s="43"/>
      <c r="J3" s="43"/>
      <c r="K3" s="96"/>
    </row>
    <row r="4" spans="1:11">
      <c r="A4" s="353" t="s">
        <v>164</v>
      </c>
      <c r="B4" s="49">
        <f>IF(ISERROR('SEAP template'!B78+'SEAP template'!C78),0,'SEAP template'!B78+'SEAP template'!C78)</f>
        <v>21183.893973920385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138.66705882352946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0.20725824598823414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198.09579831932777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833.57142857142856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3617.5590000000002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3617.5590000000002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0.20725824598823414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749.76893309895036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109871.89687102679</v>
      </c>
      <c r="C5" s="17">
        <f>IF(ISERROR('Eigen informatie GS &amp; warmtenet'!B57),0,'Eigen informatie GS &amp; warmtenet'!B57)</f>
        <v>0</v>
      </c>
      <c r="D5" s="30">
        <f>(SUM(HH_hh_gas_kWh,HH_rest_gas_kWh)/1000)*0.902</f>
        <v>333785.38273802819</v>
      </c>
      <c r="E5" s="17">
        <f>B32*B41</f>
        <v>5309.18025515105</v>
      </c>
      <c r="F5" s="17">
        <f>B36*B45</f>
        <v>162702.33886907011</v>
      </c>
      <c r="G5" s="18"/>
      <c r="H5" s="17"/>
      <c r="I5" s="17"/>
      <c r="J5" s="17">
        <f>B35*B44+C35*C44</f>
        <v>3081.2583294503115</v>
      </c>
      <c r="K5" s="17"/>
      <c r="L5" s="17"/>
      <c r="M5" s="17"/>
      <c r="N5" s="17">
        <f>B34*B43+C34*C43</f>
        <v>46898.474535491659</v>
      </c>
      <c r="O5" s="17">
        <f>B52*B53*B54</f>
        <v>523.7166666666667</v>
      </c>
      <c r="P5" s="17">
        <f>B60*B61*B62/1000-B60*B61*B62/1000/B63</f>
        <v>1658.8</v>
      </c>
    </row>
    <row r="6" spans="1:16">
      <c r="A6" s="16" t="s">
        <v>617</v>
      </c>
      <c r="B6" s="769">
        <f>kWh_PV_kleiner_dan_10kW</f>
        <v>9469.8914171042616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119341.78828813105</v>
      </c>
      <c r="C8" s="21">
        <f>C5</f>
        <v>0</v>
      </c>
      <c r="D8" s="21">
        <f>D5</f>
        <v>333785.38273802819</v>
      </c>
      <c r="E8" s="21">
        <f>E5</f>
        <v>5309.18025515105</v>
      </c>
      <c r="F8" s="21">
        <f>F5</f>
        <v>162702.33886907011</v>
      </c>
      <c r="G8" s="21"/>
      <c r="H8" s="21"/>
      <c r="I8" s="21"/>
      <c r="J8" s="21">
        <f>J5</f>
        <v>3081.2583294503115</v>
      </c>
      <c r="K8" s="21"/>
      <c r="L8" s="21">
        <f>L5</f>
        <v>0</v>
      </c>
      <c r="M8" s="21">
        <f>M5</f>
        <v>0</v>
      </c>
      <c r="N8" s="21">
        <f>N5</f>
        <v>46898.474535491659</v>
      </c>
      <c r="O8" s="21">
        <f>O5</f>
        <v>523.7166666666667</v>
      </c>
      <c r="P8" s="21">
        <f>P5</f>
        <v>1658.8</v>
      </c>
    </row>
    <row r="9" spans="1:16">
      <c r="B9" s="19"/>
      <c r="C9" s="19"/>
      <c r="D9" s="257"/>
      <c r="E9" s="19"/>
      <c r="F9" s="19"/>
      <c r="G9" s="19"/>
      <c r="H9" s="19"/>
      <c r="I9" s="19"/>
      <c r="J9" s="19"/>
      <c r="K9" s="19"/>
      <c r="L9" s="19"/>
      <c r="M9" s="19"/>
      <c r="N9" s="19"/>
      <c r="O9" s="19"/>
      <c r="P9" s="19"/>
    </row>
    <row r="10" spans="1:16">
      <c r="A10" s="24" t="s">
        <v>207</v>
      </c>
      <c r="B10" s="25">
        <f ca="1">'EF ele_warmte'!B12</f>
        <v>0.20725824598823414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24734.569713697227</v>
      </c>
      <c r="C12" s="23">
        <f ca="1">C10*C8</f>
        <v>0</v>
      </c>
      <c r="D12" s="23">
        <f>D8*D10</f>
        <v>67424.647313081703</v>
      </c>
      <c r="E12" s="23">
        <f>E10*E8</f>
        <v>1205.1839179192884</v>
      </c>
      <c r="F12" s="23">
        <f>F10*F8</f>
        <v>43441.52447804172</v>
      </c>
      <c r="G12" s="23"/>
      <c r="H12" s="23"/>
      <c r="I12" s="23"/>
      <c r="J12" s="23">
        <f>J10*J8</f>
        <v>1090.7654486254103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30872</v>
      </c>
      <c r="C26" s="36"/>
      <c r="D26" s="227"/>
    </row>
    <row r="27" spans="1:5" s="15" customFormat="1">
      <c r="A27" s="229" t="s">
        <v>722</v>
      </c>
      <c r="B27" s="37">
        <f>SUM(HH_hh_gas_aantal,HH_rest_gas_aantal)</f>
        <v>22673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21539.35</v>
      </c>
      <c r="C31" s="34" t="s">
        <v>104</v>
      </c>
      <c r="D31" s="173"/>
    </row>
    <row r="32" spans="1:5">
      <c r="A32" s="170" t="s">
        <v>72</v>
      </c>
      <c r="B32" s="33">
        <f>IF((B21*($B$26-($B$27-0.05*$B$27)-$B$60))&lt;0,0,B21*($B$26-($B$27-0.05*$B$27)-$B$60))</f>
        <v>231.5255182286686</v>
      </c>
      <c r="C32" s="34" t="s">
        <v>104</v>
      </c>
      <c r="D32" s="173"/>
    </row>
    <row r="33" spans="1:6">
      <c r="A33" s="170" t="s">
        <v>73</v>
      </c>
      <c r="B33" s="33">
        <f>IF((B22*($B$26-($B$27-0.05*$B$27)-$B$60))&lt;0,0,B22*($B$26-($B$27-0.05*$B$27)-$B$60))</f>
        <v>1558.438279953406</v>
      </c>
      <c r="C33" s="34" t="s">
        <v>104</v>
      </c>
      <c r="D33" s="173"/>
    </row>
    <row r="34" spans="1:6">
      <c r="A34" s="170" t="s">
        <v>74</v>
      </c>
      <c r="B34" s="33">
        <f>IF((B24*($B$26-($B$27-0.05*$B$27)-$B$60))&lt;0,0,B24*($B$26-($B$27-0.05*$B$27)-$B$60))</f>
        <v>395.39691550363432</v>
      </c>
      <c r="C34" s="33">
        <f>B26*C24</f>
        <v>6315.1784078356613</v>
      </c>
      <c r="D34" s="232"/>
    </row>
    <row r="35" spans="1:6">
      <c r="A35" s="170" t="s">
        <v>76</v>
      </c>
      <c r="B35" s="33">
        <f>IF((B19*($B$26-($B$27-0.05*$B$27)-$B$60))&lt;0,0,B19*($B$26-($B$27-0.05*$B$27)-$B$60))</f>
        <v>146.94248168237209</v>
      </c>
      <c r="C35" s="33">
        <f>B35/2</f>
        <v>73.471240841186045</v>
      </c>
      <c r="D35" s="232"/>
    </row>
    <row r="36" spans="1:6">
      <c r="A36" s="170" t="s">
        <v>77</v>
      </c>
      <c r="B36" s="33">
        <f>IF((B18*($B$26-($B$27-0.05*$B$27)-$B$60))&lt;0,0,B18*($B$26-($B$27-0.05*$B$27)-$B$60))</f>
        <v>6913.3468046319213</v>
      </c>
      <c r="C36" s="34" t="s">
        <v>104</v>
      </c>
      <c r="D36" s="173"/>
    </row>
    <row r="37" spans="1:6">
      <c r="A37" s="170" t="s">
        <v>78</v>
      </c>
      <c r="B37" s="33">
        <f>B60</f>
        <v>87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335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128852.04327947475</v>
      </c>
      <c r="C5" s="17">
        <f>IF(ISERROR('Eigen informatie GS &amp; warmtenet'!B58),0,'Eigen informatie GS &amp; warmtenet'!B58)</f>
        <v>0</v>
      </c>
      <c r="D5" s="30">
        <f>SUM(D6:D12)</f>
        <v>183868.46739670003</v>
      </c>
      <c r="E5" s="17">
        <f>SUM(E6:E12)</f>
        <v>1517.834000867028</v>
      </c>
      <c r="F5" s="17">
        <f>SUM(F6:F12)</f>
        <v>25212.857038831611</v>
      </c>
      <c r="G5" s="18"/>
      <c r="H5" s="17"/>
      <c r="I5" s="17"/>
      <c r="J5" s="17">
        <f>SUM(J6:J12)</f>
        <v>0</v>
      </c>
      <c r="K5" s="17"/>
      <c r="L5" s="17"/>
      <c r="M5" s="17"/>
      <c r="N5" s="17">
        <f>SUM(N6:N12)</f>
        <v>10161.96452710341</v>
      </c>
      <c r="O5" s="17">
        <f>B38*B39*B40</f>
        <v>14.070000000000002</v>
      </c>
      <c r="P5" s="17">
        <f>B46*B47*B48/1000-B46*B47*B48/1000/B49</f>
        <v>190.66666666666669</v>
      </c>
      <c r="R5" s="32"/>
    </row>
    <row r="6" spans="1:18">
      <c r="A6" s="32" t="s">
        <v>53</v>
      </c>
      <c r="B6" s="37">
        <f>B26</f>
        <v>29349.781656636802</v>
      </c>
      <c r="C6" s="33"/>
      <c r="D6" s="37">
        <f>IF(ISERROR(TER_kantoor_gas_kWh/1000),0,TER_kantoor_gas_kWh/1000)*0.902</f>
        <v>53386.17414963842</v>
      </c>
      <c r="E6" s="33">
        <f>$C$26*'E Balans VL '!I12/100/3.6*1000000</f>
        <v>114.03011544685157</v>
      </c>
      <c r="F6" s="33">
        <f>$C$26*('E Balans VL '!L12+'E Balans VL '!N12)/100/3.6*1000000</f>
        <v>4463.8347282533896</v>
      </c>
      <c r="G6" s="34"/>
      <c r="H6" s="33"/>
      <c r="I6" s="33"/>
      <c r="J6" s="33">
        <f>$C$26*('E Balans VL '!D12+'E Balans VL '!E12)/100/3.6*1000000</f>
        <v>0</v>
      </c>
      <c r="K6" s="33"/>
      <c r="L6" s="33"/>
      <c r="M6" s="33"/>
      <c r="N6" s="33">
        <f>$C$26*'E Balans VL '!Y12/100/3.6*1000000</f>
        <v>16.175245710060587</v>
      </c>
      <c r="O6" s="33"/>
      <c r="P6" s="33"/>
      <c r="R6" s="32"/>
    </row>
    <row r="7" spans="1:18">
      <c r="A7" s="32" t="s">
        <v>52</v>
      </c>
      <c r="B7" s="37">
        <f t="shared" ref="B7:B12" si="0">B27</f>
        <v>9750.3384458601704</v>
      </c>
      <c r="C7" s="33"/>
      <c r="D7" s="37">
        <f>IF(ISERROR(TER_horeca_gas_kWh/1000),0,TER_horeca_gas_kWh/1000)*0.902</f>
        <v>11923.602147850423</v>
      </c>
      <c r="E7" s="33">
        <f>$C$27*'E Balans VL '!I9/100/3.6*1000000</f>
        <v>549.23917146390136</v>
      </c>
      <c r="F7" s="33">
        <f>$C$27*('E Balans VL '!L9+'E Balans VL '!N9)/100/3.6*1000000</f>
        <v>2811.4138669398035</v>
      </c>
      <c r="G7" s="34"/>
      <c r="H7" s="33"/>
      <c r="I7" s="33"/>
      <c r="J7" s="33">
        <f>$C$27*('E Balans VL '!D9+'E Balans VL '!E9)/100/3.6*1000000</f>
        <v>0</v>
      </c>
      <c r="K7" s="33"/>
      <c r="L7" s="33"/>
      <c r="M7" s="33"/>
      <c r="N7" s="33">
        <f>$C$27*'E Balans VL '!Y9/100/3.6*1000000</f>
        <v>2.692017777376277</v>
      </c>
      <c r="O7" s="33"/>
      <c r="P7" s="33"/>
      <c r="R7" s="32"/>
    </row>
    <row r="8" spans="1:18">
      <c r="A8" s="6" t="s">
        <v>51</v>
      </c>
      <c r="B8" s="37">
        <f t="shared" si="0"/>
        <v>45011.8259425496</v>
      </c>
      <c r="C8" s="33"/>
      <c r="D8" s="37">
        <f>IF(ISERROR(TER_handel_gas_kWh/1000),0,TER_handel_gas_kWh/1000)*0.902</f>
        <v>36123.769894162251</v>
      </c>
      <c r="E8" s="33">
        <f>$C$28*'E Balans VL '!I13/100/3.6*1000000</f>
        <v>648.77312176663884</v>
      </c>
      <c r="F8" s="33">
        <f>$C$28*('E Balans VL '!L13+'E Balans VL '!N13)/100/3.6*1000000</f>
        <v>7819.6024209120451</v>
      </c>
      <c r="G8" s="34"/>
      <c r="H8" s="33"/>
      <c r="I8" s="33"/>
      <c r="J8" s="33">
        <f>$C$28*('E Balans VL '!D13+'E Balans VL '!E13)/100/3.6*1000000</f>
        <v>0</v>
      </c>
      <c r="K8" s="33"/>
      <c r="L8" s="33"/>
      <c r="M8" s="33"/>
      <c r="N8" s="33">
        <f>$C$28*'E Balans VL '!Y13/100/3.6*1000000</f>
        <v>134.86044134356618</v>
      </c>
      <c r="O8" s="33"/>
      <c r="P8" s="33"/>
      <c r="R8" s="32"/>
    </row>
    <row r="9" spans="1:18">
      <c r="A9" s="32" t="s">
        <v>50</v>
      </c>
      <c r="B9" s="37">
        <f t="shared" si="0"/>
        <v>17892.417404305099</v>
      </c>
      <c r="C9" s="33"/>
      <c r="D9" s="37">
        <f>IF(ISERROR(TER_gezond_gas_kWh/1000),0,TER_gezond_gas_kWh/1000)*0.902</f>
        <v>38210.132055609691</v>
      </c>
      <c r="E9" s="33">
        <f>$C$29*'E Balans VL '!I10/100/3.6*1000000</f>
        <v>19.11373933208063</v>
      </c>
      <c r="F9" s="33">
        <f>$C$29*('E Balans VL '!L10+'E Balans VL '!N10)/100/3.6*1000000</f>
        <v>2918.7970496122148</v>
      </c>
      <c r="G9" s="34"/>
      <c r="H9" s="33"/>
      <c r="I9" s="33"/>
      <c r="J9" s="33">
        <f>$C$29*('E Balans VL '!D10+'E Balans VL '!E10)/100/3.6*1000000</f>
        <v>0</v>
      </c>
      <c r="K9" s="33"/>
      <c r="L9" s="33"/>
      <c r="M9" s="33"/>
      <c r="N9" s="33">
        <f>$C$29*'E Balans VL '!Y10/100/3.6*1000000</f>
        <v>184.19222796762702</v>
      </c>
      <c r="O9" s="33"/>
      <c r="P9" s="33"/>
      <c r="R9" s="32"/>
    </row>
    <row r="10" spans="1:18">
      <c r="A10" s="32" t="s">
        <v>49</v>
      </c>
      <c r="B10" s="37">
        <f t="shared" si="0"/>
        <v>12950.7632771955</v>
      </c>
      <c r="C10" s="33"/>
      <c r="D10" s="37">
        <f>IF(ISERROR(TER_ander_gas_kWh/1000),0,TER_ander_gas_kWh/1000)*0.902</f>
        <v>20357.940960774162</v>
      </c>
      <c r="E10" s="33">
        <f>$C$30*'E Balans VL '!I14/100/3.6*1000000</f>
        <v>59.558590354490555</v>
      </c>
      <c r="F10" s="33">
        <f>$C$30*('E Balans VL '!L14+'E Balans VL '!N14)/100/3.6*1000000</f>
        <v>3881.7522579648789</v>
      </c>
      <c r="G10" s="34"/>
      <c r="H10" s="33"/>
      <c r="I10" s="33"/>
      <c r="J10" s="33">
        <f>$C$30*('E Balans VL '!D14+'E Balans VL '!E14)/100/3.6*1000000</f>
        <v>0</v>
      </c>
      <c r="K10" s="33"/>
      <c r="L10" s="33"/>
      <c r="M10" s="33"/>
      <c r="N10" s="33">
        <f>$C$30*'E Balans VL '!Y14/100/3.6*1000000</f>
        <v>9014.5861307670621</v>
      </c>
      <c r="O10" s="33"/>
      <c r="P10" s="33"/>
      <c r="R10" s="32"/>
    </row>
    <row r="11" spans="1:18">
      <c r="A11" s="32" t="s">
        <v>54</v>
      </c>
      <c r="B11" s="37">
        <f t="shared" si="0"/>
        <v>3699.6877770256801</v>
      </c>
      <c r="C11" s="33"/>
      <c r="D11" s="37">
        <f>IF(ISERROR(TER_onderwijs_gas_kWh/1000),0,TER_onderwijs_gas_kWh/1000)*0.902</f>
        <v>10842.33137479112</v>
      </c>
      <c r="E11" s="33">
        <f>$C$31*'E Balans VL '!I11/100/3.6*1000000</f>
        <v>3.4319469546106833</v>
      </c>
      <c r="F11" s="33">
        <f>$C$31*('E Balans VL '!L11+'E Balans VL '!N11)/100/3.6*1000000</f>
        <v>1299.6152848589882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10197.2287759019</v>
      </c>
      <c r="C12" s="33"/>
      <c r="D12" s="37">
        <f>IF(ISERROR(TER_rest_gas_kWh/1000),0,TER_rest_gas_kWh/1000)*0.902</f>
        <v>13024.516813873915</v>
      </c>
      <c r="E12" s="33">
        <f>$C$32*'E Balans VL '!I8/100/3.6*1000000</f>
        <v>123.68731554845381</v>
      </c>
      <c r="F12" s="33">
        <f>$C$32*('E Balans VL '!L8+'E Balans VL '!N8)/100/3.6*1000000</f>
        <v>2017.8414302902884</v>
      </c>
      <c r="G12" s="34"/>
      <c r="H12" s="33"/>
      <c r="I12" s="33"/>
      <c r="J12" s="33">
        <f>$C$32*('E Balans VL '!D8+'E Balans VL '!E8)/100/3.6*1000000</f>
        <v>0</v>
      </c>
      <c r="K12" s="33"/>
      <c r="L12" s="33"/>
      <c r="M12" s="33"/>
      <c r="N12" s="33">
        <f>$C$32*'E Balans VL '!Y8/100/3.6*1000000</f>
        <v>809.45846353771833</v>
      </c>
      <c r="O12" s="33"/>
      <c r="P12" s="33"/>
      <c r="R12" s="32"/>
    </row>
    <row r="13" spans="1:18">
      <c r="A13" s="16" t="s">
        <v>484</v>
      </c>
      <c r="B13" s="245">
        <f ca="1">'lokale energieproductie'!N40+'lokale energieproductie'!N33</f>
        <v>47.25</v>
      </c>
      <c r="C13" s="245">
        <f ca="1">'lokale energieproductie'!O40+'lokale energieproductie'!O33</f>
        <v>67.5</v>
      </c>
      <c r="D13" s="305">
        <f ca="1">('lokale energieproductie'!P33+'lokale energieproductie'!P40)*(-1)</f>
        <v>-135</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128899.29327947475</v>
      </c>
      <c r="C16" s="21">
        <f t="shared" ca="1" si="1"/>
        <v>67.5</v>
      </c>
      <c r="D16" s="21">
        <f t="shared" ca="1" si="1"/>
        <v>183733.46739670003</v>
      </c>
      <c r="E16" s="21">
        <f t="shared" si="1"/>
        <v>1517.834000867028</v>
      </c>
      <c r="F16" s="21">
        <f t="shared" ca="1" si="1"/>
        <v>25212.857038831611</v>
      </c>
      <c r="G16" s="21">
        <f t="shared" si="1"/>
        <v>0</v>
      </c>
      <c r="H16" s="21">
        <f t="shared" si="1"/>
        <v>0</v>
      </c>
      <c r="I16" s="21">
        <f t="shared" si="1"/>
        <v>0</v>
      </c>
      <c r="J16" s="21">
        <f t="shared" si="1"/>
        <v>0</v>
      </c>
      <c r="K16" s="21">
        <f t="shared" si="1"/>
        <v>0</v>
      </c>
      <c r="L16" s="21">
        <f t="shared" ca="1" si="1"/>
        <v>0</v>
      </c>
      <c r="M16" s="21">
        <f t="shared" si="1"/>
        <v>0</v>
      </c>
      <c r="N16" s="21">
        <f t="shared" ca="1" si="1"/>
        <v>10161.96452710341</v>
      </c>
      <c r="O16" s="21">
        <f>O5</f>
        <v>14.070000000000002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0.20725824598823414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26715.441434226912</v>
      </c>
      <c r="C20" s="23">
        <f t="shared" ref="C20:P20" ca="1" si="2">C16*C18</f>
        <v>16.041176470588237</v>
      </c>
      <c r="D20" s="23">
        <f t="shared" ca="1" si="2"/>
        <v>37114.16041413341</v>
      </c>
      <c r="E20" s="23">
        <f t="shared" si="2"/>
        <v>344.54831819681533</v>
      </c>
      <c r="F20" s="23">
        <f t="shared" ca="1" si="2"/>
        <v>6731.8328293680406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29349.781656636802</v>
      </c>
      <c r="C26" s="39">
        <f>IF(ISERROR(B26*3.6/1000000/'E Balans VL '!Z12*100),0,B26*3.6/1000000/'E Balans VL '!Z12*100)</f>
        <v>0.62340390037888527</v>
      </c>
      <c r="D26" s="235" t="s">
        <v>672</v>
      </c>
      <c r="F26" s="6"/>
    </row>
    <row r="27" spans="1:18">
      <c r="A27" s="230" t="s">
        <v>52</v>
      </c>
      <c r="B27" s="33">
        <f>IF(ISERROR(TER_horeca_ele_kWh/1000),0,TER_horeca_ele_kWh/1000)</f>
        <v>9750.3384458601704</v>
      </c>
      <c r="C27" s="39">
        <f>IF(ISERROR(B27*3.6/1000000/'E Balans VL '!Z9*100),0,B27*3.6/1000000/'E Balans VL '!Z9*100)</f>
        <v>0.75814819449017401</v>
      </c>
      <c r="D27" s="235" t="s">
        <v>672</v>
      </c>
      <c r="F27" s="6"/>
    </row>
    <row r="28" spans="1:18">
      <c r="A28" s="170" t="s">
        <v>51</v>
      </c>
      <c r="B28" s="33">
        <f>IF(ISERROR(TER_handel_ele_kWh/1000),0,TER_handel_ele_kWh/1000)</f>
        <v>45011.8259425496</v>
      </c>
      <c r="C28" s="39">
        <f>IF(ISERROR(B28*3.6/1000000/'E Balans VL '!Z13*100),0,B28*3.6/1000000/'E Balans VL '!Z13*100)</f>
        <v>1.2878413138362581</v>
      </c>
      <c r="D28" s="235" t="s">
        <v>672</v>
      </c>
      <c r="F28" s="6"/>
    </row>
    <row r="29" spans="1:18">
      <c r="A29" s="230" t="s">
        <v>50</v>
      </c>
      <c r="B29" s="33">
        <f>IF(ISERROR(TER_gezond_ele_kWh/1000),0,TER_gezond_ele_kWh/1000)</f>
        <v>17892.417404305099</v>
      </c>
      <c r="C29" s="39">
        <f>IF(ISERROR(B29*3.6/1000000/'E Balans VL '!Z10*100),0,B29*3.6/1000000/'E Balans VL '!Z10*100)</f>
        <v>1.950689266985687</v>
      </c>
      <c r="D29" s="235" t="s">
        <v>672</v>
      </c>
      <c r="F29" s="6"/>
    </row>
    <row r="30" spans="1:18">
      <c r="A30" s="230" t="s">
        <v>49</v>
      </c>
      <c r="B30" s="33">
        <f>IF(ISERROR(TER_ander_ele_kWh/1000),0,TER_ander_ele_kWh/1000)</f>
        <v>12950.7632771955</v>
      </c>
      <c r="C30" s="39">
        <f>IF(ISERROR(B30*3.6/1000000/'E Balans VL '!Z14*100),0,B30*3.6/1000000/'E Balans VL '!Z14*100)</f>
        <v>0.94770747851509363</v>
      </c>
      <c r="D30" s="235" t="s">
        <v>672</v>
      </c>
      <c r="F30" s="6"/>
    </row>
    <row r="31" spans="1:18">
      <c r="A31" s="230" t="s">
        <v>54</v>
      </c>
      <c r="B31" s="33">
        <f>IF(ISERROR(TER_onderwijs_ele_kWh/1000),0,TER_onderwijs_ele_kWh/1000)</f>
        <v>3699.6877770256801</v>
      </c>
      <c r="C31" s="39">
        <f>IF(ISERROR(B31*3.6/1000000/'E Balans VL '!Z11*100),0,B31*3.6/1000000/'E Balans VL '!Z11*100)</f>
        <v>0.74308503732799414</v>
      </c>
      <c r="D31" s="235" t="s">
        <v>672</v>
      </c>
    </row>
    <row r="32" spans="1:18">
      <c r="A32" s="230" t="s">
        <v>249</v>
      </c>
      <c r="B32" s="33">
        <f>IF(ISERROR(TER_rest_ele_kWh/1000),0,TER_rest_ele_kWh/1000)</f>
        <v>10197.2287759019</v>
      </c>
      <c r="C32" s="39">
        <f>IF(ISERROR(B32*3.6/1000000/'E Balans VL '!Z8*100),0,B32*3.6/1000000/'E Balans VL '!Z8*100)</f>
        <v>8.3101226139883175E-2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9</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69245.820512670776</v>
      </c>
      <c r="C5" s="17">
        <f>IF(ISERROR('Eigen informatie GS &amp; warmtenet'!B59),0,'Eigen informatie GS &amp; warmtenet'!B59)</f>
        <v>0</v>
      </c>
      <c r="D5" s="30">
        <f>SUM(D6:D15)</f>
        <v>64900.122625056145</v>
      </c>
      <c r="E5" s="17">
        <f>SUM(E6:E15)</f>
        <v>4797.1807563446237</v>
      </c>
      <c r="F5" s="17">
        <f>SUM(F6:F15)</f>
        <v>35165.894169080595</v>
      </c>
      <c r="G5" s="18"/>
      <c r="H5" s="17"/>
      <c r="I5" s="17"/>
      <c r="J5" s="17">
        <f>SUM(J6:J15)</f>
        <v>75.837639453948796</v>
      </c>
      <c r="K5" s="17"/>
      <c r="L5" s="17"/>
      <c r="M5" s="17"/>
      <c r="N5" s="17">
        <f>SUM(N6:N15)</f>
        <v>6759.1011817045073</v>
      </c>
      <c r="O5" s="17">
        <f>B43*B44*B45</f>
        <v>0</v>
      </c>
      <c r="P5" s="17">
        <f>B51*B52*B53/1000-B51*B52*B53/1000/B54</f>
        <v>0</v>
      </c>
      <c r="R5" s="32"/>
    </row>
    <row r="6" spans="1:18">
      <c r="A6" s="6" t="s">
        <v>34</v>
      </c>
      <c r="B6" s="37">
        <f>IF( ISERROR(IND_ijzer_ele_kWh/1000),0,IND_ijzer_ele_kWh/1000)</f>
        <v>18.476106343950399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11810.6108981164</v>
      </c>
      <c r="C8" s="33"/>
      <c r="D8" s="37">
        <f>IF( ISERROR(IND_metaal_Gas_kWH/1000),0,IND_metaal_Gas_kWH/1000)*0.902</f>
        <v>9408.9912920114275</v>
      </c>
      <c r="E8" s="33">
        <f>C30*'E Balans VL '!I18/100/3.6*1000000</f>
        <v>339.2450765886785</v>
      </c>
      <c r="F8" s="33">
        <f>C30*'E Balans VL '!L18/100/3.6*1000000+C30*'E Balans VL '!N18/100/3.6*1000000</f>
        <v>3029.1945446751683</v>
      </c>
      <c r="G8" s="34"/>
      <c r="H8" s="33"/>
      <c r="I8" s="33"/>
      <c r="J8" s="40">
        <f>C30*'E Balans VL '!D18/100/3.6*1000000+C30*'E Balans VL '!E18/100/3.6*1000000</f>
        <v>0</v>
      </c>
      <c r="K8" s="33"/>
      <c r="L8" s="33"/>
      <c r="M8" s="33"/>
      <c r="N8" s="33">
        <f>C30*'E Balans VL '!Y18/100/3.6*1000000</f>
        <v>320.68219475639347</v>
      </c>
      <c r="O8" s="33"/>
      <c r="P8" s="33"/>
      <c r="R8" s="32"/>
    </row>
    <row r="9" spans="1:18">
      <c r="A9" s="6" t="s">
        <v>32</v>
      </c>
      <c r="B9" s="37">
        <f t="shared" si="0"/>
        <v>6167.8225866937501</v>
      </c>
      <c r="C9" s="33"/>
      <c r="D9" s="37">
        <f>IF( ISERROR(IND_andere_gas_kWh/1000),0,IND_andere_gas_kWh/1000)*0.902</f>
        <v>7440.7923149747285</v>
      </c>
      <c r="E9" s="33">
        <f>C31*'E Balans VL '!I19/100/3.6*1000000</f>
        <v>1669.4779257145969</v>
      </c>
      <c r="F9" s="33">
        <f>C31*'E Balans VL '!L19/100/3.6*1000000+C31*'E Balans VL '!N19/100/3.6*1000000</f>
        <v>4108.4225347086995</v>
      </c>
      <c r="G9" s="34"/>
      <c r="H9" s="33"/>
      <c r="I9" s="33"/>
      <c r="J9" s="40">
        <f>C31*'E Balans VL '!D19/100/3.6*1000000+C31*'E Balans VL '!E19/100/3.6*1000000</f>
        <v>0</v>
      </c>
      <c r="K9" s="33"/>
      <c r="L9" s="33"/>
      <c r="M9" s="33"/>
      <c r="N9" s="33">
        <f>C31*'E Balans VL '!Y19/100/3.6*1000000</f>
        <v>521.44854254595305</v>
      </c>
      <c r="O9" s="33"/>
      <c r="P9" s="33"/>
      <c r="R9" s="32"/>
    </row>
    <row r="10" spans="1:18">
      <c r="A10" s="6" t="s">
        <v>40</v>
      </c>
      <c r="B10" s="37">
        <f t="shared" si="0"/>
        <v>13937.7565652373</v>
      </c>
      <c r="C10" s="33"/>
      <c r="D10" s="37">
        <f>IF( ISERROR(IND_voed_gas_kWh/1000),0,IND_voed_gas_kWh/1000)*0.902</f>
        <v>7634.7283014157447</v>
      </c>
      <c r="E10" s="33">
        <f>C32*'E Balans VL '!I20/100/3.6*1000000</f>
        <v>1136.7954466232288</v>
      </c>
      <c r="F10" s="33">
        <f>C32*'E Balans VL '!L20/100/3.6*1000000+C32*'E Balans VL '!N20/100/3.6*1000000</f>
        <v>20782.459582845397</v>
      </c>
      <c r="G10" s="34"/>
      <c r="H10" s="33"/>
      <c r="I10" s="33"/>
      <c r="J10" s="40">
        <f>C32*'E Balans VL '!D20/100/3.6*1000000+C32*'E Balans VL '!E20/100/3.6*1000000</f>
        <v>0.1843796011912017</v>
      </c>
      <c r="K10" s="33"/>
      <c r="L10" s="33"/>
      <c r="M10" s="33"/>
      <c r="N10" s="33">
        <f>C32*'E Balans VL '!Y20/100/3.6*1000000</f>
        <v>4094.4210684683931</v>
      </c>
      <c r="O10" s="33"/>
      <c r="P10" s="33"/>
      <c r="R10" s="32"/>
    </row>
    <row r="11" spans="1:18">
      <c r="A11" s="6" t="s">
        <v>39</v>
      </c>
      <c r="B11" s="37">
        <f t="shared" si="0"/>
        <v>3612.6136541108799</v>
      </c>
      <c r="C11" s="33"/>
      <c r="D11" s="37">
        <f>IF( ISERROR(IND_textiel_gas_kWh/1000),0,IND_textiel_gas_kWh/1000)*0.902</f>
        <v>7765.6424097021418</v>
      </c>
      <c r="E11" s="33">
        <f>C33*'E Balans VL '!I21/100/3.6*1000000</f>
        <v>0.71609393927156695</v>
      </c>
      <c r="F11" s="33">
        <f>C33*'E Balans VL '!L21/100/3.6*1000000+C33*'E Balans VL '!N21/100/3.6*1000000</f>
        <v>133.05691951319153</v>
      </c>
      <c r="G11" s="34"/>
      <c r="H11" s="33"/>
      <c r="I11" s="33"/>
      <c r="J11" s="40">
        <f>C33*'E Balans VL '!D21/100/3.6*1000000+C33*'E Balans VL '!E21/100/3.6*1000000</f>
        <v>0</v>
      </c>
      <c r="K11" s="33"/>
      <c r="L11" s="33"/>
      <c r="M11" s="33"/>
      <c r="N11" s="33">
        <f>C33*'E Balans VL '!Y21/100/3.6*1000000</f>
        <v>16.797741516753472</v>
      </c>
      <c r="O11" s="33"/>
      <c r="P11" s="33"/>
      <c r="R11" s="32"/>
    </row>
    <row r="12" spans="1:18">
      <c r="A12" s="6" t="s">
        <v>36</v>
      </c>
      <c r="B12" s="37">
        <f t="shared" si="0"/>
        <v>264.67001680437204</v>
      </c>
      <c r="C12" s="33"/>
      <c r="D12" s="37">
        <f>IF( ISERROR(IND_min_gas_kWh/1000),0,IND_min_gas_kWh/1000)*0.902</f>
        <v>0</v>
      </c>
      <c r="E12" s="33">
        <f>C34*'E Balans VL '!I22/100/3.6*1000000</f>
        <v>2.0617217617641148</v>
      </c>
      <c r="F12" s="33">
        <f>C34*'E Balans VL '!L22/100/3.6*1000000+C34*'E Balans VL '!N22/100/3.6*1000000</f>
        <v>99.817265869323109</v>
      </c>
      <c r="G12" s="34"/>
      <c r="H12" s="33"/>
      <c r="I12" s="33"/>
      <c r="J12" s="40">
        <f>C34*'E Balans VL '!D22/100/3.6*1000000+C34*'E Balans VL '!E22/100/3.6*1000000</f>
        <v>1.4556619515496729</v>
      </c>
      <c r="K12" s="33"/>
      <c r="L12" s="33"/>
      <c r="M12" s="33"/>
      <c r="N12" s="33">
        <f>C34*'E Balans VL '!Y22/100/3.6*1000000</f>
        <v>0</v>
      </c>
      <c r="O12" s="33"/>
      <c r="P12" s="33"/>
      <c r="R12" s="32"/>
    </row>
    <row r="13" spans="1:18">
      <c r="A13" s="6" t="s">
        <v>38</v>
      </c>
      <c r="B13" s="37">
        <f t="shared" si="0"/>
        <v>2205.7263627236803</v>
      </c>
      <c r="C13" s="33"/>
      <c r="D13" s="37">
        <f>IF( ISERROR(IND_papier_gas_kWh/1000),0,IND_papier_gas_kWh/1000)*0.902</f>
        <v>1798.5150033808477</v>
      </c>
      <c r="E13" s="33">
        <f>C35*'E Balans VL '!I23/100/3.6*1000000</f>
        <v>23.109001992563822</v>
      </c>
      <c r="F13" s="33">
        <f>C35*'E Balans VL '!L23/100/3.6*1000000+C35*'E Balans VL '!N23/100/3.6*1000000</f>
        <v>164.59169214268869</v>
      </c>
      <c r="G13" s="34"/>
      <c r="H13" s="33"/>
      <c r="I13" s="33"/>
      <c r="J13" s="40">
        <f>C35*'E Balans VL '!D23/100/3.6*1000000+C35*'E Balans VL '!E23/100/3.6*1000000</f>
        <v>0</v>
      </c>
      <c r="K13" s="33"/>
      <c r="L13" s="33"/>
      <c r="M13" s="33"/>
      <c r="N13" s="33">
        <f>C35*'E Balans VL '!Y23/100/3.6*1000000</f>
        <v>406.90882064514108</v>
      </c>
      <c r="O13" s="33"/>
      <c r="P13" s="33"/>
      <c r="R13" s="32"/>
    </row>
    <row r="14" spans="1:18">
      <c r="A14" s="6" t="s">
        <v>33</v>
      </c>
      <c r="B14" s="37">
        <f t="shared" si="0"/>
        <v>2279.3431442229303</v>
      </c>
      <c r="C14" s="33"/>
      <c r="D14" s="37">
        <f>IF( ISERROR(IND_chemie_gas_kWh/1000),0,IND_chemie_gas_kWh/1000)*0.902</f>
        <v>3935.5416649814838</v>
      </c>
      <c r="E14" s="33">
        <f>C36*'E Balans VL '!I24/100/3.6*1000000</f>
        <v>10.774990301413078</v>
      </c>
      <c r="F14" s="33">
        <f>C36*'E Balans VL '!L24/100/3.6*1000000+C36*'E Balans VL '!N24/100/3.6*1000000</f>
        <v>43.078361963184079</v>
      </c>
      <c r="G14" s="34"/>
      <c r="H14" s="33"/>
      <c r="I14" s="33"/>
      <c r="J14" s="40">
        <f>C36*'E Balans VL '!D24/100/3.6*1000000+C36*'E Balans VL '!E24/100/3.6*1000000</f>
        <v>0</v>
      </c>
      <c r="K14" s="33"/>
      <c r="L14" s="33"/>
      <c r="M14" s="33"/>
      <c r="N14" s="33">
        <f>C36*'E Balans VL '!Y24/100/3.6*1000000</f>
        <v>55.334740452860892</v>
      </c>
      <c r="O14" s="33"/>
      <c r="P14" s="33"/>
      <c r="R14" s="32"/>
    </row>
    <row r="15" spans="1:18">
      <c r="A15" s="6" t="s">
        <v>259</v>
      </c>
      <c r="B15" s="37">
        <f t="shared" si="0"/>
        <v>28948.8011784175</v>
      </c>
      <c r="C15" s="33"/>
      <c r="D15" s="37">
        <f>IF( ISERROR(IND_rest_gas_kWh/1000),0,IND_rest_gas_kWh/1000)*0.902</f>
        <v>26915.911638589772</v>
      </c>
      <c r="E15" s="33">
        <f>C37*'E Balans VL '!I15/100/3.6*1000000</f>
        <v>1615.0004994231062</v>
      </c>
      <c r="F15" s="33">
        <f>C37*'E Balans VL '!L15/100/3.6*1000000+C37*'E Balans VL '!N15/100/3.6*1000000</f>
        <v>6805.2732673629434</v>
      </c>
      <c r="G15" s="34"/>
      <c r="H15" s="33"/>
      <c r="I15" s="33"/>
      <c r="J15" s="40">
        <f>C37*'E Balans VL '!D15/100/3.6*1000000+C37*'E Balans VL '!E15/100/3.6*1000000</f>
        <v>74.197597901207928</v>
      </c>
      <c r="K15" s="33"/>
      <c r="L15" s="33"/>
      <c r="M15" s="33"/>
      <c r="N15" s="33">
        <f>C37*'E Balans VL '!Y15/100/3.6*1000000</f>
        <v>1343.5080733190118</v>
      </c>
      <c r="O15" s="33"/>
      <c r="P15" s="33"/>
      <c r="R15" s="32"/>
    </row>
    <row r="16" spans="1:18">
      <c r="A16" s="16" t="s">
        <v>484</v>
      </c>
      <c r="B16" s="245">
        <f>'lokale energieproductie'!N39+'lokale energieproductie'!N32</f>
        <v>536.25</v>
      </c>
      <c r="C16" s="245">
        <f>'lokale energieproductie'!O39+'lokale energieproductie'!O32</f>
        <v>766.07142857142856</v>
      </c>
      <c r="D16" s="305">
        <f>('lokale energieproductie'!P32+'lokale energieproductie'!P39)*(-1)</f>
        <v>-1532.1428571428573</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69782.070512670776</v>
      </c>
      <c r="C18" s="21">
        <f>C5+C16</f>
        <v>766.07142857142856</v>
      </c>
      <c r="D18" s="21">
        <f>MAX((D5+D16),0)</f>
        <v>63367.97976791329</v>
      </c>
      <c r="E18" s="21">
        <f>MAX((E5+E16),0)</f>
        <v>4797.1807563446237</v>
      </c>
      <c r="F18" s="21">
        <f>MAX((F5+F16),0)</f>
        <v>35165.894169080595</v>
      </c>
      <c r="G18" s="21"/>
      <c r="H18" s="21"/>
      <c r="I18" s="21"/>
      <c r="J18" s="21">
        <f>MAX((J5+J16),0)</f>
        <v>75.837639453948796</v>
      </c>
      <c r="K18" s="21"/>
      <c r="L18" s="21">
        <f>MAX((L5+L16),0)</f>
        <v>0</v>
      </c>
      <c r="M18" s="21"/>
      <c r="N18" s="21">
        <f>MAX((N5+N16),0)</f>
        <v>6759.1011817045073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0.20725824598823414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14462.90953588342</v>
      </c>
      <c r="C22" s="23">
        <f ca="1">C18*C20</f>
        <v>182.05462184873954</v>
      </c>
      <c r="D22" s="23">
        <f>D18*D20</f>
        <v>12800.331913118485</v>
      </c>
      <c r="E22" s="23">
        <f>E18*E20</f>
        <v>1088.9600316902297</v>
      </c>
      <c r="F22" s="23">
        <f>F18*F20</f>
        <v>9389.2937431445189</v>
      </c>
      <c r="G22" s="23"/>
      <c r="H22" s="23"/>
      <c r="I22" s="23"/>
      <c r="J22" s="23">
        <f>J18*J20</f>
        <v>26.846524366697871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11810.6108981164</v>
      </c>
      <c r="C30" s="39">
        <f>IF(ISERROR(B30*3.6/1000000/'E Balans VL '!Z18*100),0,B30*3.6/1000000/'E Balans VL '!Z18*100)</f>
        <v>1.1621339630966845</v>
      </c>
      <c r="D30" s="235" t="s">
        <v>672</v>
      </c>
    </row>
    <row r="31" spans="1:18">
      <c r="A31" s="6" t="s">
        <v>32</v>
      </c>
      <c r="B31" s="37">
        <f>IF( ISERROR(IND_ander_ele_kWh/1000),0,IND_ander_ele_kWh/1000)</f>
        <v>6167.8225866937501</v>
      </c>
      <c r="C31" s="39">
        <f>IF(ISERROR(B31*3.6/1000000/'E Balans VL '!Z19*100),0,B31*3.6/1000000/'E Balans VL '!Z19*100)</f>
        <v>0.26860375362690087</v>
      </c>
      <c r="D31" s="235" t="s">
        <v>672</v>
      </c>
    </row>
    <row r="32" spans="1:18">
      <c r="A32" s="170" t="s">
        <v>40</v>
      </c>
      <c r="B32" s="37">
        <f>IF( ISERROR(IND_voed_ele_kWh/1000),0,IND_voed_ele_kWh/1000)</f>
        <v>13937.7565652373</v>
      </c>
      <c r="C32" s="39">
        <f>IF(ISERROR(B32*3.6/1000000/'E Balans VL '!Z20*100),0,B32*3.6/1000000/'E Balans VL '!Z20*100)</f>
        <v>2.6444883039374498</v>
      </c>
      <c r="D32" s="235" t="s">
        <v>672</v>
      </c>
    </row>
    <row r="33" spans="1:5">
      <c r="A33" s="170" t="s">
        <v>39</v>
      </c>
      <c r="B33" s="37">
        <f>IF( ISERROR(IND_textiel_ele_kWh/1000),0,IND_textiel_ele_kWh/1000)</f>
        <v>3612.6136541108799</v>
      </c>
      <c r="C33" s="39">
        <f>IF(ISERROR(B33*3.6/1000000/'E Balans VL '!Z21*100),0,B33*3.6/1000000/'E Balans VL '!Z21*100)</f>
        <v>0.20626191916335526</v>
      </c>
      <c r="D33" s="235" t="s">
        <v>672</v>
      </c>
    </row>
    <row r="34" spans="1:5">
      <c r="A34" s="170" t="s">
        <v>36</v>
      </c>
      <c r="B34" s="37">
        <f>IF( ISERROR(IND_min_ele_kWh/1000),0,IND_min_ele_kWh/1000)</f>
        <v>264.67001680437204</v>
      </c>
      <c r="C34" s="39">
        <f>IF(ISERROR(B34*3.6/1000000/'E Balans VL '!Z22*100),0,B34*3.6/1000000/'E Balans VL '!Z22*100)</f>
        <v>3.7215262096162889E-2</v>
      </c>
      <c r="D34" s="235" t="s">
        <v>672</v>
      </c>
    </row>
    <row r="35" spans="1:5">
      <c r="A35" s="170" t="s">
        <v>38</v>
      </c>
      <c r="B35" s="37">
        <f>IF( ISERROR(IND_papier_ele_kWh/1000),0,IND_papier_ele_kWh/1000)</f>
        <v>2205.7263627236803</v>
      </c>
      <c r="C35" s="39">
        <f>IF(ISERROR(B35*3.6/1000000/'E Balans VL '!Z22*100),0,B35*3.6/1000000/'E Balans VL '!Z22*100)</f>
        <v>0.31014727581270107</v>
      </c>
      <c r="D35" s="235" t="s">
        <v>672</v>
      </c>
    </row>
    <row r="36" spans="1:5">
      <c r="A36" s="170" t="s">
        <v>33</v>
      </c>
      <c r="B36" s="37">
        <f>IF( ISERROR(IND_chemie_ele_kWh/1000),0,IND_chemie_ele_kWh/1000)</f>
        <v>2279.3431442229303</v>
      </c>
      <c r="C36" s="39">
        <f>IF(ISERROR(B36*3.6/1000000/'E Balans VL '!Z24*100),0,B36*3.6/1000000/'E Balans VL '!Z24*100)</f>
        <v>6.6426794550433418E-2</v>
      </c>
      <c r="D36" s="235" t="s">
        <v>672</v>
      </c>
    </row>
    <row r="37" spans="1:5">
      <c r="A37" s="170" t="s">
        <v>259</v>
      </c>
      <c r="B37" s="37">
        <f>IF( ISERROR(IND_rest_ele_kWh/1000),0,IND_rest_ele_kWh/1000)</f>
        <v>28948.8011784175</v>
      </c>
      <c r="C37" s="39">
        <f>IF(ISERROR(B37*3.6/1000000/'E Balans VL '!Z15*100),0,B37*3.6/1000000/'E Balans VL '!Z15*100)</f>
        <v>0.22308606953675472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3989.8115351921078</v>
      </c>
      <c r="C5" s="17">
        <f>'Eigen informatie GS &amp; warmtenet'!B60</f>
        <v>0</v>
      </c>
      <c r="D5" s="30">
        <f>IF(ISERROR(SUM(LB_lb_gas_kWh,LB_rest_gas_kWh)/1000),0,SUM(LB_lb_gas_kWh,LB_rest_gas_kWh)/1000)*0.902</f>
        <v>2297.6625138505551</v>
      </c>
      <c r="E5" s="17">
        <f>B17*'E Balans VL '!I25/3.6*1000000/100</f>
        <v>50.276765265729843</v>
      </c>
      <c r="F5" s="17">
        <f>B17*('E Balans VL '!L25/3.6*1000000+'E Balans VL '!N25/3.6*1000000)/100</f>
        <v>13765.849303925361</v>
      </c>
      <c r="G5" s="18"/>
      <c r="H5" s="17"/>
      <c r="I5" s="17"/>
      <c r="J5" s="17">
        <f>('E Balans VL '!D25+'E Balans VL '!E25)/3.6*1000000*landbouw!B17/100</f>
        <v>600.02230031607303</v>
      </c>
      <c r="K5" s="17"/>
      <c r="L5" s="17">
        <f>L6*(-1)</f>
        <v>0</v>
      </c>
      <c r="M5" s="17"/>
      <c r="N5" s="17">
        <f>N6*(-1)</f>
        <v>0</v>
      </c>
      <c r="O5" s="17"/>
      <c r="P5" s="17"/>
      <c r="R5" s="32"/>
    </row>
    <row r="6" spans="1:18">
      <c r="A6" s="16" t="s">
        <v>484</v>
      </c>
      <c r="B6" s="17" t="s">
        <v>204</v>
      </c>
      <c r="C6" s="17">
        <f>'lokale energieproductie'!O41+'lokale energieproductie'!O34</f>
        <v>0</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3989.8115351921078</v>
      </c>
      <c r="C8" s="21">
        <f>C5+C6</f>
        <v>0</v>
      </c>
      <c r="D8" s="21">
        <f>MAX((D5+D6),0)</f>
        <v>2297.6625138505551</v>
      </c>
      <c r="E8" s="21">
        <f>MAX((E5+E6),0)</f>
        <v>50.276765265729843</v>
      </c>
      <c r="F8" s="21">
        <f>MAX((F5+F6),0)</f>
        <v>13765.849303925361</v>
      </c>
      <c r="G8" s="21"/>
      <c r="H8" s="21"/>
      <c r="I8" s="21"/>
      <c r="J8" s="21">
        <f>MAX((J5+J6),0)</f>
        <v>600.02230031607303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0.20725824598823414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826.92134060753995</v>
      </c>
      <c r="C12" s="23">
        <f ca="1">C8*C10</f>
        <v>0</v>
      </c>
      <c r="D12" s="23">
        <f>D8*D10</f>
        <v>464.12782779781219</v>
      </c>
      <c r="E12" s="23">
        <f>E8*E10</f>
        <v>11.412825715320675</v>
      </c>
      <c r="F12" s="23">
        <f>F8*F10</f>
        <v>3675.4817641480718</v>
      </c>
      <c r="G12" s="23"/>
      <c r="H12" s="23"/>
      <c r="I12" s="23"/>
      <c r="J12" s="23">
        <f>J8*J10</f>
        <v>212.40789431188983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0.55645295759912261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581.66337714302847</v>
      </c>
      <c r="C26" s="245">
        <f>B26*'GWP N2O_CH4'!B5</f>
        <v>12214.930920003599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311.98596767542813</v>
      </c>
      <c r="C27" s="245">
        <f>B27*'GWP N2O_CH4'!B5</f>
        <v>6551.7053211839902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8.9083109995161465</v>
      </c>
      <c r="C28" s="245">
        <f>B28*'GWP N2O_CH4'!B4</f>
        <v>2761.5764098500053</v>
      </c>
      <c r="D28" s="50"/>
    </row>
    <row r="29" spans="1:4">
      <c r="A29" s="41" t="s">
        <v>266</v>
      </c>
      <c r="B29" s="245">
        <f>B34*'ha_N2O bodem landbouw'!B4</f>
        <v>22.748347650536147</v>
      </c>
      <c r="C29" s="245">
        <f>B29*'GWP N2O_CH4'!B4</f>
        <v>7051.9877716662058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5.680035100504942E-3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1.2741194106360396E-4</v>
      </c>
      <c r="C5" s="434" t="s">
        <v>204</v>
      </c>
      <c r="D5" s="419">
        <f>SUM(D6:D11)</f>
        <v>1.3119181893308545E-4</v>
      </c>
      <c r="E5" s="419">
        <f>SUM(E6:E11)</f>
        <v>4.8566180197906431E-3</v>
      </c>
      <c r="F5" s="432" t="s">
        <v>204</v>
      </c>
      <c r="G5" s="419">
        <f>SUM(G6:G11)</f>
        <v>1.4873980044451254</v>
      </c>
      <c r="H5" s="419">
        <f>SUM(H6:H11)</f>
        <v>0.22521125843403464</v>
      </c>
      <c r="I5" s="434" t="s">
        <v>204</v>
      </c>
      <c r="J5" s="434" t="s">
        <v>204</v>
      </c>
      <c r="K5" s="434" t="s">
        <v>204</v>
      </c>
      <c r="L5" s="434" t="s">
        <v>204</v>
      </c>
      <c r="M5" s="419">
        <f>SUM(M6:M11)</f>
        <v>7.7423611410830762E-2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4.2981065669101857E-5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3.8291028999447764E-5</v>
      </c>
      <c r="E6" s="873">
        <f>vkm_GW_PW*SUMIFS(TableVerdeelsleutelVkm[LPG],TableVerdeelsleutelVkm[Voertuigtype],"Lichte voertuigen")*SUMIFS(TableECFTransport[EnergieConsumptieFactor (PJ per km)],TableECFTransport[Index],CONCATENATE($A6,"_LPG_LPG"))</f>
        <v>1.3781834751427806E-3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0.27013140101938515</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6.6224976315574613E-2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1.5215607344298528E-2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1.131596530202562E-6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0.17707900052115449</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4.0364683069299857E-6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7.9953897221334159E-3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4.4942573744221293E-5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6.3129378646193825E-5</v>
      </c>
      <c r="E8" s="422">
        <f>vkm_NGW_PW*SUMIFS(TableVerdeelsleutelVkm[LPG],TableVerdeelsleutelVkm[Voertuigtype],"Lichte voertuigen")*SUMIFS(TableECFTransport[EnergieConsumptieFactor (PJ per km)],TableECFTransport[Index],CONCATENATE($A8,"_LPG_LPG"))</f>
        <v>2.1624467764022656E-3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0.39814629587785488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0.10481150782180866</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2.2754612213462002E-2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6.0788748470498653E-7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0.12219085612335454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2.6172763940002889E-6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5.5170977691323744E-3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3.586564181014249E-5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2.9771411287443861E-5</v>
      </c>
      <c r="E10" s="422">
        <f>vkm_SW_PW*SUMIFS(TableVerdeelsleutelVkm[LPG],TableVerdeelsleutelVkm[Voertuigtype],"Lichte voertuigen")*SUMIFS(TableECFTransport[EnergieConsumptieFactor (PJ per km)],TableECFTransport[Index],CONCATENATE($A10,"_LPG_LPG"))</f>
        <v>1.3159877682455965E-3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0.23907196921306614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5.4161206522111087E-2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1.3263299860550195E-2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1.8831758252307681E-6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0.28077848169031011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6.9140298393411532E-6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1.2677604501254243E-2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35.392205851001101</v>
      </c>
      <c r="C14" s="21"/>
      <c r="D14" s="21">
        <f t="shared" ref="D14:M14" si="0">((D5)*10^9/3600)+D12</f>
        <v>36.442171925857068</v>
      </c>
      <c r="E14" s="21">
        <f t="shared" si="0"/>
        <v>1349.0605610529565</v>
      </c>
      <c r="F14" s="21"/>
      <c r="G14" s="21">
        <f t="shared" si="0"/>
        <v>413166.11234586814</v>
      </c>
      <c r="H14" s="21">
        <f t="shared" si="0"/>
        <v>62558.682898342959</v>
      </c>
      <c r="I14" s="21"/>
      <c r="J14" s="21"/>
      <c r="K14" s="21"/>
      <c r="L14" s="21"/>
      <c r="M14" s="21">
        <f t="shared" si="0"/>
        <v>21506.558725230767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0.20725824598823414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7.335326506333006</v>
      </c>
      <c r="C18" s="23"/>
      <c r="D18" s="23">
        <f t="shared" ref="D18:M18" si="1">D14*D16</f>
        <v>7.3613187290231279</v>
      </c>
      <c r="E18" s="23">
        <f t="shared" si="1"/>
        <v>306.23674735902114</v>
      </c>
      <c r="F18" s="23"/>
      <c r="G18" s="23">
        <f t="shared" si="1"/>
        <v>110315.3519963468</v>
      </c>
      <c r="H18" s="23">
        <f t="shared" si="1"/>
        <v>15577.112041687396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1.8436469031058957E-4</v>
      </c>
      <c r="C50" s="316">
        <f t="shared" ref="C50:P50" si="2">SUM(C51:C52)</f>
        <v>0</v>
      </c>
      <c r="D50" s="316">
        <f t="shared" si="2"/>
        <v>0</v>
      </c>
      <c r="E50" s="316">
        <f t="shared" si="2"/>
        <v>0</v>
      </c>
      <c r="F50" s="316">
        <f t="shared" si="2"/>
        <v>0</v>
      </c>
      <c r="G50" s="316">
        <f t="shared" si="2"/>
        <v>3.5885542892210548E-2</v>
      </c>
      <c r="H50" s="316">
        <f t="shared" si="2"/>
        <v>0</v>
      </c>
      <c r="I50" s="316">
        <f t="shared" si="2"/>
        <v>0</v>
      </c>
      <c r="J50" s="316">
        <f t="shared" si="2"/>
        <v>0</v>
      </c>
      <c r="K50" s="316">
        <f t="shared" si="2"/>
        <v>0</v>
      </c>
      <c r="L50" s="316">
        <f t="shared" si="2"/>
        <v>0</v>
      </c>
      <c r="M50" s="316">
        <f t="shared" si="2"/>
        <v>1.6091378961135621E-3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1.8436469031058957E-4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3.5885542892210548E-2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1.6091378961135621E-3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51.21241397516377</v>
      </c>
      <c r="C54" s="21">
        <f t="shared" ref="C54:P54" si="3">(C50)*10^9/3600</f>
        <v>0</v>
      </c>
      <c r="D54" s="21">
        <f t="shared" si="3"/>
        <v>0</v>
      </c>
      <c r="E54" s="21">
        <f t="shared" si="3"/>
        <v>0</v>
      </c>
      <c r="F54" s="21">
        <f t="shared" si="3"/>
        <v>0</v>
      </c>
      <c r="G54" s="21">
        <f t="shared" si="3"/>
        <v>9968.2063589473746</v>
      </c>
      <c r="H54" s="21">
        <f t="shared" si="3"/>
        <v>0</v>
      </c>
      <c r="I54" s="21">
        <f t="shared" si="3"/>
        <v>0</v>
      </c>
      <c r="J54" s="21">
        <f t="shared" si="3"/>
        <v>0</v>
      </c>
      <c r="K54" s="21">
        <f t="shared" si="3"/>
        <v>0</v>
      </c>
      <c r="L54" s="21">
        <f t="shared" si="3"/>
        <v>0</v>
      </c>
      <c r="M54" s="21">
        <f t="shared" si="3"/>
        <v>446.98274892043395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0.20725824598823414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10.614195093315772</v>
      </c>
      <c r="C58" s="23">
        <f t="shared" ref="C58:P58" ca="1" si="4">C54*C56</f>
        <v>0</v>
      </c>
      <c r="D58" s="23">
        <f t="shared" si="4"/>
        <v>0</v>
      </c>
      <c r="E58" s="23">
        <f t="shared" si="4"/>
        <v>0</v>
      </c>
      <c r="F58" s="23">
        <f t="shared" si="4"/>
        <v>0</v>
      </c>
      <c r="G58" s="23">
        <f t="shared" si="4"/>
        <v>2661.5110978389494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20600.393973920385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583.5</v>
      </c>
      <c r="C8" s="546">
        <f>B50</f>
        <v>686.47058823529426</v>
      </c>
      <c r="D8" s="1001"/>
      <c r="E8" s="1001">
        <f>E50</f>
        <v>0</v>
      </c>
      <c r="F8" s="1002"/>
      <c r="G8" s="547"/>
      <c r="H8" s="1001">
        <f>I50</f>
        <v>0</v>
      </c>
      <c r="I8" s="1001">
        <f>G50+F50</f>
        <v>0</v>
      </c>
      <c r="J8" s="1001">
        <f>H50+D50+C50</f>
        <v>0</v>
      </c>
      <c r="K8" s="1001"/>
      <c r="L8" s="1001"/>
      <c r="M8" s="1001"/>
      <c r="N8" s="548"/>
      <c r="O8" s="549">
        <f>C8*$C$12+D8*$D$12+E8*$E$12+F8*$F$12+G8*$G$12+H8*$H$12+I8*$I$12+J8*$J$12</f>
        <v>138.66705882352946</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21183.893973920385</v>
      </c>
      <c r="C10" s="559">
        <f t="shared" ref="C10:L10" si="0">SUM(C8:C9)</f>
        <v>686.47058823529426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138.66705882352946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833.57142857142856</v>
      </c>
      <c r="C17" s="571">
        <f>B51</f>
        <v>980.67226890756319</v>
      </c>
      <c r="D17" s="572"/>
      <c r="E17" s="572">
        <f>E51</f>
        <v>0</v>
      </c>
      <c r="F17" s="1007"/>
      <c r="G17" s="573"/>
      <c r="H17" s="571">
        <f>I51</f>
        <v>0</v>
      </c>
      <c r="I17" s="572">
        <f>G51+F51</f>
        <v>0</v>
      </c>
      <c r="J17" s="572">
        <f>H51+D51+C51</f>
        <v>0</v>
      </c>
      <c r="K17" s="572"/>
      <c r="L17" s="572"/>
      <c r="M17" s="572"/>
      <c r="N17" s="1008"/>
      <c r="O17" s="574">
        <f>C17*$C$22+E17*$E$22+H17*$H$22+I17*$I$22+J17*$J$22+D17*$D$22+F17*$F$22+G17*$G$22+K17*$K$22+L17*$L$22</f>
        <v>198.09579831932777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833.57142857142856</v>
      </c>
      <c r="C20" s="558">
        <f>SUM(C17:C19)</f>
        <v>980.67226890756319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198.09579831932777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46021</v>
      </c>
      <c r="C28" s="777">
        <v>9100</v>
      </c>
      <c r="D28" s="630"/>
      <c r="E28" s="629"/>
      <c r="F28" s="629"/>
      <c r="G28" s="629" t="s">
        <v>926</v>
      </c>
      <c r="H28" s="629" t="s">
        <v>927</v>
      </c>
      <c r="I28" s="629"/>
      <c r="J28" s="776"/>
      <c r="K28" s="776"/>
      <c r="L28" s="629" t="s">
        <v>928</v>
      </c>
      <c r="M28" s="629">
        <v>5</v>
      </c>
      <c r="N28" s="629">
        <v>22.5</v>
      </c>
      <c r="O28" s="629">
        <v>32.142857142857146</v>
      </c>
      <c r="P28" s="629">
        <v>64.285714285714292</v>
      </c>
      <c r="Q28" s="629">
        <v>0</v>
      </c>
      <c r="R28" s="629">
        <v>0</v>
      </c>
      <c r="S28" s="629">
        <v>0</v>
      </c>
      <c r="T28" s="629">
        <v>0</v>
      </c>
      <c r="U28" s="629">
        <v>0</v>
      </c>
      <c r="V28" s="629">
        <v>0</v>
      </c>
      <c r="W28" s="629">
        <v>0</v>
      </c>
      <c r="X28" s="629">
        <v>1600</v>
      </c>
      <c r="Y28" s="629" t="s">
        <v>49</v>
      </c>
      <c r="Z28" s="631" t="s">
        <v>149</v>
      </c>
    </row>
    <row r="29" spans="1:26" s="583" customFormat="1" ht="63.75" hidden="1">
      <c r="A29" s="582"/>
      <c r="B29" s="777">
        <v>46021</v>
      </c>
      <c r="C29" s="777">
        <v>9100</v>
      </c>
      <c r="D29" s="630"/>
      <c r="E29" s="629"/>
      <c r="F29" s="629"/>
      <c r="G29" s="629" t="s">
        <v>926</v>
      </c>
      <c r="H29" s="629" t="s">
        <v>927</v>
      </c>
      <c r="I29" s="629"/>
      <c r="J29" s="776"/>
      <c r="K29" s="776"/>
      <c r="L29" s="629" t="s">
        <v>928</v>
      </c>
      <c r="M29" s="629">
        <v>5.5</v>
      </c>
      <c r="N29" s="629">
        <v>24.75</v>
      </c>
      <c r="O29" s="629">
        <v>35.357142857142861</v>
      </c>
      <c r="P29" s="629">
        <v>70.714285714285722</v>
      </c>
      <c r="Q29" s="629">
        <v>0</v>
      </c>
      <c r="R29" s="629">
        <v>0</v>
      </c>
      <c r="S29" s="629">
        <v>0</v>
      </c>
      <c r="T29" s="629">
        <v>0</v>
      </c>
      <c r="U29" s="629">
        <v>0</v>
      </c>
      <c r="V29" s="629">
        <v>0</v>
      </c>
      <c r="W29" s="629">
        <v>0</v>
      </c>
      <c r="X29" s="629">
        <v>1600</v>
      </c>
      <c r="Y29" s="629" t="s">
        <v>49</v>
      </c>
      <c r="Z29" s="631" t="s">
        <v>149</v>
      </c>
    </row>
    <row r="30" spans="1:26" s="583" customFormat="1" ht="25.5" hidden="1">
      <c r="A30" s="582"/>
      <c r="B30" s="777">
        <v>46021</v>
      </c>
      <c r="C30" s="777">
        <v>9100</v>
      </c>
      <c r="D30" s="630"/>
      <c r="E30" s="629"/>
      <c r="F30" s="629"/>
      <c r="G30" s="629" t="s">
        <v>926</v>
      </c>
      <c r="H30" s="629" t="s">
        <v>927</v>
      </c>
      <c r="I30" s="629"/>
      <c r="J30" s="776"/>
      <c r="K30" s="776"/>
      <c r="L30" s="629" t="s">
        <v>928</v>
      </c>
      <c r="M30" s="629">
        <v>143</v>
      </c>
      <c r="N30" s="629">
        <v>536.25</v>
      </c>
      <c r="O30" s="629">
        <v>766.07142857142856</v>
      </c>
      <c r="P30" s="629">
        <v>1532.1428571428573</v>
      </c>
      <c r="Q30" s="629">
        <v>0</v>
      </c>
      <c r="R30" s="629">
        <v>0</v>
      </c>
      <c r="S30" s="629">
        <v>0</v>
      </c>
      <c r="T30" s="629">
        <v>0</v>
      </c>
      <c r="U30" s="629">
        <v>0</v>
      </c>
      <c r="V30" s="629">
        <v>0</v>
      </c>
      <c r="W30" s="629">
        <v>0</v>
      </c>
      <c r="X30" s="629">
        <v>500</v>
      </c>
      <c r="Y30" s="629" t="s">
        <v>40</v>
      </c>
      <c r="Z30" s="631" t="s">
        <v>377</v>
      </c>
    </row>
    <row r="31" spans="1:26" s="566" customFormat="1" hidden="1">
      <c r="A31" s="585" t="s">
        <v>269</v>
      </c>
      <c r="B31" s="586"/>
      <c r="C31" s="586"/>
      <c r="D31" s="586"/>
      <c r="E31" s="586"/>
      <c r="F31" s="586"/>
      <c r="G31" s="586"/>
      <c r="H31" s="586"/>
      <c r="I31" s="586"/>
      <c r="J31" s="586"/>
      <c r="K31" s="586"/>
      <c r="L31" s="587"/>
      <c r="M31" s="587">
        <f>SUM(M28:M30)</f>
        <v>153.5</v>
      </c>
      <c r="N31" s="587">
        <f>SUM(N28:N30)</f>
        <v>583.5</v>
      </c>
      <c r="O31" s="587">
        <f>SUM(O28:O30)</f>
        <v>833.57142857142856</v>
      </c>
      <c r="P31" s="587">
        <f>SUM(P28:P30)</f>
        <v>1667.1428571428573</v>
      </c>
      <c r="Q31" s="587">
        <f>SUM(Q28:Q30)</f>
        <v>0</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143</v>
      </c>
      <c r="N32" s="587">
        <f>SUMIF($Z$28:$Z$30,"industrie",N28:N30)</f>
        <v>536.25</v>
      </c>
      <c r="O32" s="587">
        <f>SUMIF($Z$28:$Z$30,"industrie",O28:O30)</f>
        <v>766.07142857142856</v>
      </c>
      <c r="P32" s="587">
        <f>SUMIF($Z$28:$Z$30,"industrie",P28:P30)</f>
        <v>1532.1428571428573</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10.5</v>
      </c>
      <c r="N33" s="587">
        <f ca="1">SUMIF($Z$28:AD30,"tertiair",N28:N30)</f>
        <v>47.25</v>
      </c>
      <c r="O33" s="587">
        <f ca="1">SUMIF($Z$28:AE30,"tertiair",O28:O30)</f>
        <v>67.5</v>
      </c>
      <c r="P33" s="587">
        <f ca="1">SUMIF($Z$28:AF30,"tertiair",P28:P30)</f>
        <v>135</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0</v>
      </c>
      <c r="N34" s="592">
        <f>SUMIF($Z$28:$Z$30,"landbouw",N28:N30)</f>
        <v>0</v>
      </c>
      <c r="O34" s="592">
        <f>SUMIF($Z$28:$Z$30,"landbouw",O28:O30)</f>
        <v>0</v>
      </c>
      <c r="P34" s="592">
        <f>SUMIF($Z$28:$Z$30,"landbouw",P28:P30)</f>
        <v>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686.47058823529426</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980.67226890756319</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2021-11-11T13:27:04Z</dcterms:modified>
</cp:coreProperties>
</file>