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C821379-48AA-4D14-96B1-00C27E28A7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J9" i="18" l="1"/>
  <c r="F20" i="18"/>
  <c r="B46" i="18"/>
  <c r="I50" i="18" s="1"/>
  <c r="H17" i="18" s="1"/>
  <c r="H20" i="18" s="1"/>
  <c r="B17" i="18"/>
  <c r="B20" i="18" s="1"/>
  <c r="F50" i="18"/>
  <c r="C46" i="18"/>
  <c r="E49" i="18" s="1"/>
  <c r="E8" i="18" s="1"/>
  <c r="E10" i="18" s="1"/>
  <c r="O18" i="18"/>
  <c r="G20" i="18"/>
  <c r="K20" i="18"/>
  <c r="B10" i="18"/>
  <c r="O19" i="18"/>
  <c r="O9" i="18"/>
  <c r="D50" i="18"/>
  <c r="H50" i="18"/>
  <c r="N6" i="17"/>
  <c r="C50" i="18" l="1"/>
  <c r="G50" i="18"/>
  <c r="I17" i="18" s="1"/>
  <c r="I20" i="18" s="1"/>
  <c r="E50" i="18"/>
  <c r="E17" i="18" s="1"/>
  <c r="E20" i="18" s="1"/>
  <c r="B50" i="18"/>
  <c r="C17" i="18" s="1"/>
  <c r="C20" i="18" s="1"/>
  <c r="I49" i="18"/>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<sst xmlns="http://schemas.openxmlformats.org/spreadsheetml/2006/main" count="2521" uniqueCount="929">
  <si>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</si>
  <si>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</si>
  <si>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</si>
  <si>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</si>
  <si>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</si>
  <si>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</si>
  <si>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</si>
  <si>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</si>
  <si>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</si>
  <si>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</si>
  <si>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</si>
  <si>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</si>
  <si>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</si>
  <si>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</si>
  <si>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</si>
  <si>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</si>
  <si>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</si>
  <si>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</si>
  <si>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</si>
  <si>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</si>
  <si>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</si>
  <si>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</si>
  <si>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</si>
  <si>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</si>
  <si>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</si>
  <si>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</si>
  <si>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</si>
  <si>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</si>
  <si>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</si>
  <si>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</si>
  <si>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</si>
  <si>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</si>
  <si>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</si>
  <si>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</si>
  <si>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</si>
  <si>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</si>
  <si>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</si>
  <si>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</si>
  <si>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</si>
  <si>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</si>
  <si>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</si>
  <si>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</si>
  <si>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</si>
  <si>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</si>
  <si>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</si>
  <si>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</si>
  <si>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</si>
  <si>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</si>
  <si>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</si>
  <si>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</si>
  <si>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</si>
  <si>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</si>
  <si>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</si>
  <si>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</si>
  <si>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</si>
  <si>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</si>
  <si>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</si>
  <si>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</si>
  <si>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</si>
  <si>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</si>
  <si>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</si>
  <si>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</si>
  <si>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</si>
  <si>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</si>
  <si>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</si>
  <si>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</si>
  <si>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</si>
  <si>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</si>
  <si>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</si>
  <si>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</si>
  <si>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</si>
  <si>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</si>
  <si>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</si>
  <si>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</si>
  <si>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</si>
  <si>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</si>
  <si>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</si>
  <si>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</si>
  <si>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</si>
  <si>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</si>
  <si>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</si>
  <si>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</si>
  <si>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</si>
  <si>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</si>
  <si>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</si>
  <si>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</si>
  <si>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</si>
  <si>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</si>
  <si>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</si>
  <si>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</si>
  <si>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</si>
  <si>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</si>
  <si>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</si>
  <si>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</si>
  <si>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</si>
  <si>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</si>
  <si>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</si>
  <si>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</si>
  <si>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</si>
  <si>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</si>
  <si>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</si>
  <si>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</si>
  <si>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</si>
  <si>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</si>
  <si>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</si>
  <si>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</si>
  <si>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</si>
  <si>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</si>
  <si>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</si>
  <si>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</si>
  <si>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</si>
  <si>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</si>
  <si>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</si>
  <si>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</si>
  <si>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</si>
  <si>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</si>
  <si>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</si>
  <si>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</si>
  <si>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</si>
  <si>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</si>
  <si>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</si>
  <si>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</si>
  <si>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</si>
  <si>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</si>
  <si>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</si>
  <si>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</si>
  <si>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</si>
  <si>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</si>
  <si>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</si>
  <si>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</si>
  <si>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</si>
  <si>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</si>
  <si>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</si>
  <si>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</si>
  <si>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</si>
  <si>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</si>
  <si>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</si>
  <si>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</si>
  <si>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</si>
  <si>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</si>
  <si>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</si>
  <si>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</si>
  <si>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</si>
  <si>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</si>
  <si>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</si>
  <si>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</si>
  <si>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</si>
  <si>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</si>
  <si>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</si>
  <si>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</si>
  <si>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</si>
  <si>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</si>
  <si>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</si>
  <si>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</si>
  <si>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</si>
  <si>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</si>
  <si>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</si>
  <si>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</si>
  <si>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</si>
  <si>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</si>
  <si>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</si>
  <si>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</si>
  <si>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</si>
  <si>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</si>
  <si>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</si>
  <si>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</si>
  <si>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</si>
  <si>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</si>
  <si>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</si>
  <si>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</si>
  <si>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</si>
  <si>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</si>
  <si>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</si>
  <si>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</si>
  <si>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</si>
  <si>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</si>
  <si>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</si>
  <si>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</si>
  <si>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</si>
  <si>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</si>
  <si>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</si>
  <si>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</si>
  <si>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</si>
  <si>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</si>
  <si>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</si>
  <si>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</si>
  <si>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</si>
  <si>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</si>
  <si>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</si>
  <si>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</si>
  <si>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</si>
  <si>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</si>
  <si>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</si>
  <si>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</si>
  <si>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</si>
  <si>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</si>
  <si>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</si>
  <si>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</si>
  <si>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</si>
  <si>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</si>
  <si>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</si>
  <si>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</si>
  <si>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</si>
  <si>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</si>
  <si>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</si>
  <si>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</si>
  <si>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</si>
  <si>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</si>
  <si>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</si>
  <si>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</si>
  <si>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</si>
  <si>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</si>
  <si>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</si>
  <si>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</si>
  <si>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</si>
  <si>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</si>
  <si>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</si>
  <si>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</si>
  <si>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</si>
  <si>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</si>
  <si>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</si>
  <si>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</si>
  <si>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</si>
  <si>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</si>
  <si>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</si>
  <si>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</si>
  <si>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</si>
  <si>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</si>
  <si>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</si>
  <si>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</si>
  <si>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</si>
  <si>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</si>
  <si>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</si>
  <si>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</si>
  <si>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</si>
  <si>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</si>
  <si>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</si>
  <si>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</si>
  <si>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</si>
  <si>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</si>
  <si>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</si>
  <si>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</si>
  <si>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</si>
  <si>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</si>
  <si>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</si>
  <si>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</si>
  <si>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</si>
  <si>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</si>
  <si>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</si>
  <si>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</si>
  <si>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</si>
  <si>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</si>
  <si>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</si>
  <si>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</si>
  <si>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</si>
  <si>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</si>
  <si>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</si>
  <si>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</si>
  <si>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</si>
  <si>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</si>
  <si>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</si>
  <si>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</si>
  <si>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</si>
  <si>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</si>
  <si>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</si>
  <si>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</si>
  <si>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</si>
  <si>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</si>
  <si>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</si>
  <si>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</si>
  <si>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</si>
  <si>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</si>
  <si>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</si>
  <si>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</si>
  <si>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</si>
  <si>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</si>
  <si>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</si>
  <si>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</si>
  <si>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</si>
  <si>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</si>
  <si>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</si>
  <si>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</si>
  <si>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</si>
  <si>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</si>
  <si>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</si>
  <si>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</si>
  <si>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</si>
  <si>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</si>
  <si>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</si>
  <si>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</si>
  <si>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</si>
  <si>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</si>
  <si>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</si>
  <si>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</si>
  <si>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</si>
  <si>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</si>
  <si>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</si>
  <si>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</si>
  <si>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</si>
  <si>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</si>
  <si>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</si>
  <si>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</si>
  <si>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</si>
  <si>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</si>
  <si>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</si>
  <si>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</si>
  <si>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</si>
  <si>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</si>
  <si>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</si>
  <si>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</si>
  <si>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</si>
  <si>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</si>
  <si>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</si>
  <si>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</si>
  <si>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</si>
  <si>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</si>
  <si>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</si>
  <si>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</si>
  <si>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</si>
  <si>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</si>
  <si>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</si>
  <si>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</si>
  <si>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</si>
  <si>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</si>
  <si>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</si>
  <si>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</si>
  <si>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</si>
  <si>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</si>
  <si>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</si>
  <si>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</si>
  <si>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</si>
  <si>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</si>
  <si>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</si>
  <si>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</si>
  <si>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</si>
  <si>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</si>
  <si>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</si>
  <si>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</si>
  <si>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</si>
  <si>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</si>
  <si>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</si>
  <si>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</si>
  <si>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</si>
  <si>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</si>
  <si>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</si>
  <si>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</si>
  <si>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</si>
  <si>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</si>
  <si>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</si>
  <si>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</si>
  <si>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</si>
  <si>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</si>
  <si>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</si>
  <si>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</si>
  <si>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</si>
  <si>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</si>
  <si>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</si>
  <si>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</si>
  <si>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</si>
  <si>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</si>
  <si>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</si>
  <si>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</si>
  <si>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</si>
  <si>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</si>
  <si>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</si>
  <si>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</si>
  <si>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</si>
  <si>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</si>
  <si>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</si>
  <si>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</si>
  <si>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</si>
  <si>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</si>
  <si>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</si>
  <si>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</si>
  <si>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</si>
  <si>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</si>
  <si>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</si>
  <si>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</si>
  <si>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</si>
  <si>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</si>
  <si>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</si>
  <si>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</si>
  <si>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</si>
  <si>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</si>
  <si>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</si>
  <si>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</si>
  <si>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</si>
  <si>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</si>
  <si>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</si>
  <si>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</si>
  <si>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</si>
  <si>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</si>
  <si>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</si>
  <si>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</si>
  <si>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</si>
  <si>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</si>
  <si>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</si>
  <si>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</si>
  <si>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</si>
  <si>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</si>
  <si>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</si>
  <si>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</si>
  <si>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</si>
  <si>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</si>
  <si>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</si>
  <si>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</si>
  <si>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</si>
  <si>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</si>
  <si>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</si>
  <si>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</si>
  <si>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</si>
  <si>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</si>
  <si>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</si>
  <si>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</si>
  <si>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</si>
  <si>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</si>
  <si>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</si>
  <si>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</si>
  <si>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</si>
  <si>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</si>
  <si>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</si>
  <si>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</si>
  <si>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</si>
  <si>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</si>
  <si>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</si>
  <si>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</si>
  <si>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</si>
  <si>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</si>
  <si>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</si>
  <si>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</si>
  <si>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</si>
  <si>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</si>
  <si>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</si>
  <si>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</si>
  <si>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</si>
  <si>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</si>
  <si>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</si>
  <si>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</si>
  <si>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</si>
  <si>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</si>
  <si>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</si>
  <si>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</si>
  <si>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</si>
  <si>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</si>
  <si>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</si>
  <si>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</si>
  <si>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</si>
  <si>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</si>
  <si>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</si>
  <si>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</si>
  <si>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</si>
  <si>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</si>
  <si>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</si>
  <si>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</si>
  <si>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</si>
  <si>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</si>
  <si>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</si>
  <si>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</si>
  <si>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</si>
  <si>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</si>
  <si>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</si>
  <si>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</si>
  <si>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</si>
  <si>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</si>
  <si>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</si>
  <si>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</si>
  <si>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</si>
  <si>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</si>
  <si>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</si>
  <si>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</si>
  <si>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</si>
  <si>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</si>
  <si>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</si>
  <si>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</si>
  <si>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</si>
  <si>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</si>
  <si>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</si>
  <si>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</si>
  <si>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</si>
  <si>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</si>
  <si>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</si>
  <si>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</si>
  <si>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</si>
  <si>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</si>
  <si>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</si>
  <si>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</si>
  <si>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</si>
  <si>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</si>
  <si>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</si>
  <si>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</si>
  <si>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</si>
  <si>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</si>
  <si>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</si>
  <si>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</si>
  <si>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</si>
  <si>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</si>
  <si>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</si>
  <si>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</si>
  <si>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</si>
  <si>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</si>
  <si>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</si>
  <si>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</si>
  <si>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</si>
  <si>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</si>
  <si>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</si>
  <si>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</si>
  <si>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</si>
  <si>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</si>
  <si>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</si>
  <si>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</si>
  <si>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</si>
  <si>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</si>
  <si>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</si>
  <si>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</si>
  <si>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</si>
  <si>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</si>
  <si>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</si>
  <si>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</si>
  <si>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</si>
  <si>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</si>
  <si>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</si>
  <si>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</si>
  <si>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</si>
  <si>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</si>
  <si>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</si>
  <si>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</si>
  <si>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</si>
  <si>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</si>
  <si>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</si>
  <si>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</si>
  <si>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</si>
  <si>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</si>
  <si>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</si>
  <si>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</si>
  <si>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</si>
  <si>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</si>
  <si>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</si>
  <si>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</si>
  <si>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</si>
  <si>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</si>
  <si>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</si>
  <si>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</si>
  <si>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</si>
  <si>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</si>
  <si>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</si>
  <si>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</si>
  <si>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</si>
  <si>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</si>
  <si>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</si>
  <si>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</si>
  <si>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</si>
  <si>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</si>
  <si>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</si>
  <si>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</si>
  <si>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</si>
  <si>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</si>
  <si>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</si>
  <si>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</si>
  <si>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</si>
  <si>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</si>
  <si>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</si>
  <si>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</si>
  <si>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</si>
  <si>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</si>
  <si>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</si>
  <si>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</si>
  <si>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</si>
  <si>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</si>
  <si>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</si>
  <si>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</si>
  <si>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</si>
  <si>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</si>
  <si>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</si>
  <si>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</si>
  <si>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</si>
  <si>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</si>
  <si>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</si>
  <si>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</si>
  <si>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</si>
  <si>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</si>
  <si>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</si>
  <si>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</si>
  <si>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</si>
  <si>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</si>
  <si>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</si>
  <si>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</si>
  <si>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</si>
  <si>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</si>
  <si>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</si>
  <si>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</si>
  <si>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</si>
  <si>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</si>
  <si>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</si>
  <si>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</si>
  <si>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</si>
  <si>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</si>
  <si>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</si>
  <si>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</si>
  <si>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</si>
  <si>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</si>
  <si>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</si>
  <si>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</si>
  <si>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</si>
  <si>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</si>
  <si>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</si>
  <si>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</si>
  <si>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</si>
  <si>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</si>
  <si>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</si>
  <si>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</si>
  <si>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</si>
  <si>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</si>
  <si>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</si>
  <si>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</si>
  <si>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</si>
  <si>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</si>
  <si>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</si>
  <si>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</si>
  <si>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</si>
  <si>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</si>
  <si>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</si>
  <si>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</si>
  <si>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</si>
  <si>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</si>
  <si>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</si>
  <si>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</si>
  <si>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</si>
  <si>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</si>
  <si>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</si>
  <si>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</si>
  <si>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</si>
  <si>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</si>
  <si>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</si>
  <si>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</si>
  <si>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</si>
  <si>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</si>
  <si>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</si>
  <si>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</si>
  <si>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</si>
  <si>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</si>
  <si>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</si>
  <si>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</si>
  <si>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</si>
  <si>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</si>
  <si>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</si>
  <si>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</si>
  <si>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</si>
  <si>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</si>
  <si>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</si>
  <si>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</si>
  <si>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</si>
  <si>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</si>
  <si>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</si>
  <si>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</si>
  <si>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</si>
  <si>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</si>
  <si>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</si>
  <si>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</si>
  <si>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</si>
  <si>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</si>
  <si>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</si>
  <si>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</si>
  <si>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</si>
  <si>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</si>
  <si>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</si>
  <si>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</si>
  <si>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</si>
  <si>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</si>
  <si>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</si>
  <si>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</si>
  <si>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</si>
  <si>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</si>
  <si>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</si>
  <si>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</si>
  <si>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</si>
  <si>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</si>
  <si>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</si>
  <si>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</si>
  <si>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</si>
  <si>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</si>
  <si>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</si>
  <si>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</si>
  <si>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</si>
  <si>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</si>
  <si>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</si>
  <si>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</si>
  <si>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</si>
  <si>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</si>
  <si>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</si>
  <si>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</si>
  <si>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</si>
  <si>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</si>
  <si>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</si>
  <si>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</si>
  <si>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</si>
  <si>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</si>
  <si>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</si>
  <si>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</si>
  <si>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</si>
  <si>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</si>
  <si>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</si>
  <si>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</si>
  <si>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</si>
  <si>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</si>
  <si>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</si>
  <si>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</si>
  <si>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</si>
  <si>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</si>
  <si>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</si>
  <si>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</si>
  <si>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</si>
  <si>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</si>
  <si>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</si>
  <si>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</si>
  <si>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</si>
  <si>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</si>
  <si>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</si>
  <si>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</si>
  <si>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</si>
  <si>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</si>
  <si>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</si>
  <si>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</si>
  <si>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</si>
  <si>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</si>
  <si>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</si>
  <si>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</si>
  <si>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</si>
  <si>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</si>
  <si>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</si>
  <si>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</si>
  <si>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</si>
  <si>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</si>
  <si>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</si>
  <si>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</si>
  <si>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</si>
  <si>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</si>
  <si>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</si>
  <si>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</si>
  <si>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</si>
  <si>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</si>
  <si>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</si>
  <si>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</si>
  <si>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</si>
  <si>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</si>
  <si>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</si>
  <si>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</si>
  <si>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</si>
  <si>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</si>
  <si>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</si>
  <si>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</si>
  <si>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</si>
  <si>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</si>
  <si>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</si>
  <si>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</si>
  <si>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</si>
  <si>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</si>
  <si>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</si>
  <si>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</si>
  <si>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</si>
  <si>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</si>
  <si>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</si>
  <si>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</si>
  <si>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</si>
  <si>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</si>
  <si>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</si>
  <si>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</si>
  <si>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</si>
  <si>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</si>
  <si>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</si>
  <si>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</si>
  <si>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</si>
  <si>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</si>
  <si>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</si>
  <si>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</si>
  <si>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</si>
  <si>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</si>
  <si>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</si>
  <si>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</si>
  <si>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</si>
  <si>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</si>
  <si>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</si>
  <si>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</si>
  <si>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</si>
  <si>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</si>
  <si>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</si>
  <si>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</si>
  <si>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</si>
  <si>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</si>
  <si>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</si>
  <si>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</si>
  <si>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</si>
  <si>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</si>
  <si>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</si>
  <si>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</si>
  <si>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</si>
  <si>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</si>
  <si>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</si>
  <si>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</si>
  <si>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</si>
  <si>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</si>
  <si>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</si>
  <si>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</si>
  <si>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</si>
  <si>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</si>
  <si>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</si>
  <si>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</si>
  <si>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</si>
  <si>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</si>
  <si>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</si>
  <si>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</si>
  <si>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</si>
  <si>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</si>
  <si>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</si>
  <si>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</si>
  <si>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</si>
  <si>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</si>
  <si>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</si>
  <si>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</si>
  <si>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</si>
  <si>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</si>
  <si>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</si>
  <si>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</si>
  <si>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</si>
  <si>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</si>
  <si>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</si>
  <si>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</si>
  <si>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</si>
  <si>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</si>
  <si>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</si>
  <si>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</si>
  <si>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</si>
  <si>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</si>
  <si>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</si>
  <si>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</si>
  <si>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</si>
  <si>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</si>
  <si>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</si>
  <si>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</si>
  <si>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</si>
  <si>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</si>
  <si>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</si>
  <si>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</si>
  <si>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</si>
  <si>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</si>
  <si>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</si>
  <si>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</si>
  <si>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</si>
  <si>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</si>
  <si>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</si>
  <si>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</si>
  <si>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</si>
  <si>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</si>
  <si>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</si>
  <si>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</si>
  <si>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</si>
  <si>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</si>
  <si>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</si>
  <si>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</si>
  <si>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</si>
  <si>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</si>
  <si>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</si>
  <si>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</si>
  <si>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</si>
  <si>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</si>
  <si>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</si>
  <si>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</si>
  <si>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</si>
  <si>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</si>
  <si>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</si>
  <si>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</si>
  <si>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</si>
  <si>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</si>
  <si>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</si>
  <si>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</si>
  <si>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</si>
  <si>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</si>
  <si>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</si>
  <si>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</si>
  <si>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</si>
  <si>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</si>
  <si>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</si>
  <si>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</si>
  <si>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</si>
  <si>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</si>
  <si>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</si>
  <si>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</si>
  <si>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</si>
  <si>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</si>
  <si>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</si>
  <si>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</si>
  <si>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</si>
  <si>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</si>
  <si>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</si>
  <si>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</si>
  <si>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</si>
  <si>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</si>
  <si>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</si>
  <si>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</si>
  <si>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</si>
  <si>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</si>
  <si>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</si>
  <si>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</si>
  <si>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</si>
  <si>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</si>
  <si>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</si>
  <si>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</si>
  <si>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</si>
  <si>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</si>
  <si>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</si>
  <si>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</si>
  <si>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</si>
  <si>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</si>
  <si>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</si>
  <si>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</si>
  <si>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</si>
  <si>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</si>
  <si>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</si>
  <si>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</si>
  <si>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</si>
  <si>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46020</t>
  </si>
  <si>
    <t>SINT-GILLIS-WAAS</t>
  </si>
  <si>
    <t>Cultuurgrond (ha)</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</si>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</sst>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1B169CD-A629-4BE1-9A65-A0A10EADCD6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182614.5644933327</c:v>
                </c:pt>
                <c:pt idx="1">
                  <c:v>37620.231173126849</c:v>
                </c:pt>
                <c:pt idx="2">
                  <c:v>1201.2070000000001</c:v>
                </c:pt>
                <c:pt idx="3">
                  <c:v>66846.664917651506</c:v>
                </c:pt>
                <c:pt idx="4">
                  <c:v>23607.362059309442</c:v>
                </c:pt>
                <c:pt idx="5">
                  <c:v>183881.14082727183</c:v>
                </c:pt>
                <c:pt idx="6">
                  <c:v>1973.2644691988239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182614.5644933327</c:v>
                </c:pt>
                <c:pt idx="1">
                  <c:v>37620.231173126849</c:v>
                </c:pt>
                <c:pt idx="2">
                  <c:v>1201.2070000000001</c:v>
                </c:pt>
                <c:pt idx="3">
                  <c:v>66846.664917651506</c:v>
                </c:pt>
                <c:pt idx="4">
                  <c:v>23607.362059309442</c:v>
                </c:pt>
                <c:pt idx="5">
                  <c:v>183881.14082727183</c:v>
                </c:pt>
                <c:pt idx="6">
                  <c:v>1973.2644691988239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35601.080508924475</c:v>
                </c:pt>
                <c:pt idx="2">
                  <c:v>6823.1327143846283</c:v>
                </c:pt>
                <c:pt idx="3">
                  <c:v>182.03425488784677</c:v>
                </c:pt>
                <c:pt idx="4">
                  <c:v>16052.680604690409</c:v>
                </c:pt>
                <c:pt idx="5">
                  <c:v>4571.5212283216633</c:v>
                </c:pt>
                <c:pt idx="6">
                  <c:v>46570.285984050206</c:v>
                </c:pt>
                <c:pt idx="7">
                  <c:v>503.24646206883523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35601.080508924475</c:v>
                </c:pt>
                <c:pt idx="2">
                  <c:v>6823.1327143846283</c:v>
                </c:pt>
                <c:pt idx="3">
                  <c:v>182.03425488784677</c:v>
                </c:pt>
                <c:pt idx="4">
                  <c:v>16052.680604690409</c:v>
                </c:pt>
                <c:pt idx="5">
                  <c:v>4571.5212283216633</c:v>
                </c:pt>
                <c:pt idx="6">
                  <c:v>46570.285984050206</c:v>
                </c:pt>
                <c:pt idx="7">
                  <c:v>503.24646206883523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46020</v>
      </c>
      <c r="B6" s="385"/>
      <c r="C6" s="386"/>
    </row>
    <row r="7" spans="1:7" s="383" customFormat="1" ht="15.75" customHeight="1">
      <c r="A7" s="387" t="str">
        <f>txtMunicipality</f>
        <v>SINT-GILLIS-WAAS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14586.91567292131</v>
      </c>
      <c r="D10" s="676">
        <f ca="1">tertiair!C16</f>
        <v>0</v>
      </c>
      <c r="E10" s="676">
        <f ca="1">tertiair!D16</f>
        <v>19994.553965063969</v>
      </c>
      <c r="F10" s="676">
        <f>tertiair!E16</f>
        <v>179.69960714051584</v>
      </c>
      <c r="G10" s="676">
        <f ca="1">tertiair!F16</f>
        <v>2677.6532689537548</v>
      </c>
      <c r="H10" s="676">
        <f>tertiair!G16</f>
        <v>0</v>
      </c>
      <c r="I10" s="676">
        <f>tertiair!H16</f>
        <v>0</v>
      </c>
      <c r="J10" s="676">
        <f>tertiair!I16</f>
        <v>0</v>
      </c>
      <c r="K10" s="676">
        <f>tertiair!J16</f>
        <v>0</v>
      </c>
      <c r="L10" s="676">
        <f>tertiair!K16</f>
        <v>0</v>
      </c>
      <c r="M10" s="676">
        <f ca="1">tertiair!L16</f>
        <v>0</v>
      </c>
      <c r="N10" s="676">
        <f>tertiair!M16</f>
        <v>0</v>
      </c>
      <c r="O10" s="676">
        <f ca="1">tertiair!N16</f>
        <v>1382.615659047299</v>
      </c>
      <c r="P10" s="676">
        <f>tertiair!O16</f>
        <v>0</v>
      </c>
      <c r="Q10" s="677">
        <f>tertiair!P16</f>
        <v>0</v>
      </c>
      <c r="R10" s="679">
        <f ca="1">SUM(C10:Q10)</f>
        <v>38821.438173126851</v>
      </c>
      <c r="S10" s="67"/>
    </row>
    <row r="11" spans="1:19" s="444" customFormat="1">
      <c r="A11" s="791" t="s">
        <v>214</v>
      </c>
      <c r="B11" s="796"/>
      <c r="C11" s="676">
        <f>huishoudens!B8</f>
        <v>34539.091985608669</v>
      </c>
      <c r="D11" s="676">
        <f>huishoudens!C8</f>
        <v>0</v>
      </c>
      <c r="E11" s="676">
        <f>huishoudens!D8</f>
        <v>91320.971826990382</v>
      </c>
      <c r="F11" s="676">
        <f>huishoudens!E8</f>
        <v>1383.677809868638</v>
      </c>
      <c r="G11" s="676">
        <f>huishoudens!F8</f>
        <v>42403.460626230859</v>
      </c>
      <c r="H11" s="676">
        <f>huishoudens!G8</f>
        <v>0</v>
      </c>
      <c r="I11" s="676">
        <f>huishoudens!H8</f>
        <v>0</v>
      </c>
      <c r="J11" s="676">
        <f>huishoudens!I8</f>
        <v>0</v>
      </c>
      <c r="K11" s="676">
        <f>huishoudens!J8</f>
        <v>803.03711157608939</v>
      </c>
      <c r="L11" s="676">
        <f>huishoudens!K8</f>
        <v>0</v>
      </c>
      <c r="M11" s="676">
        <f>huishoudens!L8</f>
        <v>0</v>
      </c>
      <c r="N11" s="676">
        <f>huishoudens!M8</f>
        <v>0</v>
      </c>
      <c r="O11" s="676">
        <f>huishoudens!N8</f>
        <v>11451.931799724765</v>
      </c>
      <c r="P11" s="676">
        <f>huishoudens!O8</f>
        <v>159.46</v>
      </c>
      <c r="Q11" s="677">
        <f>huishoudens!P8</f>
        <v>552.93333333333339</v>
      </c>
      <c r="R11" s="679">
        <f>SUM(C11:Q11)</f>
        <v>182614.5644933327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7359.140991817294</v>
      </c>
      <c r="D13" s="676">
        <f>industrie!C18</f>
        <v>0</v>
      </c>
      <c r="E13" s="676">
        <f>industrie!D18</f>
        <v>9946.5699151161898</v>
      </c>
      <c r="F13" s="676">
        <f>industrie!E18</f>
        <v>1084.4745541947257</v>
      </c>
      <c r="G13" s="676">
        <f>industrie!F18</f>
        <v>4489.8267195209519</v>
      </c>
      <c r="H13" s="676">
        <f>industrie!G18</f>
        <v>0</v>
      </c>
      <c r="I13" s="676">
        <f>industrie!H18</f>
        <v>0</v>
      </c>
      <c r="J13" s="676">
        <f>industrie!I18</f>
        <v>0</v>
      </c>
      <c r="K13" s="676">
        <f>industrie!J18</f>
        <v>6.0167284569226966</v>
      </c>
      <c r="L13" s="676">
        <f>industrie!K18</f>
        <v>0</v>
      </c>
      <c r="M13" s="676">
        <f>industrie!L18</f>
        <v>0</v>
      </c>
      <c r="N13" s="676">
        <f>industrie!M18</f>
        <v>0</v>
      </c>
      <c r="O13" s="676">
        <f>industrie!N18</f>
        <v>721.33315020335829</v>
      </c>
      <c r="P13" s="676">
        <f>industrie!O18</f>
        <v>0</v>
      </c>
      <c r="Q13" s="677">
        <f>industrie!P18</f>
        <v>0</v>
      </c>
      <c r="R13" s="679">
        <f>SUM(C13:Q13)</f>
        <v>23607.362059309442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56485.148650347277</v>
      </c>
      <c r="D16" s="711">
        <f t="shared" ref="D16:R16" ca="1" si="0">SUM(D9:D15)</f>
        <v>0</v>
      </c>
      <c r="E16" s="711">
        <f t="shared" ca="1" si="0"/>
        <v>121262.09570717055</v>
      </c>
      <c r="F16" s="711">
        <f t="shared" si="0"/>
        <v>2647.8519712038797</v>
      </c>
      <c r="G16" s="711">
        <f t="shared" ca="1" si="0"/>
        <v>49570.940614705571</v>
      </c>
      <c r="H16" s="711">
        <f t="shared" si="0"/>
        <v>0</v>
      </c>
      <c r="I16" s="711">
        <f t="shared" si="0"/>
        <v>0</v>
      </c>
      <c r="J16" s="711">
        <f t="shared" si="0"/>
        <v>0</v>
      </c>
      <c r="K16" s="711">
        <f t="shared" si="0"/>
        <v>809.05384003301208</v>
      </c>
      <c r="L16" s="711">
        <f t="shared" si="0"/>
        <v>0</v>
      </c>
      <c r="M16" s="711">
        <f t="shared" ca="1" si="0"/>
        <v>0</v>
      </c>
      <c r="N16" s="711">
        <f t="shared" si="0"/>
        <v>0</v>
      </c>
      <c r="O16" s="711">
        <f t="shared" ca="1" si="0"/>
        <v>13555.880608975422</v>
      </c>
      <c r="P16" s="711">
        <f t="shared" si="0"/>
        <v>159.46</v>
      </c>
      <c r="Q16" s="711">
        <f t="shared" si="0"/>
        <v>552.93333333333339</v>
      </c>
      <c r="R16" s="711">
        <f t="shared" ca="1" si="0"/>
        <v>245043.36472576897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9.6552417436110005</v>
      </c>
      <c r="D19" s="676">
        <f>transport!C54</f>
        <v>0</v>
      </c>
      <c r="E19" s="676">
        <f>transport!D54</f>
        <v>0</v>
      </c>
      <c r="F19" s="676">
        <f>transport!E54</f>
        <v>0</v>
      </c>
      <c r="G19" s="676">
        <f>transport!F54</f>
        <v>0</v>
      </c>
      <c r="H19" s="676">
        <f>transport!G54</f>
        <v>1879.3381267384307</v>
      </c>
      <c r="I19" s="676">
        <f>transport!H54</f>
        <v>0</v>
      </c>
      <c r="J19" s="676">
        <f>transport!I54</f>
        <v>0</v>
      </c>
      <c r="K19" s="676">
        <f>transport!J54</f>
        <v>0</v>
      </c>
      <c r="L19" s="676">
        <f>transport!K54</f>
        <v>0</v>
      </c>
      <c r="M19" s="676">
        <f>transport!L54</f>
        <v>0</v>
      </c>
      <c r="N19" s="676">
        <f>transport!M54</f>
        <v>84.271100716782172</v>
      </c>
      <c r="O19" s="676">
        <f>transport!N54</f>
        <v>0</v>
      </c>
      <c r="P19" s="676">
        <f>transport!O54</f>
        <v>0</v>
      </c>
      <c r="Q19" s="677">
        <f>transport!P54</f>
        <v>0</v>
      </c>
      <c r="R19" s="679">
        <f>SUM(C19:Q19)</f>
        <v>1973.2644691988239</v>
      </c>
      <c r="S19" s="67"/>
    </row>
    <row r="20" spans="1:19" s="444" customFormat="1">
      <c r="A20" s="791" t="s">
        <v>296</v>
      </c>
      <c r="B20" s="796"/>
      <c r="C20" s="676">
        <f>transport!B14</f>
        <v>12.430569918605944</v>
      </c>
      <c r="D20" s="676">
        <f>transport!C14</f>
        <v>0</v>
      </c>
      <c r="E20" s="676">
        <f>transport!D14</f>
        <v>12.398660254459282</v>
      </c>
      <c r="F20" s="676">
        <f>transport!E14</f>
        <v>477.60064231420989</v>
      </c>
      <c r="G20" s="676">
        <f>transport!F14</f>
        <v>0</v>
      </c>
      <c r="H20" s="676">
        <f>transport!G14</f>
        <v>153943.936397043</v>
      </c>
      <c r="I20" s="676">
        <f>transport!H14</f>
        <v>21503.820593054876</v>
      </c>
      <c r="J20" s="676">
        <f>transport!I14</f>
        <v>0</v>
      </c>
      <c r="K20" s="676">
        <f>transport!J14</f>
        <v>0</v>
      </c>
      <c r="L20" s="676">
        <f>transport!K14</f>
        <v>0</v>
      </c>
      <c r="M20" s="676">
        <f>transport!L14</f>
        <v>0</v>
      </c>
      <c r="N20" s="676">
        <f>transport!M14</f>
        <v>7930.9539646866997</v>
      </c>
      <c r="O20" s="676">
        <f>transport!N14</f>
        <v>0</v>
      </c>
      <c r="P20" s="676">
        <f>transport!O14</f>
        <v>0</v>
      </c>
      <c r="Q20" s="677">
        <f>transport!P14</f>
        <v>0</v>
      </c>
      <c r="R20" s="679">
        <f>SUM(C20:Q20)</f>
        <v>183881.14082727183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22.085811662216944</v>
      </c>
      <c r="D22" s="794">
        <f t="shared" ref="D22:R22" si="1">SUM(D18:D21)</f>
        <v>0</v>
      </c>
      <c r="E22" s="794">
        <f t="shared" si="1"/>
        <v>12.398660254459282</v>
      </c>
      <c r="F22" s="794">
        <f t="shared" si="1"/>
        <v>477.60064231420989</v>
      </c>
      <c r="G22" s="794">
        <f t="shared" si="1"/>
        <v>0</v>
      </c>
      <c r="H22" s="794">
        <f t="shared" si="1"/>
        <v>155823.27452378144</v>
      </c>
      <c r="I22" s="794">
        <f t="shared" si="1"/>
        <v>21503.820593054876</v>
      </c>
      <c r="J22" s="794">
        <f t="shared" si="1"/>
        <v>0</v>
      </c>
      <c r="K22" s="794">
        <f t="shared" si="1"/>
        <v>0</v>
      </c>
      <c r="L22" s="794">
        <f t="shared" si="1"/>
        <v>0</v>
      </c>
      <c r="M22" s="794">
        <f t="shared" si="1"/>
        <v>0</v>
      </c>
      <c r="N22" s="794">
        <f t="shared" si="1"/>
        <v>8015.2250654034815</v>
      </c>
      <c r="O22" s="794">
        <f t="shared" si="1"/>
        <v>0</v>
      </c>
      <c r="P22" s="794">
        <f t="shared" si="1"/>
        <v>0</v>
      </c>
      <c r="Q22" s="794">
        <f t="shared" si="1"/>
        <v>0</v>
      </c>
      <c r="R22" s="794">
        <f t="shared" si="1"/>
        <v>185854.40529647065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5125.825381874316</v>
      </c>
      <c r="D24" s="676">
        <f>+landbouw!C8</f>
        <v>43200</v>
      </c>
      <c r="E24" s="676">
        <f>+landbouw!D8</f>
        <v>0</v>
      </c>
      <c r="F24" s="676">
        <f>+landbouw!E8</f>
        <v>64.592003217316488</v>
      </c>
      <c r="G24" s="676">
        <f>+landbouw!F8</f>
        <v>17685.381663452434</v>
      </c>
      <c r="H24" s="676">
        <f>+landbouw!G8</f>
        <v>0</v>
      </c>
      <c r="I24" s="676">
        <f>+landbouw!H8</f>
        <v>0</v>
      </c>
      <c r="J24" s="676">
        <f>+landbouw!I8</f>
        <v>0</v>
      </c>
      <c r="K24" s="676">
        <f>+landbouw!J8</f>
        <v>770.86586910743677</v>
      </c>
      <c r="L24" s="676">
        <f>+landbouw!K8</f>
        <v>0</v>
      </c>
      <c r="M24" s="676">
        <f>+landbouw!L8</f>
        <v>0</v>
      </c>
      <c r="N24" s="676">
        <f>+landbouw!M8</f>
        <v>0</v>
      </c>
      <c r="O24" s="676">
        <f>+landbouw!N8</f>
        <v>0</v>
      </c>
      <c r="P24" s="676">
        <f>+landbouw!O8</f>
        <v>0</v>
      </c>
      <c r="Q24" s="677">
        <f>+landbouw!P8</f>
        <v>0</v>
      </c>
      <c r="R24" s="679">
        <f>SUM(C24:Q24)</f>
        <v>66846.664917651506</v>
      </c>
      <c r="S24" s="67"/>
    </row>
    <row r="25" spans="1:19" s="444" customFormat="1" ht="15" thickBot="1">
      <c r="A25" s="813" t="s">
        <v>833</v>
      </c>
      <c r="B25" s="977"/>
      <c r="C25" s="978">
        <f>IF(Onbekend_ele_kWh="---",0,Onbekend_ele_kWh)/1000+IF(REST_rest_ele_kWh="---",0,REST_rest_ele_kWh)/1000</f>
        <v>1109.9841607009</v>
      </c>
      <c r="D25" s="978"/>
      <c r="E25" s="978">
        <f>IF(onbekend_gas_kWh="---",0,onbekend_gas_kWh)/1000+IF(REST_rest_gas_kWh="---",0,REST_rest_gas_kWh)/1000</f>
        <v>2659.8863017468498</v>
      </c>
      <c r="F25" s="978"/>
      <c r="G25" s="978"/>
      <c r="H25" s="978"/>
      <c r="I25" s="978"/>
      <c r="J25" s="978"/>
      <c r="K25" s="978"/>
      <c r="L25" s="978"/>
      <c r="M25" s="978"/>
      <c r="N25" s="978"/>
      <c r="O25" s="978"/>
      <c r="P25" s="978"/>
      <c r="Q25" s="979"/>
      <c r="R25" s="679">
        <f>SUM(C25:Q25)</f>
        <v>3769.8704624477496</v>
      </c>
      <c r="S25" s="67"/>
    </row>
    <row r="26" spans="1:19" s="444" customFormat="1" ht="15.75" thickBot="1">
      <c r="A26" s="684" t="s">
        <v>834</v>
      </c>
      <c r="B26" s="799"/>
      <c r="C26" s="794">
        <f>SUM(C24:C25)</f>
        <v>6235.8095425752163</v>
      </c>
      <c r="D26" s="794">
        <f t="shared" ref="D26:R26" si="2">SUM(D24:D25)</f>
        <v>43200</v>
      </c>
      <c r="E26" s="794">
        <f t="shared" si="2"/>
        <v>2659.8863017468498</v>
      </c>
      <c r="F26" s="794">
        <f t="shared" si="2"/>
        <v>64.592003217316488</v>
      </c>
      <c r="G26" s="794">
        <f t="shared" si="2"/>
        <v>17685.381663452434</v>
      </c>
      <c r="H26" s="794">
        <f t="shared" si="2"/>
        <v>0</v>
      </c>
      <c r="I26" s="794">
        <f t="shared" si="2"/>
        <v>0</v>
      </c>
      <c r="J26" s="794">
        <f t="shared" si="2"/>
        <v>0</v>
      </c>
      <c r="K26" s="794">
        <f t="shared" si="2"/>
        <v>770.86586910743677</v>
      </c>
      <c r="L26" s="794">
        <f t="shared" si="2"/>
        <v>0</v>
      </c>
      <c r="M26" s="794">
        <f t="shared" si="2"/>
        <v>0</v>
      </c>
      <c r="N26" s="794">
        <f t="shared" si="2"/>
        <v>0</v>
      </c>
      <c r="O26" s="794">
        <f t="shared" si="2"/>
        <v>0</v>
      </c>
      <c r="P26" s="794">
        <f t="shared" si="2"/>
        <v>0</v>
      </c>
      <c r="Q26" s="794">
        <f t="shared" si="2"/>
        <v>0</v>
      </c>
      <c r="R26" s="794">
        <f t="shared" si="2"/>
        <v>70616.53538009926</v>
      </c>
      <c r="S26" s="67"/>
    </row>
    <row r="27" spans="1:19" s="444" customFormat="1" ht="17.25" thickTop="1" thickBot="1">
      <c r="A27" s="685" t="s">
        <v>109</v>
      </c>
      <c r="B27" s="786"/>
      <c r="C27" s="686">
        <f ca="1">C22+C16+C26</f>
        <v>62743.044004584714</v>
      </c>
      <c r="D27" s="686">
        <f t="shared" ref="D27:R27" ca="1" si="3">D22+D16+D26</f>
        <v>43200</v>
      </c>
      <c r="E27" s="686">
        <f t="shared" ca="1" si="3"/>
        <v>123934.38066917186</v>
      </c>
      <c r="F27" s="686">
        <f t="shared" si="3"/>
        <v>3190.0446167354062</v>
      </c>
      <c r="G27" s="686">
        <f t="shared" ca="1" si="3"/>
        <v>67256.322278158012</v>
      </c>
      <c r="H27" s="686">
        <f t="shared" si="3"/>
        <v>155823.27452378144</v>
      </c>
      <c r="I27" s="686">
        <f t="shared" si="3"/>
        <v>21503.820593054876</v>
      </c>
      <c r="J27" s="686">
        <f t="shared" si="3"/>
        <v>0</v>
      </c>
      <c r="K27" s="686">
        <f t="shared" si="3"/>
        <v>1579.919709140449</v>
      </c>
      <c r="L27" s="686">
        <f t="shared" si="3"/>
        <v>0</v>
      </c>
      <c r="M27" s="686">
        <f t="shared" ca="1" si="3"/>
        <v>0</v>
      </c>
      <c r="N27" s="686">
        <f t="shared" si="3"/>
        <v>8015.2250654034815</v>
      </c>
      <c r="O27" s="686">
        <f t="shared" ca="1" si="3"/>
        <v>13555.880608975422</v>
      </c>
      <c r="P27" s="686">
        <f t="shared" si="3"/>
        <v>159.46</v>
      </c>
      <c r="Q27" s="686">
        <f t="shared" si="3"/>
        <v>552.93333333333339</v>
      </c>
      <c r="R27" s="686">
        <f t="shared" ca="1" si="3"/>
        <v>501514.30540233891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2210.5418346980032</v>
      </c>
      <c r="D40" s="676">
        <f ca="1">tertiair!C20</f>
        <v>0</v>
      </c>
      <c r="E40" s="676">
        <f ca="1">tertiair!D20</f>
        <v>4038.8999009429222</v>
      </c>
      <c r="F40" s="676">
        <f>tertiair!E20</f>
        <v>40.791810820897098</v>
      </c>
      <c r="G40" s="676">
        <f ca="1">tertiair!F20</f>
        <v>714.93342281065259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7005.1669692724745</v>
      </c>
    </row>
    <row r="41" spans="1:18">
      <c r="A41" s="804" t="s">
        <v>214</v>
      </c>
      <c r="B41" s="811"/>
      <c r="C41" s="676">
        <f ca="1">huishoudens!B12</f>
        <v>5234.1502123306582</v>
      </c>
      <c r="D41" s="676">
        <f ca="1">huishoudens!C12</f>
        <v>0</v>
      </c>
      <c r="E41" s="676">
        <f>huishoudens!D12</f>
        <v>18446.836309052058</v>
      </c>
      <c r="F41" s="676">
        <f>huishoudens!E12</f>
        <v>314.09486284018084</v>
      </c>
      <c r="G41" s="676">
        <f>huishoudens!F12</f>
        <v>11321.723987203641</v>
      </c>
      <c r="H41" s="676">
        <f>huishoudens!G12</f>
        <v>0</v>
      </c>
      <c r="I41" s="676">
        <f>huishoudens!H12</f>
        <v>0</v>
      </c>
      <c r="J41" s="676">
        <f>huishoudens!I12</f>
        <v>0</v>
      </c>
      <c r="K41" s="676">
        <f>huishoudens!J12</f>
        <v>284.27513749793565</v>
      </c>
      <c r="L41" s="676">
        <f>huishoudens!K12</f>
        <v>0</v>
      </c>
      <c r="M41" s="676">
        <f>huishoudens!L12</f>
        <v>0</v>
      </c>
      <c r="N41" s="676">
        <f>huishoudens!M12</f>
        <v>0</v>
      </c>
      <c r="O41" s="676">
        <f>huishoudens!N12</f>
        <v>0</v>
      </c>
      <c r="P41" s="676">
        <f>huishoudens!O12</f>
        <v>0</v>
      </c>
      <c r="Q41" s="753">
        <f>huishoudens!P12</f>
        <v>0</v>
      </c>
      <c r="R41" s="832">
        <f t="shared" ca="1" si="4"/>
        <v>35601.080508924475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1115.2247256801456</v>
      </c>
      <c r="D43" s="676">
        <f ca="1">industrie!C22</f>
        <v>0</v>
      </c>
      <c r="E43" s="676">
        <f>industrie!D22</f>
        <v>2009.2071228534705</v>
      </c>
      <c r="F43" s="676">
        <f>industrie!E22</f>
        <v>246.17572380220273</v>
      </c>
      <c r="G43" s="676">
        <f>industrie!F22</f>
        <v>1198.7837341120942</v>
      </c>
      <c r="H43" s="676">
        <f>industrie!G22</f>
        <v>0</v>
      </c>
      <c r="I43" s="676">
        <f>industrie!H22</f>
        <v>0</v>
      </c>
      <c r="J43" s="676">
        <f>industrie!I22</f>
        <v>0</v>
      </c>
      <c r="K43" s="676">
        <f>industrie!J22</f>
        <v>2.1299218737506345</v>
      </c>
      <c r="L43" s="676">
        <f>industrie!K22</f>
        <v>0</v>
      </c>
      <c r="M43" s="676">
        <f>industrie!L22</f>
        <v>0</v>
      </c>
      <c r="N43" s="676">
        <f>industrie!M22</f>
        <v>0</v>
      </c>
      <c r="O43" s="676">
        <f>industrie!N22</f>
        <v>0</v>
      </c>
      <c r="P43" s="676">
        <f>industrie!O22</f>
        <v>0</v>
      </c>
      <c r="Q43" s="753">
        <f>industrie!P22</f>
        <v>0</v>
      </c>
      <c r="R43" s="831">
        <f t="shared" ca="1" si="4"/>
        <v>4571.5212283216633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8559.9167727088061</v>
      </c>
      <c r="D46" s="711">
        <f t="shared" ref="D46:Q46" ca="1" si="5">SUM(D39:D45)</f>
        <v>0</v>
      </c>
      <c r="E46" s="711">
        <f t="shared" ca="1" si="5"/>
        <v>24494.943332848448</v>
      </c>
      <c r="F46" s="711">
        <f t="shared" si="5"/>
        <v>601.0623974632806</v>
      </c>
      <c r="G46" s="711">
        <f t="shared" ca="1" si="5"/>
        <v>13235.441144126387</v>
      </c>
      <c r="H46" s="711">
        <f t="shared" si="5"/>
        <v>0</v>
      </c>
      <c r="I46" s="711">
        <f t="shared" si="5"/>
        <v>0</v>
      </c>
      <c r="J46" s="711">
        <f t="shared" si="5"/>
        <v>0</v>
      </c>
      <c r="K46" s="711">
        <f t="shared" si="5"/>
        <v>286.40505937168626</v>
      </c>
      <c r="L46" s="711">
        <f t="shared" si="5"/>
        <v>0</v>
      </c>
      <c r="M46" s="711">
        <f t="shared" ca="1" si="5"/>
        <v>0</v>
      </c>
      <c r="N46" s="711">
        <f t="shared" si="5"/>
        <v>0</v>
      </c>
      <c r="O46" s="711">
        <f t="shared" ca="1" si="5"/>
        <v>0</v>
      </c>
      <c r="P46" s="711">
        <f t="shared" si="5"/>
        <v>0</v>
      </c>
      <c r="Q46" s="711">
        <f t="shared" si="5"/>
        <v>0</v>
      </c>
      <c r="R46" s="711">
        <f ca="1">SUM(R39:R45)</f>
        <v>47177.768706518611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1.463182229674205</v>
      </c>
      <c r="D49" s="676">
        <f ca="1">transport!C58</f>
        <v>0</v>
      </c>
      <c r="E49" s="676">
        <f>transport!D58</f>
        <v>0</v>
      </c>
      <c r="F49" s="676">
        <f>transport!E58</f>
        <v>0</v>
      </c>
      <c r="G49" s="676">
        <f>transport!F58</f>
        <v>0</v>
      </c>
      <c r="H49" s="676">
        <f>transport!G58</f>
        <v>501.78327983916103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503.24646206883523</v>
      </c>
    </row>
    <row r="50" spans="1:18">
      <c r="A50" s="807" t="s">
        <v>296</v>
      </c>
      <c r="B50" s="817"/>
      <c r="C50" s="682">
        <f ca="1">transport!B18</f>
        <v>1.8837631923263141</v>
      </c>
      <c r="D50" s="682">
        <f>transport!C18</f>
        <v>0</v>
      </c>
      <c r="E50" s="682">
        <f>transport!D18</f>
        <v>2.5045293714007753</v>
      </c>
      <c r="F50" s="682">
        <f>transport!E18</f>
        <v>108.41534580532564</v>
      </c>
      <c r="G50" s="682">
        <f>transport!F18</f>
        <v>0</v>
      </c>
      <c r="H50" s="682">
        <f>transport!G18</f>
        <v>41103.031018010486</v>
      </c>
      <c r="I50" s="682">
        <f>transport!H18</f>
        <v>5354.4513276706639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46570.285984050206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3.3469454220005188</v>
      </c>
      <c r="D52" s="711">
        <f t="shared" ref="D52:Q52" ca="1" si="6">SUM(D48:D51)</f>
        <v>0</v>
      </c>
      <c r="E52" s="711">
        <f t="shared" si="6"/>
        <v>2.5045293714007753</v>
      </c>
      <c r="F52" s="711">
        <f t="shared" si="6"/>
        <v>108.41534580532564</v>
      </c>
      <c r="G52" s="711">
        <f t="shared" si="6"/>
        <v>0</v>
      </c>
      <c r="H52" s="711">
        <f t="shared" si="6"/>
        <v>41604.814297849647</v>
      </c>
      <c r="I52" s="711">
        <f t="shared" si="6"/>
        <v>5354.4513276706639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47073.532446119039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776.78185697777621</v>
      </c>
      <c r="D54" s="682">
        <f ca="1">+landbouw!C12</f>
        <v>10266.352941176472</v>
      </c>
      <c r="E54" s="682">
        <f>+landbouw!D12</f>
        <v>0</v>
      </c>
      <c r="F54" s="682">
        <f>+landbouw!E12</f>
        <v>14.662384730330844</v>
      </c>
      <c r="G54" s="682">
        <f>+landbouw!F12</f>
        <v>4721.9969041417999</v>
      </c>
      <c r="H54" s="682">
        <f>+landbouw!G12</f>
        <v>0</v>
      </c>
      <c r="I54" s="682">
        <f>+landbouw!H12</f>
        <v>0</v>
      </c>
      <c r="J54" s="682">
        <f>+landbouw!I12</f>
        <v>0</v>
      </c>
      <c r="K54" s="682">
        <f>+landbouw!J12</f>
        <v>272.88651766403262</v>
      </c>
      <c r="L54" s="682">
        <f>+landbouw!K12</f>
        <v>0</v>
      </c>
      <c r="M54" s="682">
        <f>+landbouw!L12</f>
        <v>0</v>
      </c>
      <c r="N54" s="682">
        <f>+landbouw!M12</f>
        <v>0</v>
      </c>
      <c r="O54" s="682">
        <f>+landbouw!N12</f>
        <v>0</v>
      </c>
      <c r="P54" s="682">
        <f>+landbouw!O12</f>
        <v>0</v>
      </c>
      <c r="Q54" s="683">
        <f>+landbouw!P12</f>
        <v>0</v>
      </c>
      <c r="R54" s="710">
        <f ca="1">SUM(C54:Q54)</f>
        <v>16052.680604690409</v>
      </c>
    </row>
    <row r="55" spans="1:18" ht="15" thickBot="1">
      <c r="A55" s="807" t="s">
        <v>833</v>
      </c>
      <c r="B55" s="817"/>
      <c r="C55" s="682">
        <f ca="1">C25*'EF ele_warmte'!B12</f>
        <v>168.21009170817376</v>
      </c>
      <c r="D55" s="682"/>
      <c r="E55" s="682">
        <f>E25*EF_CO2_aardgas</f>
        <v>537.29703295286367</v>
      </c>
      <c r="F55" s="682"/>
      <c r="G55" s="682"/>
      <c r="H55" s="682"/>
      <c r="I55" s="682"/>
      <c r="J55" s="682"/>
      <c r="K55" s="682"/>
      <c r="L55" s="682"/>
      <c r="M55" s="682"/>
      <c r="N55" s="682"/>
      <c r="O55" s="682"/>
      <c r="P55" s="682"/>
      <c r="Q55" s="683"/>
      <c r="R55" s="710">
        <f ca="1">SUM(C55:Q55)</f>
        <v>705.50712466103744</v>
      </c>
    </row>
    <row r="56" spans="1:18" ht="15.75" thickBot="1">
      <c r="A56" s="805" t="s">
        <v>834</v>
      </c>
      <c r="B56" s="818"/>
      <c r="C56" s="711">
        <f ca="1">SUM(C54:C55)</f>
        <v>944.99194868594998</v>
      </c>
      <c r="D56" s="711">
        <f t="shared" ref="D56:Q56" ca="1" si="7">SUM(D54:D55)</f>
        <v>10266.352941176472</v>
      </c>
      <c r="E56" s="711">
        <f t="shared" si="7"/>
        <v>537.29703295286367</v>
      </c>
      <c r="F56" s="711">
        <f t="shared" si="7"/>
        <v>14.662384730330844</v>
      </c>
      <c r="G56" s="711">
        <f t="shared" si="7"/>
        <v>4721.9969041417999</v>
      </c>
      <c r="H56" s="711">
        <f t="shared" si="7"/>
        <v>0</v>
      </c>
      <c r="I56" s="711">
        <f t="shared" si="7"/>
        <v>0</v>
      </c>
      <c r="J56" s="711">
        <f t="shared" si="7"/>
        <v>0</v>
      </c>
      <c r="K56" s="711">
        <f t="shared" si="7"/>
        <v>272.88651766403262</v>
      </c>
      <c r="L56" s="711">
        <f t="shared" si="7"/>
        <v>0</v>
      </c>
      <c r="M56" s="711">
        <f t="shared" si="7"/>
        <v>0</v>
      </c>
      <c r="N56" s="711">
        <f t="shared" si="7"/>
        <v>0</v>
      </c>
      <c r="O56" s="711">
        <f t="shared" si="7"/>
        <v>0</v>
      </c>
      <c r="P56" s="711">
        <f t="shared" si="7"/>
        <v>0</v>
      </c>
      <c r="Q56" s="712">
        <f t="shared" si="7"/>
        <v>0</v>
      </c>
      <c r="R56" s="713">
        <f ca="1">SUM(R54:R55)</f>
        <v>16758.187729351448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9508.2556668167581</v>
      </c>
      <c r="D61" s="719">
        <f t="shared" ref="D61:Q61" ca="1" si="8">D46+D52+D56</f>
        <v>10266.352941176472</v>
      </c>
      <c r="E61" s="719">
        <f t="shared" ca="1" si="8"/>
        <v>25034.744895172713</v>
      </c>
      <c r="F61" s="719">
        <f t="shared" si="8"/>
        <v>724.14012799893703</v>
      </c>
      <c r="G61" s="719">
        <f t="shared" ca="1" si="8"/>
        <v>17957.438048268188</v>
      </c>
      <c r="H61" s="719">
        <f t="shared" si="8"/>
        <v>41604.814297849647</v>
      </c>
      <c r="I61" s="719">
        <f t="shared" si="8"/>
        <v>5354.4513276706639</v>
      </c>
      <c r="J61" s="719">
        <f t="shared" si="8"/>
        <v>0</v>
      </c>
      <c r="K61" s="719">
        <f t="shared" si="8"/>
        <v>559.29157703571889</v>
      </c>
      <c r="L61" s="719">
        <f t="shared" si="8"/>
        <v>0</v>
      </c>
      <c r="M61" s="719">
        <f t="shared" ca="1" si="8"/>
        <v>0</v>
      </c>
      <c r="N61" s="719">
        <f t="shared" si="8"/>
        <v>0</v>
      </c>
      <c r="O61" s="719">
        <f t="shared" ca="1" si="8"/>
        <v>0</v>
      </c>
      <c r="P61" s="719">
        <f t="shared" si="8"/>
        <v>0</v>
      </c>
      <c r="Q61" s="719">
        <f t="shared" si="8"/>
        <v>0</v>
      </c>
      <c r="R61" s="719">
        <f ca="1">R46+R52+R56</f>
        <v>111009.48888198909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0.15154278562133483</v>
      </c>
      <c r="D63" s="762">
        <f t="shared" ca="1" si="9"/>
        <v>0.23764705882352943</v>
      </c>
      <c r="E63" s="984">
        <f t="shared" ca="1" si="9"/>
        <v>0.20199999999999996</v>
      </c>
      <c r="F63" s="762">
        <f t="shared" si="9"/>
        <v>0.22699999999999995</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15089.267330000001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6907.8553714479376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30240</v>
      </c>
      <c r="D76" s="994">
        <f>'lokale energieproductie'!C8</f>
        <v>35576.470588235294</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7186.4470588235299</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21997.122701447937</v>
      </c>
      <c r="C78" s="734">
        <f>SUM(C72:C77)</f>
        <v>30240</v>
      </c>
      <c r="D78" s="735">
        <f t="shared" ref="D78:H78" si="10">SUM(D76:D77)</f>
        <v>35576.470588235294</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7186.4470588235299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43200</v>
      </c>
      <c r="D87" s="756">
        <f>'lokale energieproductie'!C17</f>
        <v>50823.529411764706</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10266.352941176472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43200</v>
      </c>
      <c r="D90" s="734">
        <f t="shared" ref="D90:H90" si="12">SUM(D87:D89)</f>
        <v>50823.529411764706</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10266.352941176472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34539.091985608669</v>
      </c>
      <c r="C4" s="448">
        <f>huishoudens!C8</f>
        <v>0</v>
      </c>
      <c r="D4" s="448">
        <f>huishoudens!D8</f>
        <v>91320.971826990382</v>
      </c>
      <c r="E4" s="448">
        <f>huishoudens!E8</f>
        <v>1383.677809868638</v>
      </c>
      <c r="F4" s="448">
        <f>huishoudens!F8</f>
        <v>42403.460626230859</v>
      </c>
      <c r="G4" s="448">
        <f>huishoudens!G8</f>
        <v>0</v>
      </c>
      <c r="H4" s="448">
        <f>huishoudens!H8</f>
        <v>0</v>
      </c>
      <c r="I4" s="448">
        <f>huishoudens!I8</f>
        <v>0</v>
      </c>
      <c r="J4" s="448">
        <f>huishoudens!J8</f>
        <v>803.03711157608939</v>
      </c>
      <c r="K4" s="448">
        <f>huishoudens!K8</f>
        <v>0</v>
      </c>
      <c r="L4" s="448">
        <f>huishoudens!L8</f>
        <v>0</v>
      </c>
      <c r="M4" s="448">
        <f>huishoudens!M8</f>
        <v>0</v>
      </c>
      <c r="N4" s="448">
        <f>huishoudens!N8</f>
        <v>11451.931799724765</v>
      </c>
      <c r="O4" s="448">
        <f>huishoudens!O8</f>
        <v>159.46</v>
      </c>
      <c r="P4" s="449">
        <f>huishoudens!P8</f>
        <v>552.93333333333339</v>
      </c>
      <c r="Q4" s="450">
        <f>SUM(B4:P4)</f>
        <v>182614.5644933327</v>
      </c>
    </row>
    <row r="5" spans="1:17">
      <c r="A5" s="447" t="s">
        <v>149</v>
      </c>
      <c r="B5" s="448">
        <f ca="1">tertiair!B16</f>
        <v>13385.70867292131</v>
      </c>
      <c r="C5" s="448">
        <f ca="1">tertiair!C16</f>
        <v>0</v>
      </c>
      <c r="D5" s="448">
        <f ca="1">tertiair!D16</f>
        <v>19994.553965063969</v>
      </c>
      <c r="E5" s="448">
        <f>tertiair!E16</f>
        <v>179.69960714051584</v>
      </c>
      <c r="F5" s="448">
        <f ca="1">tertiair!F16</f>
        <v>2677.6532689537548</v>
      </c>
      <c r="G5" s="448">
        <f>tertiair!G16</f>
        <v>0</v>
      </c>
      <c r="H5" s="448">
        <f>tertiair!H16</f>
        <v>0</v>
      </c>
      <c r="I5" s="448">
        <f>tertiair!I16</f>
        <v>0</v>
      </c>
      <c r="J5" s="448">
        <f>tertiair!J16</f>
        <v>0</v>
      </c>
      <c r="K5" s="448">
        <f>tertiair!K16</f>
        <v>0</v>
      </c>
      <c r="L5" s="448">
        <f ca="1">tertiair!L16</f>
        <v>0</v>
      </c>
      <c r="M5" s="448">
        <f>tertiair!M16</f>
        <v>0</v>
      </c>
      <c r="N5" s="448">
        <f ca="1">tertiair!N16</f>
        <v>1382.615659047299</v>
      </c>
      <c r="O5" s="448">
        <f>tertiair!O16</f>
        <v>0</v>
      </c>
      <c r="P5" s="449">
        <f>tertiair!P16</f>
        <v>0</v>
      </c>
      <c r="Q5" s="447">
        <f t="shared" ref="Q5:Q14" ca="1" si="0">SUM(B5:P5)</f>
        <v>37620.231173126849</v>
      </c>
    </row>
    <row r="6" spans="1:17">
      <c r="A6" s="447" t="s">
        <v>187</v>
      </c>
      <c r="B6" s="448">
        <f>'openbare verlichting'!B8</f>
        <v>1201.2070000000001</v>
      </c>
      <c r="C6" s="448"/>
      <c r="D6" s="448"/>
      <c r="E6" s="448"/>
      <c r="F6" s="448"/>
      <c r="G6" s="448"/>
      <c r="H6" s="448"/>
      <c r="I6" s="448"/>
      <c r="J6" s="448"/>
      <c r="K6" s="448"/>
      <c r="L6" s="448"/>
      <c r="M6" s="448"/>
      <c r="N6" s="448"/>
      <c r="O6" s="448"/>
      <c r="P6" s="449"/>
      <c r="Q6" s="447">
        <f t="shared" si="0"/>
        <v>1201.2070000000001</v>
      </c>
    </row>
    <row r="7" spans="1:17">
      <c r="A7" s="447" t="s">
        <v>105</v>
      </c>
      <c r="B7" s="448">
        <f>landbouw!B8</f>
        <v>5125.825381874316</v>
      </c>
      <c r="C7" s="448">
        <f>landbouw!C8</f>
        <v>43200</v>
      </c>
      <c r="D7" s="448">
        <f>landbouw!D8</f>
        <v>0</v>
      </c>
      <c r="E7" s="448">
        <f>landbouw!E8</f>
        <v>64.592003217316488</v>
      </c>
      <c r="F7" s="448">
        <f>landbouw!F8</f>
        <v>17685.381663452434</v>
      </c>
      <c r="G7" s="448">
        <f>landbouw!G8</f>
        <v>0</v>
      </c>
      <c r="H7" s="448">
        <f>landbouw!H8</f>
        <v>0</v>
      </c>
      <c r="I7" s="448">
        <f>landbouw!I8</f>
        <v>0</v>
      </c>
      <c r="J7" s="448">
        <f>landbouw!J8</f>
        <v>770.86586910743677</v>
      </c>
      <c r="K7" s="448">
        <f>landbouw!K8</f>
        <v>0</v>
      </c>
      <c r="L7" s="448">
        <f>landbouw!L8</f>
        <v>0</v>
      </c>
      <c r="M7" s="448">
        <f>landbouw!M8</f>
        <v>0</v>
      </c>
      <c r="N7" s="448">
        <f>landbouw!N8</f>
        <v>0</v>
      </c>
      <c r="O7" s="448">
        <f>landbouw!O8</f>
        <v>0</v>
      </c>
      <c r="P7" s="449">
        <f>landbouw!P8</f>
        <v>0</v>
      </c>
      <c r="Q7" s="447">
        <f t="shared" si="0"/>
        <v>66846.664917651506</v>
      </c>
    </row>
    <row r="8" spans="1:17">
      <c r="A8" s="447" t="s">
        <v>639</v>
      </c>
      <c r="B8" s="448">
        <f>industrie!B18</f>
        <v>7359.140991817294</v>
      </c>
      <c r="C8" s="448">
        <f>industrie!C18</f>
        <v>0</v>
      </c>
      <c r="D8" s="448">
        <f>industrie!D18</f>
        <v>9946.5699151161898</v>
      </c>
      <c r="E8" s="448">
        <f>industrie!E18</f>
        <v>1084.4745541947257</v>
      </c>
      <c r="F8" s="448">
        <f>industrie!F18</f>
        <v>4489.8267195209519</v>
      </c>
      <c r="G8" s="448">
        <f>industrie!G18</f>
        <v>0</v>
      </c>
      <c r="H8" s="448">
        <f>industrie!H18</f>
        <v>0</v>
      </c>
      <c r="I8" s="448">
        <f>industrie!I18</f>
        <v>0</v>
      </c>
      <c r="J8" s="448">
        <f>industrie!J18</f>
        <v>6.0167284569226966</v>
      </c>
      <c r="K8" s="448">
        <f>industrie!K18</f>
        <v>0</v>
      </c>
      <c r="L8" s="448">
        <f>industrie!L18</f>
        <v>0</v>
      </c>
      <c r="M8" s="448">
        <f>industrie!M18</f>
        <v>0</v>
      </c>
      <c r="N8" s="448">
        <f>industrie!N18</f>
        <v>721.33315020335829</v>
      </c>
      <c r="O8" s="448">
        <f>industrie!O18</f>
        <v>0</v>
      </c>
      <c r="P8" s="449">
        <f>industrie!P18</f>
        <v>0</v>
      </c>
      <c r="Q8" s="447">
        <f t="shared" si="0"/>
        <v>23607.362059309442</v>
      </c>
    </row>
    <row r="9" spans="1:17" s="453" customFormat="1">
      <c r="A9" s="451" t="s">
        <v>557</v>
      </c>
      <c r="B9" s="452">
        <f>transport!B14</f>
        <v>12.430569918605944</v>
      </c>
      <c r="C9" s="452">
        <f>transport!C14</f>
        <v>0</v>
      </c>
      <c r="D9" s="452">
        <f>transport!D14</f>
        <v>12.398660254459282</v>
      </c>
      <c r="E9" s="452">
        <f>transport!E14</f>
        <v>477.60064231420989</v>
      </c>
      <c r="F9" s="452">
        <f>transport!F14</f>
        <v>0</v>
      </c>
      <c r="G9" s="452">
        <f>transport!G14</f>
        <v>153943.936397043</v>
      </c>
      <c r="H9" s="452">
        <f>transport!H14</f>
        <v>21503.820593054876</v>
      </c>
      <c r="I9" s="452">
        <f>transport!I14</f>
        <v>0</v>
      </c>
      <c r="J9" s="452">
        <f>transport!J14</f>
        <v>0</v>
      </c>
      <c r="K9" s="452">
        <f>transport!K14</f>
        <v>0</v>
      </c>
      <c r="L9" s="452">
        <f>transport!L14</f>
        <v>0</v>
      </c>
      <c r="M9" s="452">
        <f>transport!M14</f>
        <v>7930.9539646866997</v>
      </c>
      <c r="N9" s="452">
        <f>transport!N14</f>
        <v>0</v>
      </c>
      <c r="O9" s="452">
        <f>transport!O14</f>
        <v>0</v>
      </c>
      <c r="P9" s="452">
        <f>transport!P14</f>
        <v>0</v>
      </c>
      <c r="Q9" s="451">
        <f>SUM(B9:P9)</f>
        <v>183881.14082727183</v>
      </c>
    </row>
    <row r="10" spans="1:17">
      <c r="A10" s="447" t="s">
        <v>547</v>
      </c>
      <c r="B10" s="448">
        <f>transport!B54</f>
        <v>9.6552417436110005</v>
      </c>
      <c r="C10" s="448">
        <f>transport!C54</f>
        <v>0</v>
      </c>
      <c r="D10" s="448">
        <f>transport!D54</f>
        <v>0</v>
      </c>
      <c r="E10" s="448">
        <f>transport!E54</f>
        <v>0</v>
      </c>
      <c r="F10" s="448">
        <f>transport!F54</f>
        <v>0</v>
      </c>
      <c r="G10" s="448">
        <f>transport!G54</f>
        <v>1879.3381267384307</v>
      </c>
      <c r="H10" s="448">
        <f>transport!H54</f>
        <v>0</v>
      </c>
      <c r="I10" s="448">
        <f>transport!I54</f>
        <v>0</v>
      </c>
      <c r="J10" s="448">
        <f>transport!J54</f>
        <v>0</v>
      </c>
      <c r="K10" s="448">
        <f>transport!K54</f>
        <v>0</v>
      </c>
      <c r="L10" s="448">
        <f>transport!L54</f>
        <v>0</v>
      </c>
      <c r="M10" s="448">
        <f>transport!M54</f>
        <v>84.271100716782172</v>
      </c>
      <c r="N10" s="448">
        <f>transport!N54</f>
        <v>0</v>
      </c>
      <c r="O10" s="448">
        <f>transport!O54</f>
        <v>0</v>
      </c>
      <c r="P10" s="449">
        <f>transport!P54</f>
        <v>0</v>
      </c>
      <c r="Q10" s="447">
        <f t="shared" si="0"/>
        <v>1973.2644691988239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1109.9841607009</v>
      </c>
      <c r="C14" s="455"/>
      <c r="D14" s="455">
        <f>'SEAP template'!E25</f>
        <v>2659.8863017468498</v>
      </c>
      <c r="E14" s="455"/>
      <c r="F14" s="455"/>
      <c r="G14" s="455"/>
      <c r="H14" s="455"/>
      <c r="I14" s="455"/>
      <c r="J14" s="455"/>
      <c r="K14" s="455"/>
      <c r="L14" s="455"/>
      <c r="M14" s="455"/>
      <c r="N14" s="455"/>
      <c r="O14" s="455"/>
      <c r="P14" s="456"/>
      <c r="Q14" s="447">
        <f t="shared" si="0"/>
        <v>3769.8704624477496</v>
      </c>
    </row>
    <row r="15" spans="1:17" s="460" customFormat="1">
      <c r="A15" s="457" t="s">
        <v>551</v>
      </c>
      <c r="B15" s="458">
        <f ca="1">SUM(B4:B14)</f>
        <v>62743.044004584714</v>
      </c>
      <c r="C15" s="458">
        <f t="shared" ref="C15:Q15" ca="1" si="1">SUM(C4:C14)</f>
        <v>43200</v>
      </c>
      <c r="D15" s="458">
        <f t="shared" ca="1" si="1"/>
        <v>123934.38066917186</v>
      </c>
      <c r="E15" s="458">
        <f t="shared" si="1"/>
        <v>3190.0446167354057</v>
      </c>
      <c r="F15" s="458">
        <f t="shared" ca="1" si="1"/>
        <v>67256.322278157997</v>
      </c>
      <c r="G15" s="458">
        <f t="shared" si="1"/>
        <v>155823.27452378144</v>
      </c>
      <c r="H15" s="458">
        <f t="shared" si="1"/>
        <v>21503.820593054876</v>
      </c>
      <c r="I15" s="458">
        <f t="shared" si="1"/>
        <v>0</v>
      </c>
      <c r="J15" s="458">
        <f t="shared" si="1"/>
        <v>1579.9197091404487</v>
      </c>
      <c r="K15" s="458">
        <f t="shared" si="1"/>
        <v>0</v>
      </c>
      <c r="L15" s="458">
        <f t="shared" ca="1" si="1"/>
        <v>0</v>
      </c>
      <c r="M15" s="458">
        <f t="shared" si="1"/>
        <v>8015.2250654034815</v>
      </c>
      <c r="N15" s="458">
        <f t="shared" ca="1" si="1"/>
        <v>13555.880608975422</v>
      </c>
      <c r="O15" s="458">
        <f t="shared" si="1"/>
        <v>159.46</v>
      </c>
      <c r="P15" s="458">
        <f t="shared" si="1"/>
        <v>552.93333333333339</v>
      </c>
      <c r="Q15" s="458">
        <f t="shared" ca="1" si="1"/>
        <v>501514.30540233891</v>
      </c>
    </row>
    <row r="17" spans="1:17">
      <c r="A17" s="461" t="s">
        <v>552</v>
      </c>
      <c r="B17" s="767">
        <f ca="1">huishoudens!B10</f>
        <v>0.15154278562133483</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5234.1502123306582</v>
      </c>
      <c r="C22" s="448">
        <f t="shared" ref="C22:C32" ca="1" si="3">C4*$C$17</f>
        <v>0</v>
      </c>
      <c r="D22" s="448">
        <f t="shared" ref="D22:D32" si="4">D4*$D$17</f>
        <v>18446.836309052058</v>
      </c>
      <c r="E22" s="448">
        <f t="shared" ref="E22:E32" si="5">E4*$E$17</f>
        <v>314.09486284018084</v>
      </c>
      <c r="F22" s="448">
        <f t="shared" ref="F22:F32" si="6">F4*$F$17</f>
        <v>11321.723987203641</v>
      </c>
      <c r="G22" s="448">
        <f t="shared" ref="G22:G32" si="7">G4*$G$17</f>
        <v>0</v>
      </c>
      <c r="H22" s="448">
        <f t="shared" ref="H22:H32" si="8">H4*$H$17</f>
        <v>0</v>
      </c>
      <c r="I22" s="448">
        <f t="shared" ref="I22:I32" si="9">I4*$I$17</f>
        <v>0</v>
      </c>
      <c r="J22" s="448">
        <f t="shared" ref="J22:J32" si="10">J4*$J$17</f>
        <v>284.27513749793565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35601.080508924475</v>
      </c>
    </row>
    <row r="23" spans="1:17">
      <c r="A23" s="447" t="s">
        <v>149</v>
      </c>
      <c r="B23" s="448">
        <f t="shared" ca="1" si="2"/>
        <v>2028.5075798101564</v>
      </c>
      <c r="C23" s="448">
        <f t="shared" ca="1" si="3"/>
        <v>0</v>
      </c>
      <c r="D23" s="448">
        <f t="shared" ca="1" si="4"/>
        <v>4038.8999009429222</v>
      </c>
      <c r="E23" s="448">
        <f t="shared" si="5"/>
        <v>40.791810820897098</v>
      </c>
      <c r="F23" s="448">
        <f t="shared" ca="1" si="6"/>
        <v>714.93342281065259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6823.1327143846283</v>
      </c>
    </row>
    <row r="24" spans="1:17">
      <c r="A24" s="447" t="s">
        <v>187</v>
      </c>
      <c r="B24" s="448">
        <f t="shared" ca="1" si="2"/>
        <v>182.03425488784677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182.03425488784677</v>
      </c>
    </row>
    <row r="25" spans="1:17">
      <c r="A25" s="447" t="s">
        <v>105</v>
      </c>
      <c r="B25" s="448">
        <f t="shared" ca="1" si="2"/>
        <v>776.78185697777621</v>
      </c>
      <c r="C25" s="448">
        <f t="shared" ca="1" si="3"/>
        <v>10266.352941176472</v>
      </c>
      <c r="D25" s="448">
        <f t="shared" si="4"/>
        <v>0</v>
      </c>
      <c r="E25" s="448">
        <f t="shared" si="5"/>
        <v>14.662384730330844</v>
      </c>
      <c r="F25" s="448">
        <f t="shared" si="6"/>
        <v>4721.9969041417999</v>
      </c>
      <c r="G25" s="448">
        <f t="shared" si="7"/>
        <v>0</v>
      </c>
      <c r="H25" s="448">
        <f t="shared" si="8"/>
        <v>0</v>
      </c>
      <c r="I25" s="448">
        <f t="shared" si="9"/>
        <v>0</v>
      </c>
      <c r="J25" s="448">
        <f t="shared" si="10"/>
        <v>272.88651766403262</v>
      </c>
      <c r="K25" s="448">
        <f t="shared" si="11"/>
        <v>0</v>
      </c>
      <c r="L25" s="448">
        <f t="shared" si="12"/>
        <v>0</v>
      </c>
      <c r="M25" s="448">
        <f t="shared" si="13"/>
        <v>0</v>
      </c>
      <c r="N25" s="448">
        <f t="shared" si="14"/>
        <v>0</v>
      </c>
      <c r="O25" s="448">
        <f t="shared" si="15"/>
        <v>0</v>
      </c>
      <c r="P25" s="449">
        <f t="shared" si="16"/>
        <v>0</v>
      </c>
      <c r="Q25" s="447">
        <f t="shared" ca="1" si="17"/>
        <v>16052.680604690409</v>
      </c>
    </row>
    <row r="26" spans="1:17">
      <c r="A26" s="447" t="s">
        <v>639</v>
      </c>
      <c r="B26" s="448">
        <f t="shared" ca="1" si="2"/>
        <v>1115.2247256801456</v>
      </c>
      <c r="C26" s="448">
        <f t="shared" ca="1" si="3"/>
        <v>0</v>
      </c>
      <c r="D26" s="448">
        <f t="shared" si="4"/>
        <v>2009.2071228534705</v>
      </c>
      <c r="E26" s="448">
        <f t="shared" si="5"/>
        <v>246.17572380220273</v>
      </c>
      <c r="F26" s="448">
        <f t="shared" si="6"/>
        <v>1198.7837341120942</v>
      </c>
      <c r="G26" s="448">
        <f t="shared" si="7"/>
        <v>0</v>
      </c>
      <c r="H26" s="448">
        <f t="shared" si="8"/>
        <v>0</v>
      </c>
      <c r="I26" s="448">
        <f t="shared" si="9"/>
        <v>0</v>
      </c>
      <c r="J26" s="448">
        <f t="shared" si="10"/>
        <v>2.1299218737506345</v>
      </c>
      <c r="K26" s="448">
        <f t="shared" si="11"/>
        <v>0</v>
      </c>
      <c r="L26" s="448">
        <f t="shared" si="12"/>
        <v>0</v>
      </c>
      <c r="M26" s="448">
        <f t="shared" si="13"/>
        <v>0</v>
      </c>
      <c r="N26" s="448">
        <f t="shared" si="14"/>
        <v>0</v>
      </c>
      <c r="O26" s="448">
        <f t="shared" si="15"/>
        <v>0</v>
      </c>
      <c r="P26" s="449">
        <f t="shared" si="16"/>
        <v>0</v>
      </c>
      <c r="Q26" s="447">
        <f t="shared" ca="1" si="17"/>
        <v>4571.5212283216633</v>
      </c>
    </row>
    <row r="27" spans="1:17" s="453" customFormat="1">
      <c r="A27" s="451" t="s">
        <v>557</v>
      </c>
      <c r="B27" s="761">
        <f t="shared" ca="1" si="2"/>
        <v>1.8837631923263141</v>
      </c>
      <c r="C27" s="452">
        <f t="shared" ca="1" si="3"/>
        <v>0</v>
      </c>
      <c r="D27" s="452">
        <f t="shared" si="4"/>
        <v>2.5045293714007753</v>
      </c>
      <c r="E27" s="452">
        <f t="shared" si="5"/>
        <v>108.41534580532564</v>
      </c>
      <c r="F27" s="452">
        <f t="shared" si="6"/>
        <v>0</v>
      </c>
      <c r="G27" s="452">
        <f t="shared" si="7"/>
        <v>41103.031018010486</v>
      </c>
      <c r="H27" s="452">
        <f t="shared" si="8"/>
        <v>5354.4513276706639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46570.285984050206</v>
      </c>
    </row>
    <row r="28" spans="1:17">
      <c r="A28" s="447" t="s">
        <v>547</v>
      </c>
      <c r="B28" s="448">
        <f t="shared" ca="1" si="2"/>
        <v>1.463182229674205</v>
      </c>
      <c r="C28" s="448">
        <f t="shared" ca="1" si="3"/>
        <v>0</v>
      </c>
      <c r="D28" s="448">
        <f t="shared" si="4"/>
        <v>0</v>
      </c>
      <c r="E28" s="448">
        <f t="shared" si="5"/>
        <v>0</v>
      </c>
      <c r="F28" s="448">
        <f t="shared" si="6"/>
        <v>0</v>
      </c>
      <c r="G28" s="448">
        <f t="shared" si="7"/>
        <v>501.78327983916103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503.24646206883523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168.21009170817376</v>
      </c>
      <c r="C32" s="448">
        <f t="shared" ca="1" si="3"/>
        <v>0</v>
      </c>
      <c r="D32" s="448">
        <f t="shared" si="4"/>
        <v>537.29703295286367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705.50712466103744</v>
      </c>
    </row>
    <row r="33" spans="1:17" s="460" customFormat="1">
      <c r="A33" s="457" t="s">
        <v>551</v>
      </c>
      <c r="B33" s="458">
        <f ca="1">SUM(B22:B32)</f>
        <v>9508.2556668167581</v>
      </c>
      <c r="C33" s="458">
        <f t="shared" ref="C33:Q33" ca="1" si="18">SUM(C22:C32)</f>
        <v>10266.352941176472</v>
      </c>
      <c r="D33" s="458">
        <f t="shared" ca="1" si="18"/>
        <v>25034.744895172713</v>
      </c>
      <c r="E33" s="458">
        <f t="shared" si="18"/>
        <v>724.14012799893715</v>
      </c>
      <c r="F33" s="458">
        <f t="shared" ca="1" si="18"/>
        <v>17957.438048268188</v>
      </c>
      <c r="G33" s="458">
        <f t="shared" si="18"/>
        <v>41604.814297849647</v>
      </c>
      <c r="H33" s="458">
        <f t="shared" si="18"/>
        <v>5354.4513276706639</v>
      </c>
      <c r="I33" s="458">
        <f t="shared" si="18"/>
        <v>0</v>
      </c>
      <c r="J33" s="458">
        <f t="shared" si="18"/>
        <v>559.29157703571889</v>
      </c>
      <c r="K33" s="458">
        <f t="shared" si="18"/>
        <v>0</v>
      </c>
      <c r="L33" s="458">
        <f t="shared" ca="1" si="18"/>
        <v>0</v>
      </c>
      <c r="M33" s="458">
        <f t="shared" si="18"/>
        <v>0</v>
      </c>
      <c r="N33" s="458">
        <f t="shared" ca="1" si="18"/>
        <v>0</v>
      </c>
      <c r="O33" s="458">
        <f t="shared" si="18"/>
        <v>0</v>
      </c>
      <c r="P33" s="458">
        <f t="shared" si="18"/>
        <v>0</v>
      </c>
      <c r="Q33" s="458">
        <f t="shared" ca="1" si="18"/>
        <v>111009.48888198909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15089.267330000001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6907.8553714479376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30240</v>
      </c>
      <c r="D8" s="1020">
        <f>'SEAP template'!D76</f>
        <v>35576.470588235294</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7186.4470588235299</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21997.122701447937</v>
      </c>
      <c r="C10" s="1024">
        <f>SUM(C4:C9)</f>
        <v>30240</v>
      </c>
      <c r="D10" s="1024">
        <f t="shared" ref="D10:H10" si="0">SUM(D8:D9)</f>
        <v>35576.470588235294</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7186.4470588235299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0.15154278562133483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43200</v>
      </c>
      <c r="D17" s="1021">
        <f>'SEAP template'!D87</f>
        <v>50823.529411764706</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10266.352941176472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43200</v>
      </c>
      <c r="D20" s="1024">
        <f t="shared" ref="D20:H20" si="2">SUM(D17:D19)</f>
        <v>50823.529411764706</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10266.352941176472</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0.15154278562133483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0.15154278562133483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0.15154278562133483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7485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3620</v>
      </c>
      <c r="C14" s="327"/>
      <c r="D14" s="327"/>
      <c r="E14" s="327"/>
      <c r="F14" s="327"/>
    </row>
    <row r="15" spans="1:6">
      <c r="A15" s="1296" t="s">
        <v>177</v>
      </c>
      <c r="B15" s="1297">
        <v>15</v>
      </c>
      <c r="C15" s="327"/>
      <c r="D15" s="327"/>
      <c r="E15" s="327"/>
      <c r="F15" s="327"/>
    </row>
    <row r="16" spans="1:6">
      <c r="A16" s="1296" t="s">
        <v>6</v>
      </c>
      <c r="B16" s="1297">
        <v>682</v>
      </c>
      <c r="C16" s="327"/>
      <c r="D16" s="327"/>
      <c r="E16" s="327"/>
      <c r="F16" s="327"/>
    </row>
    <row r="17" spans="1:6">
      <c r="A17" s="1296" t="s">
        <v>7</v>
      </c>
      <c r="B17" s="1297">
        <v>792</v>
      </c>
      <c r="C17" s="327"/>
      <c r="D17" s="327"/>
      <c r="E17" s="327"/>
      <c r="F17" s="327"/>
    </row>
    <row r="18" spans="1:6">
      <c r="A18" s="1296" t="s">
        <v>8</v>
      </c>
      <c r="B18" s="1297">
        <v>1323</v>
      </c>
      <c r="C18" s="327"/>
      <c r="D18" s="327"/>
      <c r="E18" s="327"/>
      <c r="F18" s="327"/>
    </row>
    <row r="19" spans="1:6">
      <c r="A19" s="1296" t="s">
        <v>9</v>
      </c>
      <c r="B19" s="1297">
        <v>1271</v>
      </c>
      <c r="C19" s="327"/>
      <c r="D19" s="327"/>
      <c r="E19" s="327"/>
      <c r="F19" s="327"/>
    </row>
    <row r="20" spans="1:6">
      <c r="A20" s="1296" t="s">
        <v>10</v>
      </c>
      <c r="B20" s="1297">
        <v>758</v>
      </c>
      <c r="C20" s="327"/>
      <c r="D20" s="327"/>
      <c r="E20" s="327"/>
      <c r="F20" s="327"/>
    </row>
    <row r="21" spans="1:6">
      <c r="A21" s="1296" t="s">
        <v>11</v>
      </c>
      <c r="B21" s="1297">
        <v>7687</v>
      </c>
      <c r="C21" s="327"/>
      <c r="D21" s="327"/>
      <c r="E21" s="327"/>
      <c r="F21" s="327"/>
    </row>
    <row r="22" spans="1:6">
      <c r="A22" s="1296" t="s">
        <v>12</v>
      </c>
      <c r="B22" s="1297">
        <v>29017</v>
      </c>
      <c r="C22" s="327"/>
      <c r="D22" s="327"/>
      <c r="E22" s="327"/>
      <c r="F22" s="327"/>
    </row>
    <row r="23" spans="1:6">
      <c r="A23" s="1296" t="s">
        <v>13</v>
      </c>
      <c r="B23" s="1297">
        <v>368</v>
      </c>
      <c r="C23" s="327"/>
      <c r="D23" s="327"/>
      <c r="E23" s="327"/>
      <c r="F23" s="327"/>
    </row>
    <row r="24" spans="1:6">
      <c r="A24" s="1296" t="s">
        <v>14</v>
      </c>
      <c r="B24" s="1297">
        <v>150</v>
      </c>
      <c r="C24" s="327"/>
      <c r="D24" s="327"/>
      <c r="E24" s="327"/>
      <c r="F24" s="327"/>
    </row>
    <row r="25" spans="1:6">
      <c r="A25" s="1296" t="s">
        <v>15</v>
      </c>
      <c r="B25" s="1297">
        <v>1871</v>
      </c>
      <c r="C25" s="327"/>
      <c r="D25" s="327"/>
      <c r="E25" s="327"/>
      <c r="F25" s="327"/>
    </row>
    <row r="26" spans="1:6">
      <c r="A26" s="1296" t="s">
        <v>16</v>
      </c>
      <c r="B26" s="1297">
        <v>275</v>
      </c>
      <c r="C26" s="327"/>
      <c r="D26" s="327"/>
      <c r="E26" s="327"/>
      <c r="F26" s="327"/>
    </row>
    <row r="27" spans="1:6">
      <c r="A27" s="1296" t="s">
        <v>17</v>
      </c>
      <c r="B27" s="1297">
        <v>2643</v>
      </c>
      <c r="C27" s="327"/>
      <c r="D27" s="327"/>
      <c r="E27" s="327"/>
      <c r="F27" s="327"/>
    </row>
    <row r="28" spans="1:6">
      <c r="A28" s="1296" t="s">
        <v>18</v>
      </c>
      <c r="B28" s="1298">
        <v>320531</v>
      </c>
      <c r="C28" s="327"/>
      <c r="D28" s="327"/>
      <c r="E28" s="327"/>
      <c r="F28" s="327"/>
    </row>
    <row r="29" spans="1:6">
      <c r="A29" s="1296" t="s">
        <v>922</v>
      </c>
      <c r="B29" s="1298">
        <v>339</v>
      </c>
      <c r="C29" s="327"/>
      <c r="D29" s="327"/>
      <c r="E29" s="327"/>
      <c r="F29" s="327"/>
    </row>
    <row r="30" spans="1:6">
      <c r="A30" s="1291" t="s">
        <v>923</v>
      </c>
      <c r="B30" s="1299">
        <v>64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329738.63127184601</v>
      </c>
      <c r="E38" s="1297">
        <v>6</v>
      </c>
      <c r="F38" s="1297">
        <v>221562.63037816001</v>
      </c>
    </row>
    <row r="39" spans="1:6">
      <c r="A39" s="1296" t="s">
        <v>29</v>
      </c>
      <c r="B39" s="1296" t="s">
        <v>30</v>
      </c>
      <c r="C39" s="1297">
        <v>5312</v>
      </c>
      <c r="D39" s="1297">
        <v>101242762.557639</v>
      </c>
      <c r="E39" s="1297">
        <v>7288</v>
      </c>
      <c r="F39" s="1297">
        <v>29966814.155572701</v>
      </c>
    </row>
    <row r="40" spans="1:6">
      <c r="A40" s="1296" t="s">
        <v>29</v>
      </c>
      <c r="B40" s="1296" t="s">
        <v>28</v>
      </c>
      <c r="C40" s="1297">
        <v>0</v>
      </c>
      <c r="D40" s="1297">
        <v>0</v>
      </c>
      <c r="E40" s="1297">
        <v>0</v>
      </c>
      <c r="F40" s="1297">
        <v>0</v>
      </c>
    </row>
    <row r="41" spans="1:6">
      <c r="A41" s="1296" t="s">
        <v>31</v>
      </c>
      <c r="B41" s="1296" t="s">
        <v>32</v>
      </c>
      <c r="C41" s="1297">
        <v>83</v>
      </c>
      <c r="D41" s="1297">
        <v>2618584.9879610301</v>
      </c>
      <c r="E41" s="1297">
        <v>151</v>
      </c>
      <c r="F41" s="1297">
        <v>3102193.3741172799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314685.12533412402</v>
      </c>
      <c r="E44" s="1297">
        <v>24</v>
      </c>
      <c r="F44" s="1297">
        <v>796086.86992094398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22</v>
      </c>
      <c r="D48" s="1297">
        <v>6450479.08205368</v>
      </c>
      <c r="E48" s="1297">
        <v>35</v>
      </c>
      <c r="F48" s="1297">
        <v>2341699.59135669</v>
      </c>
    </row>
    <row r="49" spans="1:6">
      <c r="A49" s="1296" t="s">
        <v>31</v>
      </c>
      <c r="B49" s="1296" t="s">
        <v>39</v>
      </c>
      <c r="C49" s="1297">
        <v>0</v>
      </c>
      <c r="D49" s="1297">
        <v>0</v>
      </c>
      <c r="E49" s="1297">
        <v>0</v>
      </c>
      <c r="F49" s="1297">
        <v>0</v>
      </c>
    </row>
    <row r="50" spans="1:6">
      <c r="A50" s="1296" t="s">
        <v>31</v>
      </c>
      <c r="B50" s="1296" t="s">
        <v>40</v>
      </c>
      <c r="C50" s="1297">
        <v>7</v>
      </c>
      <c r="D50" s="1297">
        <v>1643490.17839417</v>
      </c>
      <c r="E50" s="1297">
        <v>13</v>
      </c>
      <c r="F50" s="1297">
        <v>1119161.1564223799</v>
      </c>
    </row>
    <row r="51" spans="1:6">
      <c r="A51" s="1296" t="s">
        <v>41</v>
      </c>
      <c r="B51" s="1296" t="s">
        <v>42</v>
      </c>
      <c r="C51" s="1297">
        <v>28</v>
      </c>
      <c r="D51" s="1297">
        <v>22947356.234490499</v>
      </c>
      <c r="E51" s="1297">
        <v>159</v>
      </c>
      <c r="F51" s="1297">
        <v>4540300.6494901301</v>
      </c>
    </row>
    <row r="52" spans="1:6">
      <c r="A52" s="1296" t="s">
        <v>41</v>
      </c>
      <c r="B52" s="1296" t="s">
        <v>28</v>
      </c>
      <c r="C52" s="1297">
        <v>6</v>
      </c>
      <c r="D52" s="1297">
        <v>402690.57783119503</v>
      </c>
      <c r="E52" s="1297">
        <v>6</v>
      </c>
      <c r="F52" s="1297">
        <v>585524.73238418601</v>
      </c>
    </row>
    <row r="53" spans="1:6">
      <c r="A53" s="1296" t="s">
        <v>43</v>
      </c>
      <c r="B53" s="1296" t="s">
        <v>44</v>
      </c>
      <c r="C53" s="1297">
        <v>133</v>
      </c>
      <c r="D53" s="1297">
        <v>2659886.3017468499</v>
      </c>
      <c r="E53" s="1297">
        <v>239</v>
      </c>
      <c r="F53" s="1297">
        <v>1109984.1607009</v>
      </c>
    </row>
    <row r="54" spans="1:6">
      <c r="A54" s="1296" t="s">
        <v>45</v>
      </c>
      <c r="B54" s="1296" t="s">
        <v>46</v>
      </c>
      <c r="C54" s="1297">
        <v>0</v>
      </c>
      <c r="D54" s="1297">
        <v>0</v>
      </c>
      <c r="E54" s="1297">
        <v>1</v>
      </c>
      <c r="F54" s="1297">
        <v>1201207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50</v>
      </c>
      <c r="D57" s="1297">
        <v>5842361.19147663</v>
      </c>
      <c r="E57" s="1297">
        <v>86</v>
      </c>
      <c r="F57" s="1297">
        <v>1763841.0790991001</v>
      </c>
    </row>
    <row r="58" spans="1:6">
      <c r="A58" s="1296" t="s">
        <v>48</v>
      </c>
      <c r="B58" s="1296" t="s">
        <v>50</v>
      </c>
      <c r="C58" s="1297">
        <v>24</v>
      </c>
      <c r="D58" s="1297">
        <v>527421.23858930904</v>
      </c>
      <c r="E58" s="1297">
        <v>37</v>
      </c>
      <c r="F58" s="1297">
        <v>208795.17427820599</v>
      </c>
    </row>
    <row r="59" spans="1:6">
      <c r="A59" s="1296" t="s">
        <v>48</v>
      </c>
      <c r="B59" s="1296" t="s">
        <v>51</v>
      </c>
      <c r="C59" s="1297">
        <v>99</v>
      </c>
      <c r="D59" s="1297">
        <v>4251936.6392968502</v>
      </c>
      <c r="E59" s="1297">
        <v>169</v>
      </c>
      <c r="F59" s="1297">
        <v>4403105.7670226898</v>
      </c>
    </row>
    <row r="60" spans="1:6">
      <c r="A60" s="1296" t="s">
        <v>48</v>
      </c>
      <c r="B60" s="1296" t="s">
        <v>52</v>
      </c>
      <c r="C60" s="1297">
        <v>49</v>
      </c>
      <c r="D60" s="1297">
        <v>2040226.8825223099</v>
      </c>
      <c r="E60" s="1297">
        <v>61</v>
      </c>
      <c r="F60" s="1297">
        <v>1275480.72002267</v>
      </c>
    </row>
    <row r="61" spans="1:6">
      <c r="A61" s="1296" t="s">
        <v>48</v>
      </c>
      <c r="B61" s="1296" t="s">
        <v>53</v>
      </c>
      <c r="C61" s="1297">
        <v>126</v>
      </c>
      <c r="D61" s="1297">
        <v>4380833.2063737204</v>
      </c>
      <c r="E61" s="1297">
        <v>255</v>
      </c>
      <c r="F61" s="1297">
        <v>3852367.7862714399</v>
      </c>
    </row>
    <row r="62" spans="1:6">
      <c r="A62" s="1296" t="s">
        <v>48</v>
      </c>
      <c r="B62" s="1296" t="s">
        <v>54</v>
      </c>
      <c r="C62" s="1297">
        <v>7</v>
      </c>
      <c r="D62" s="1297">
        <v>420916.20190542203</v>
      </c>
      <c r="E62" s="1297">
        <v>10</v>
      </c>
      <c r="F62" s="1297">
        <v>155631.24980692301</v>
      </c>
    </row>
    <row r="63" spans="1:6">
      <c r="A63" s="1296" t="s">
        <v>48</v>
      </c>
      <c r="B63" s="1296" t="s">
        <v>28</v>
      </c>
      <c r="C63" s="1297">
        <v>81</v>
      </c>
      <c r="D63" s="1297">
        <v>4703215.9093080098</v>
      </c>
      <c r="E63" s="1297">
        <v>87</v>
      </c>
      <c r="F63" s="1297">
        <v>1726486.89642028</v>
      </c>
    </row>
    <row r="64" spans="1:6">
      <c r="A64" s="1296" t="s">
        <v>55</v>
      </c>
      <c r="B64" s="1296" t="s">
        <v>56</v>
      </c>
      <c r="C64" s="1297">
        <v>0</v>
      </c>
      <c r="D64" s="1297">
        <v>0</v>
      </c>
      <c r="E64" s="1297">
        <v>0</v>
      </c>
      <c r="F64" s="1297">
        <v>0</v>
      </c>
    </row>
    <row r="65" spans="1:6">
      <c r="A65" s="1296" t="s">
        <v>55</v>
      </c>
      <c r="B65" s="1296" t="s">
        <v>28</v>
      </c>
      <c r="C65" s="1297">
        <v>1</v>
      </c>
      <c r="D65" s="1297">
        <v>8348.2988056400009</v>
      </c>
      <c r="E65" s="1297">
        <v>2</v>
      </c>
      <c r="F65" s="1297">
        <v>9460.7648927591999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10</v>
      </c>
      <c r="D68" s="1299">
        <v>246780.92792777001</v>
      </c>
      <c r="E68" s="1299">
        <v>26</v>
      </c>
      <c r="F68" s="1299">
        <v>259121.45064289201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26904841</v>
      </c>
      <c r="E73" s="446"/>
      <c r="F73" s="327"/>
    </row>
    <row r="74" spans="1:6">
      <c r="A74" s="1296" t="s">
        <v>63</v>
      </c>
      <c r="B74" s="1296" t="s">
        <v>706</v>
      </c>
      <c r="C74" s="1309" t="s">
        <v>707</v>
      </c>
      <c r="D74" s="1297">
        <v>3526778.6319320733</v>
      </c>
      <c r="E74" s="446"/>
      <c r="F74" s="327"/>
    </row>
    <row r="75" spans="1:6">
      <c r="A75" s="1296" t="s">
        <v>64</v>
      </c>
      <c r="B75" s="1296" t="s">
        <v>704</v>
      </c>
      <c r="C75" s="1309" t="s">
        <v>708</v>
      </c>
      <c r="D75" s="1297">
        <v>51351231</v>
      </c>
      <c r="E75" s="446"/>
      <c r="F75" s="327"/>
    </row>
    <row r="76" spans="1:6">
      <c r="A76" s="1296" t="s">
        <v>64</v>
      </c>
      <c r="B76" s="1296" t="s">
        <v>706</v>
      </c>
      <c r="C76" s="1309" t="s">
        <v>709</v>
      </c>
      <c r="D76" s="1297">
        <v>3052697.6319320733</v>
      </c>
      <c r="E76" s="446"/>
      <c r="F76" s="327"/>
    </row>
    <row r="77" spans="1:6">
      <c r="A77" s="1296" t="s">
        <v>65</v>
      </c>
      <c r="B77" s="1296" t="s">
        <v>704</v>
      </c>
      <c r="C77" s="1309" t="s">
        <v>710</v>
      </c>
      <c r="D77" s="1297">
        <v>78294894</v>
      </c>
      <c r="E77" s="446"/>
      <c r="F77" s="327"/>
    </row>
    <row r="78" spans="1:6">
      <c r="A78" s="1291" t="s">
        <v>65</v>
      </c>
      <c r="B78" s="1291" t="s">
        <v>706</v>
      </c>
      <c r="C78" s="1291" t="s">
        <v>711</v>
      </c>
      <c r="D78" s="1299">
        <v>18454483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522264.73613585351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15089.267330000001</v>
      </c>
      <c r="C90" s="327"/>
      <c r="D90" s="327"/>
      <c r="E90" s="327"/>
      <c r="F90" s="327"/>
    </row>
    <row r="91" spans="1:6">
      <c r="A91" s="1296" t="s">
        <v>67</v>
      </c>
      <c r="B91" s="1297">
        <v>4572.277830035966</v>
      </c>
      <c r="C91" s="327"/>
      <c r="D91" s="327"/>
      <c r="E91" s="327"/>
      <c r="F91" s="327"/>
    </row>
    <row r="92" spans="1:6">
      <c r="A92" s="1291" t="s">
        <v>68</v>
      </c>
      <c r="B92" s="1292">
        <v>2335.5775414119717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3398</v>
      </c>
      <c r="C97" s="327"/>
      <c r="D97" s="327"/>
      <c r="E97" s="327"/>
      <c r="F97" s="327"/>
    </row>
    <row r="98" spans="1:6">
      <c r="A98" s="1296" t="s">
        <v>71</v>
      </c>
      <c r="B98" s="1297">
        <v>2</v>
      </c>
      <c r="C98" s="327"/>
      <c r="D98" s="327"/>
      <c r="E98" s="327"/>
      <c r="F98" s="327"/>
    </row>
    <row r="99" spans="1:6">
      <c r="A99" s="1296" t="s">
        <v>72</v>
      </c>
      <c r="B99" s="1297">
        <v>114</v>
      </c>
      <c r="C99" s="327"/>
      <c r="D99" s="327"/>
      <c r="E99" s="327"/>
      <c r="F99" s="327"/>
    </row>
    <row r="100" spans="1:6">
      <c r="A100" s="1296" t="s">
        <v>73</v>
      </c>
      <c r="B100" s="1297">
        <v>499</v>
      </c>
      <c r="C100" s="327"/>
      <c r="D100" s="327"/>
      <c r="E100" s="327"/>
      <c r="F100" s="327"/>
    </row>
    <row r="101" spans="1:6">
      <c r="A101" s="1296" t="s">
        <v>74</v>
      </c>
      <c r="B101" s="1297">
        <v>141</v>
      </c>
      <c r="C101" s="327"/>
      <c r="D101" s="327"/>
      <c r="E101" s="327"/>
      <c r="F101" s="327"/>
    </row>
    <row r="102" spans="1:6">
      <c r="A102" s="1296" t="s">
        <v>75</v>
      </c>
      <c r="B102" s="1297">
        <v>152</v>
      </c>
      <c r="C102" s="327"/>
      <c r="D102" s="327"/>
      <c r="E102" s="327"/>
      <c r="F102" s="327"/>
    </row>
    <row r="103" spans="1:6">
      <c r="A103" s="1296" t="s">
        <v>76</v>
      </c>
      <c r="B103" s="1297">
        <v>229</v>
      </c>
      <c r="C103" s="327"/>
      <c r="D103" s="327"/>
      <c r="E103" s="327"/>
      <c r="F103" s="327"/>
    </row>
    <row r="104" spans="1:6">
      <c r="A104" s="1296" t="s">
        <v>77</v>
      </c>
      <c r="B104" s="1297">
        <v>1855</v>
      </c>
      <c r="C104" s="327"/>
      <c r="D104" s="327"/>
      <c r="E104" s="327"/>
      <c r="F104" s="327"/>
    </row>
    <row r="105" spans="1:6">
      <c r="A105" s="1291" t="s">
        <v>78</v>
      </c>
      <c r="B105" s="1299">
        <v>18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17</v>
      </c>
      <c r="C123" s="1297">
        <v>16</v>
      </c>
      <c r="D123" s="327"/>
      <c r="E123" s="327"/>
      <c r="F123" s="327"/>
    </row>
    <row r="124" spans="1:6">
      <c r="A124" s="1296" t="s">
        <v>88</v>
      </c>
      <c r="B124" s="1297">
        <v>2</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86</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62743.044004584714</v>
      </c>
      <c r="C3" s="43" t="s">
        <v>163</v>
      </c>
      <c r="D3" s="43"/>
      <c r="E3" s="156"/>
      <c r="F3" s="43"/>
      <c r="G3" s="43"/>
      <c r="H3" s="43"/>
      <c r="I3" s="43"/>
      <c r="J3" s="43"/>
      <c r="K3" s="96"/>
    </row>
    <row r="4" spans="1:11">
      <c r="A4" s="353" t="s">
        <v>164</v>
      </c>
      <c r="B4" s="49">
        <f>IF(ISERROR('SEAP template'!B78+'SEAP template'!C78),0,'SEAP template'!B78+'SEAP template'!C78)</f>
        <v>52237.122701447937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7186.4470588235299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0.15154278562133483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10266.352941176472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43200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1201.2070000000001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1201.2070000000001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0.15154278562133483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182.03425488784677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29966.814155572702</v>
      </c>
      <c r="C5" s="17">
        <f>IF(ISERROR('Eigen informatie GS &amp; warmtenet'!B57),0,'Eigen informatie GS &amp; warmtenet'!B57)</f>
        <v>0</v>
      </c>
      <c r="D5" s="30">
        <f>(SUM(HH_hh_gas_kWh,HH_rest_gas_kWh)/1000)*0.902</f>
        <v>91320.971826990382</v>
      </c>
      <c r="E5" s="17">
        <f>B32*B41</f>
        <v>1383.677809868638</v>
      </c>
      <c r="F5" s="17">
        <f>B36*B45</f>
        <v>42403.460626230859</v>
      </c>
      <c r="G5" s="18"/>
      <c r="H5" s="17"/>
      <c r="I5" s="17"/>
      <c r="J5" s="17">
        <f>B35*B44+C35*C44</f>
        <v>803.03711157608939</v>
      </c>
      <c r="K5" s="17"/>
      <c r="L5" s="17"/>
      <c r="M5" s="17"/>
      <c r="N5" s="17">
        <f>B34*B43+C34*C43</f>
        <v>11451.931799724765</v>
      </c>
      <c r="O5" s="17">
        <f>B52*B53*B54</f>
        <v>159.46</v>
      </c>
      <c r="P5" s="17">
        <f>B60*B61*B62/1000-B60*B61*B62/1000/B63</f>
        <v>552.93333333333339</v>
      </c>
    </row>
    <row r="6" spans="1:16">
      <c r="A6" s="16" t="s">
        <v>617</v>
      </c>
      <c r="B6" s="769">
        <f>kWh_PV_kleiner_dan_10kW</f>
        <v>4572.277830035966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34539.091985608669</v>
      </c>
      <c r="C8" s="21">
        <f>C5</f>
        <v>0</v>
      </c>
      <c r="D8" s="21">
        <f>D5</f>
        <v>91320.971826990382</v>
      </c>
      <c r="E8" s="21">
        <f>E5</f>
        <v>1383.677809868638</v>
      </c>
      <c r="F8" s="21">
        <f>F5</f>
        <v>42403.460626230859</v>
      </c>
      <c r="G8" s="21"/>
      <c r="H8" s="21"/>
      <c r="I8" s="21"/>
      <c r="J8" s="21">
        <f>J5</f>
        <v>803.03711157608939</v>
      </c>
      <c r="K8" s="21"/>
      <c r="L8" s="21">
        <f>L5</f>
        <v>0</v>
      </c>
      <c r="M8" s="21">
        <f>M5</f>
        <v>0</v>
      </c>
      <c r="N8" s="21">
        <f>N5</f>
        <v>11451.931799724765</v>
      </c>
      <c r="O8" s="21">
        <f>O5</f>
        <v>159.46</v>
      </c>
      <c r="P8" s="21">
        <f>P5</f>
        <v>552.93333333333339</v>
      </c>
    </row>
    <row r="9" spans="1:16">
      <c r="B9" s="19"/>
      <c r="C9" s="19"/>
      <c r="D9" s="257"/>
      <c r="E9" s="19"/>
      <c r="F9" s="19"/>
      <c r="G9" s="19"/>
      <c r="H9" s="19"/>
      <c r="I9" s="19"/>
      <c r="J9" s="19"/>
      <c r="K9" s="19"/>
      <c r="L9" s="19"/>
      <c r="M9" s="19"/>
      <c r="N9" s="19"/>
      <c r="O9" s="19"/>
      <c r="P9" s="19"/>
    </row>
    <row r="10" spans="1:16">
      <c r="A10" s="24" t="s">
        <v>207</v>
      </c>
      <c r="B10" s="25">
        <f ca="1">'EF ele_warmte'!B12</f>
        <v>0.15154278562133483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5234.1502123306582</v>
      </c>
      <c r="C12" s="23">
        <f ca="1">C10*C8</f>
        <v>0</v>
      </c>
      <c r="D12" s="23">
        <f>D8*D10</f>
        <v>18446.836309052058</v>
      </c>
      <c r="E12" s="23">
        <f>E10*E8</f>
        <v>314.09486284018084</v>
      </c>
      <c r="F12" s="23">
        <f>F10*F8</f>
        <v>11321.723987203641</v>
      </c>
      <c r="G12" s="23"/>
      <c r="H12" s="23"/>
      <c r="I12" s="23"/>
      <c r="J12" s="23">
        <f>J10*J8</f>
        <v>284.27513749793565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7485</v>
      </c>
      <c r="C26" s="36"/>
      <c r="D26" s="227"/>
    </row>
    <row r="27" spans="1:5" s="15" customFormat="1">
      <c r="A27" s="229" t="s">
        <v>722</v>
      </c>
      <c r="B27" s="37">
        <f>SUM(HH_hh_gas_aantal,HH_rest_gas_aantal)</f>
        <v>5312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5046.3999999999996</v>
      </c>
      <c r="C31" s="34" t="s">
        <v>104</v>
      </c>
      <c r="D31" s="173"/>
    </row>
    <row r="32" spans="1:5">
      <c r="A32" s="170" t="s">
        <v>72</v>
      </c>
      <c r="B32" s="33">
        <f>IF((B21*($B$26-($B$27-0.05*$B$27)-$B$60))&lt;0,0,B21*($B$26-($B$27-0.05*$B$27)-$B$60))</f>
        <v>60.340147931600256</v>
      </c>
      <c r="C32" s="34" t="s">
        <v>104</v>
      </c>
      <c r="D32" s="173"/>
    </row>
    <row r="33" spans="1:6">
      <c r="A33" s="170" t="s">
        <v>73</v>
      </c>
      <c r="B33" s="33">
        <f>IF((B22*($B$26-($B$27-0.05*$B$27)-$B$60))&lt;0,0,B22*($B$26-($B$27-0.05*$B$27)-$B$60))</f>
        <v>406.1599648889723</v>
      </c>
      <c r="C33" s="34" t="s">
        <v>104</v>
      </c>
      <c r="D33" s="173"/>
    </row>
    <row r="34" spans="1:6">
      <c r="A34" s="170" t="s">
        <v>74</v>
      </c>
      <c r="B34" s="33">
        <f>IF((B24*($B$26-($B$27-0.05*$B$27)-$B$60))&lt;0,0,B24*($B$26-($B$27-0.05*$B$27)-$B$60))</f>
        <v>103.04828839481888</v>
      </c>
      <c r="C34" s="33">
        <f>B26*C24</f>
        <v>1531.1321062014099</v>
      </c>
      <c r="D34" s="232"/>
    </row>
    <row r="35" spans="1:6">
      <c r="A35" s="170" t="s">
        <v>76</v>
      </c>
      <c r="B35" s="33">
        <f>IF((B19*($B$26-($B$27-0.05*$B$27)-$B$60))&lt;0,0,B19*($B$26-($B$27-0.05*$B$27)-$B$60))</f>
        <v>38.296128867288267</v>
      </c>
      <c r="C35" s="33">
        <f>B35/2</f>
        <v>19.148064433644134</v>
      </c>
      <c r="D35" s="232"/>
    </row>
    <row r="36" spans="1:6">
      <c r="A36" s="170" t="s">
        <v>77</v>
      </c>
      <c r="B36" s="33">
        <f>IF((B18*($B$26-($B$27-0.05*$B$27)-$B$60))&lt;0,0,B18*($B$26-($B$27-0.05*$B$27)-$B$60))</f>
        <v>1801.7554699173209</v>
      </c>
      <c r="C36" s="34" t="s">
        <v>104</v>
      </c>
      <c r="D36" s="173"/>
    </row>
    <row r="37" spans="1:6">
      <c r="A37" s="170" t="s">
        <v>78</v>
      </c>
      <c r="B37" s="33">
        <f>B60</f>
        <v>29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102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13385.70867292131</v>
      </c>
      <c r="C5" s="17">
        <f>IF(ISERROR('Eigen informatie GS &amp; warmtenet'!B58),0,'Eigen informatie GS &amp; warmtenet'!B58)</f>
        <v>0</v>
      </c>
      <c r="D5" s="30">
        <f>SUM(D6:D12)</f>
        <v>19994.553965063969</v>
      </c>
      <c r="E5" s="17">
        <f>SUM(E6:E12)</f>
        <v>179.69960714051584</v>
      </c>
      <c r="F5" s="17">
        <f>SUM(F6:F12)</f>
        <v>2677.6532689537548</v>
      </c>
      <c r="G5" s="18"/>
      <c r="H5" s="17"/>
      <c r="I5" s="17"/>
      <c r="J5" s="17">
        <f>SUM(J6:J12)</f>
        <v>0</v>
      </c>
      <c r="K5" s="17"/>
      <c r="L5" s="17"/>
      <c r="M5" s="17"/>
      <c r="N5" s="17">
        <f>SUM(N6:N12)</f>
        <v>1382.615659047299</v>
      </c>
      <c r="O5" s="17">
        <f>B38*B39*B40</f>
        <v>0</v>
      </c>
      <c r="P5" s="17">
        <f>B46*B47*B48/1000-B46*B47*B48/1000/B49</f>
        <v>0</v>
      </c>
      <c r="R5" s="32"/>
    </row>
    <row r="6" spans="1:18">
      <c r="A6" s="32" t="s">
        <v>53</v>
      </c>
      <c r="B6" s="37">
        <f>B26</f>
        <v>3852.3677862714399</v>
      </c>
      <c r="C6" s="33"/>
      <c r="D6" s="37">
        <f>IF(ISERROR(TER_kantoor_gas_kWh/1000),0,TER_kantoor_gas_kWh/1000)*0.902</f>
        <v>3951.5115521490961</v>
      </c>
      <c r="E6" s="33">
        <f>$C$26*'E Balans VL '!I12/100/3.6*1000000</f>
        <v>14.967264443445341</v>
      </c>
      <c r="F6" s="33">
        <f>$C$26*('E Balans VL '!L12+'E Balans VL '!N12)/100/3.6*1000000</f>
        <v>585.91008653975848</v>
      </c>
      <c r="G6" s="34"/>
      <c r="H6" s="33"/>
      <c r="I6" s="33"/>
      <c r="J6" s="33">
        <f>$C$26*('E Balans VL '!D12+'E Balans VL '!E12)/100/3.6*1000000</f>
        <v>0</v>
      </c>
      <c r="K6" s="33"/>
      <c r="L6" s="33"/>
      <c r="M6" s="33"/>
      <c r="N6" s="33">
        <f>$C$26*'E Balans VL '!Y12/100/3.6*1000000</f>
        <v>2.1231161525309679</v>
      </c>
      <c r="O6" s="33"/>
      <c r="P6" s="33"/>
      <c r="R6" s="32"/>
    </row>
    <row r="7" spans="1:18">
      <c r="A7" s="32" t="s">
        <v>52</v>
      </c>
      <c r="B7" s="37">
        <f t="shared" ref="B7:B12" si="0">B27</f>
        <v>1275.4807200226701</v>
      </c>
      <c r="C7" s="33"/>
      <c r="D7" s="37">
        <f>IF(ISERROR(TER_horeca_gas_kWh/1000),0,TER_horeca_gas_kWh/1000)*0.902</f>
        <v>1840.2846480351236</v>
      </c>
      <c r="E7" s="33">
        <f>$C$27*'E Balans VL '!I9/100/3.6*1000000</f>
        <v>71.848169965922636</v>
      </c>
      <c r="F7" s="33">
        <f>$C$27*('E Balans VL '!L9+'E Balans VL '!N9)/100/3.6*1000000</f>
        <v>367.77227818267306</v>
      </c>
      <c r="G7" s="34"/>
      <c r="H7" s="33"/>
      <c r="I7" s="33"/>
      <c r="J7" s="33">
        <f>$C$27*('E Balans VL '!D9+'E Balans VL '!E9)/100/3.6*1000000</f>
        <v>0</v>
      </c>
      <c r="K7" s="33"/>
      <c r="L7" s="33"/>
      <c r="M7" s="33"/>
      <c r="N7" s="33">
        <f>$C$27*'E Balans VL '!Y9/100/3.6*1000000</f>
        <v>0.35215359877682773</v>
      </c>
      <c r="O7" s="33"/>
      <c r="P7" s="33"/>
      <c r="R7" s="32"/>
    </row>
    <row r="8" spans="1:18">
      <c r="A8" s="6" t="s">
        <v>51</v>
      </c>
      <c r="B8" s="37">
        <f t="shared" si="0"/>
        <v>4403.1057670226901</v>
      </c>
      <c r="C8" s="33"/>
      <c r="D8" s="37">
        <f>IF(ISERROR(TER_handel_gas_kWh/1000),0,TER_handel_gas_kWh/1000)*0.902</f>
        <v>3835.2468486457592</v>
      </c>
      <c r="E8" s="33">
        <f>$C$28*'E Balans VL '!I13/100/3.6*1000000</f>
        <v>63.463692354671764</v>
      </c>
      <c r="F8" s="33">
        <f>$C$28*('E Balans VL '!L13+'E Balans VL '!N13)/100/3.6*1000000</f>
        <v>764.92201314577824</v>
      </c>
      <c r="G8" s="34"/>
      <c r="H8" s="33"/>
      <c r="I8" s="33"/>
      <c r="J8" s="33">
        <f>$C$28*('E Balans VL '!D13+'E Balans VL '!E13)/100/3.6*1000000</f>
        <v>0</v>
      </c>
      <c r="K8" s="33"/>
      <c r="L8" s="33"/>
      <c r="M8" s="33"/>
      <c r="N8" s="33">
        <f>$C$28*'E Balans VL '!Y13/100/3.6*1000000</f>
        <v>13.192195041831413</v>
      </c>
      <c r="O8" s="33"/>
      <c r="P8" s="33"/>
      <c r="R8" s="32"/>
    </row>
    <row r="9" spans="1:18">
      <c r="A9" s="32" t="s">
        <v>50</v>
      </c>
      <c r="B9" s="37">
        <f t="shared" si="0"/>
        <v>208.79517427820599</v>
      </c>
      <c r="C9" s="33"/>
      <c r="D9" s="37">
        <f>IF(ISERROR(TER_gezond_gas_kWh/1000),0,TER_gezond_gas_kWh/1000)*0.902</f>
        <v>475.73395720755678</v>
      </c>
      <c r="E9" s="33">
        <f>$C$29*'E Balans VL '!I10/100/3.6*1000000</f>
        <v>0.22304736385088658</v>
      </c>
      <c r="F9" s="33">
        <f>$C$29*('E Balans VL '!L10+'E Balans VL '!N10)/100/3.6*1000000</f>
        <v>34.060838448239004</v>
      </c>
      <c r="G9" s="34"/>
      <c r="H9" s="33"/>
      <c r="I9" s="33"/>
      <c r="J9" s="33">
        <f>$C$29*('E Balans VL '!D10+'E Balans VL '!E10)/100/3.6*1000000</f>
        <v>0</v>
      </c>
      <c r="K9" s="33"/>
      <c r="L9" s="33"/>
      <c r="M9" s="33"/>
      <c r="N9" s="33">
        <f>$C$29*'E Balans VL '!Y10/100/3.6*1000000</f>
        <v>2.1494271830444904</v>
      </c>
      <c r="O9" s="33"/>
      <c r="P9" s="33"/>
      <c r="R9" s="32"/>
    </row>
    <row r="10" spans="1:18">
      <c r="A10" s="32" t="s">
        <v>49</v>
      </c>
      <c r="B10" s="37">
        <f t="shared" si="0"/>
        <v>1763.8410790991002</v>
      </c>
      <c r="C10" s="33"/>
      <c r="D10" s="37">
        <f>IF(ISERROR(TER_ander_gas_kWh/1000),0,TER_ander_gas_kWh/1000)*0.902</f>
        <v>5269.8097947119204</v>
      </c>
      <c r="E10" s="33">
        <f>$C$30*'E Balans VL '!I14/100/3.6*1000000</f>
        <v>8.1116368226317341</v>
      </c>
      <c r="F10" s="33">
        <f>$C$30*('E Balans VL '!L14+'E Balans VL '!N14)/100/3.6*1000000</f>
        <v>528.67880795415329</v>
      </c>
      <c r="G10" s="34"/>
      <c r="H10" s="33"/>
      <c r="I10" s="33"/>
      <c r="J10" s="33">
        <f>$C$30*('E Balans VL '!D14+'E Balans VL '!E14)/100/3.6*1000000</f>
        <v>0</v>
      </c>
      <c r="K10" s="33"/>
      <c r="L10" s="33"/>
      <c r="M10" s="33"/>
      <c r="N10" s="33">
        <f>$C$30*'E Balans VL '!Y14/100/3.6*1000000</f>
        <v>1227.7498235584442</v>
      </c>
      <c r="O10" s="33"/>
      <c r="P10" s="33"/>
      <c r="R10" s="32"/>
    </row>
    <row r="11" spans="1:18">
      <c r="A11" s="32" t="s">
        <v>54</v>
      </c>
      <c r="B11" s="37">
        <f t="shared" si="0"/>
        <v>155.63124980692299</v>
      </c>
      <c r="C11" s="33"/>
      <c r="D11" s="37">
        <f>IF(ISERROR(TER_onderwijs_gas_kWh/1000),0,TER_onderwijs_gas_kWh/1000)*0.902</f>
        <v>379.66641411869068</v>
      </c>
      <c r="E11" s="33">
        <f>$C$31*'E Balans VL '!I11/100/3.6*1000000</f>
        <v>0.14436845107143659</v>
      </c>
      <c r="F11" s="33">
        <f>$C$31*('E Balans VL '!L11+'E Balans VL '!N11)/100/3.6*1000000</f>
        <v>54.669681130062742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1726.4868964202799</v>
      </c>
      <c r="C12" s="33"/>
      <c r="D12" s="37">
        <f>IF(ISERROR(TER_rest_gas_kWh/1000),0,TER_rest_gas_kWh/1000)*0.902</f>
        <v>4242.3007501958255</v>
      </c>
      <c r="E12" s="33">
        <f>$C$32*'E Balans VL '!I8/100/3.6*1000000</f>
        <v>20.941427738922012</v>
      </c>
      <c r="F12" s="33">
        <f>$C$32*('E Balans VL '!L8+'E Balans VL '!N8)/100/3.6*1000000</f>
        <v>341.63956355309023</v>
      </c>
      <c r="G12" s="34"/>
      <c r="H12" s="33"/>
      <c r="I12" s="33"/>
      <c r="J12" s="33">
        <f>$C$32*('E Balans VL '!D8+'E Balans VL '!E8)/100/3.6*1000000</f>
        <v>0</v>
      </c>
      <c r="K12" s="33"/>
      <c r="L12" s="33"/>
      <c r="M12" s="33"/>
      <c r="N12" s="33">
        <f>$C$32*'E Balans VL '!Y8/100/3.6*1000000</f>
        <v>137.04894351267106</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13385.70867292131</v>
      </c>
      <c r="C16" s="21">
        <f t="shared" ca="1" si="1"/>
        <v>0</v>
      </c>
      <c r="D16" s="21">
        <f t="shared" ca="1" si="1"/>
        <v>19994.553965063969</v>
      </c>
      <c r="E16" s="21">
        <f t="shared" si="1"/>
        <v>179.69960714051584</v>
      </c>
      <c r="F16" s="21">
        <f t="shared" ca="1" si="1"/>
        <v>2677.6532689537548</v>
      </c>
      <c r="G16" s="21">
        <f t="shared" si="1"/>
        <v>0</v>
      </c>
      <c r="H16" s="21">
        <f t="shared" si="1"/>
        <v>0</v>
      </c>
      <c r="I16" s="21">
        <f t="shared" si="1"/>
        <v>0</v>
      </c>
      <c r="J16" s="21">
        <f t="shared" si="1"/>
        <v>0</v>
      </c>
      <c r="K16" s="21">
        <f t="shared" si="1"/>
        <v>0</v>
      </c>
      <c r="L16" s="21">
        <f t="shared" ca="1" si="1"/>
        <v>0</v>
      </c>
      <c r="M16" s="21">
        <f t="shared" si="1"/>
        <v>0</v>
      </c>
      <c r="N16" s="21">
        <f t="shared" ca="1" si="1"/>
        <v>1382.615659047299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0.15154278562133483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2028.5075798101564</v>
      </c>
      <c r="C20" s="23">
        <f t="shared" ref="C20:P20" ca="1" si="2">C16*C18</f>
        <v>0</v>
      </c>
      <c r="D20" s="23">
        <f t="shared" ca="1" si="2"/>
        <v>4038.8999009429222</v>
      </c>
      <c r="E20" s="23">
        <f t="shared" si="2"/>
        <v>40.791810820897098</v>
      </c>
      <c r="F20" s="23">
        <f t="shared" ca="1" si="2"/>
        <v>714.93342281065259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3852.3677862714399</v>
      </c>
      <c r="C26" s="39">
        <f>IF(ISERROR(B26*3.6/1000000/'E Balans VL '!Z12*100),0,B26*3.6/1000000/'E Balans VL '!Z12*100)</f>
        <v>8.1826199995342144E-2</v>
      </c>
      <c r="D26" s="235" t="s">
        <v>672</v>
      </c>
      <c r="F26" s="6"/>
    </row>
    <row r="27" spans="1:18">
      <c r="A27" s="230" t="s">
        <v>52</v>
      </c>
      <c r="B27" s="33">
        <f>IF(ISERROR(TER_horeca_ele_kWh/1000),0,TER_horeca_ele_kWh/1000)</f>
        <v>1275.4807200226701</v>
      </c>
      <c r="C27" s="39">
        <f>IF(ISERROR(B27*3.6/1000000/'E Balans VL '!Z9*100),0,B27*3.6/1000000/'E Balans VL '!Z9*100)</f>
        <v>9.9176393759212292E-2</v>
      </c>
      <c r="D27" s="235" t="s">
        <v>672</v>
      </c>
      <c r="F27" s="6"/>
    </row>
    <row r="28" spans="1:18">
      <c r="A28" s="170" t="s">
        <v>51</v>
      </c>
      <c r="B28" s="33">
        <f>IF(ISERROR(TER_handel_ele_kWh/1000),0,TER_handel_ele_kWh/1000)</f>
        <v>4403.1057670226901</v>
      </c>
      <c r="C28" s="39">
        <f>IF(ISERROR(B28*3.6/1000000/'E Balans VL '!Z13*100),0,B28*3.6/1000000/'E Balans VL '!Z13*100)</f>
        <v>0.12597803793163145</v>
      </c>
      <c r="D28" s="235" t="s">
        <v>672</v>
      </c>
      <c r="F28" s="6"/>
    </row>
    <row r="29" spans="1:18">
      <c r="A29" s="230" t="s">
        <v>50</v>
      </c>
      <c r="B29" s="33">
        <f>IF(ISERROR(TER_gezond_ele_kWh/1000),0,TER_gezond_ele_kWh/1000)</f>
        <v>208.79517427820599</v>
      </c>
      <c r="C29" s="39">
        <f>IF(ISERROR(B29*3.6/1000000/'E Balans VL '!Z10*100),0,B29*3.6/1000000/'E Balans VL '!Z10*100)</f>
        <v>2.2763525814287294E-2</v>
      </c>
      <c r="D29" s="235" t="s">
        <v>672</v>
      </c>
      <c r="F29" s="6"/>
    </row>
    <row r="30" spans="1:18">
      <c r="A30" s="230" t="s">
        <v>49</v>
      </c>
      <c r="B30" s="33">
        <f>IF(ISERROR(TER_ander_ele_kWh/1000),0,TER_ander_ele_kWh/1000)</f>
        <v>1763.8410790991002</v>
      </c>
      <c r="C30" s="39">
        <f>IF(ISERROR(B30*3.6/1000000/'E Balans VL '!Z14*100),0,B30*3.6/1000000/'E Balans VL '!Z14*100)</f>
        <v>0.12907388898983393</v>
      </c>
      <c r="D30" s="235" t="s">
        <v>672</v>
      </c>
      <c r="F30" s="6"/>
    </row>
    <row r="31" spans="1:18">
      <c r="A31" s="230" t="s">
        <v>54</v>
      </c>
      <c r="B31" s="33">
        <f>IF(ISERROR(TER_onderwijs_ele_kWh/1000),0,TER_onderwijs_ele_kWh/1000)</f>
        <v>155.63124980692299</v>
      </c>
      <c r="C31" s="39">
        <f>IF(ISERROR(B31*3.6/1000000/'E Balans VL '!Z11*100),0,B31*3.6/1000000/'E Balans VL '!Z11*100)</f>
        <v>3.1258652092299798E-2</v>
      </c>
      <c r="D31" s="235" t="s">
        <v>672</v>
      </c>
    </row>
    <row r="32" spans="1:18">
      <c r="A32" s="230" t="s">
        <v>249</v>
      </c>
      <c r="B32" s="33">
        <f>IF(ISERROR(TER_rest_ele_kWh/1000),0,TER_rest_ele_kWh/1000)</f>
        <v>1726.4868964202799</v>
      </c>
      <c r="C32" s="39">
        <f>IF(ISERROR(B32*3.6/1000000/'E Balans VL '!Z8*100),0,B32*3.6/1000000/'E Balans VL '!Z8*100)</f>
        <v>1.4069820454163259E-2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7359.140991817294</v>
      </c>
      <c r="C5" s="17">
        <f>IF(ISERROR('Eigen informatie GS &amp; warmtenet'!B59),0,'Eigen informatie GS &amp; warmtenet'!B59)</f>
        <v>0</v>
      </c>
      <c r="D5" s="30">
        <f>SUM(D6:D15)</f>
        <v>9946.5699151161898</v>
      </c>
      <c r="E5" s="17">
        <f>SUM(E6:E15)</f>
        <v>1084.4745541947257</v>
      </c>
      <c r="F5" s="17">
        <f>SUM(F6:F15)</f>
        <v>4489.8267195209519</v>
      </c>
      <c r="G5" s="18"/>
      <c r="H5" s="17"/>
      <c r="I5" s="17"/>
      <c r="J5" s="17">
        <f>SUM(J6:J15)</f>
        <v>6.0167284569226966</v>
      </c>
      <c r="K5" s="17"/>
      <c r="L5" s="17"/>
      <c r="M5" s="17"/>
      <c r="N5" s="17">
        <f>SUM(N6:N15)</f>
        <v>721.33315020335829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796.08686992094397</v>
      </c>
      <c r="C8" s="33"/>
      <c r="D8" s="37">
        <f>IF( ISERROR(IND_metaal_Gas_kWH/1000),0,IND_metaal_Gas_kWH/1000)*0.902</f>
        <v>283.84598305137985</v>
      </c>
      <c r="E8" s="33">
        <f>C30*'E Balans VL '!I18/100/3.6*1000000</f>
        <v>22.866603047658057</v>
      </c>
      <c r="F8" s="33">
        <f>C30*'E Balans VL '!L18/100/3.6*1000000+C30*'E Balans VL '!N18/100/3.6*1000000</f>
        <v>204.18097118385717</v>
      </c>
      <c r="G8" s="34"/>
      <c r="H8" s="33"/>
      <c r="I8" s="33"/>
      <c r="J8" s="40">
        <f>C30*'E Balans VL '!D18/100/3.6*1000000+C30*'E Balans VL '!E18/100/3.6*1000000</f>
        <v>0</v>
      </c>
      <c r="K8" s="33"/>
      <c r="L8" s="33"/>
      <c r="M8" s="33"/>
      <c r="N8" s="33">
        <f>C30*'E Balans VL '!Y18/100/3.6*1000000</f>
        <v>21.615383561887604</v>
      </c>
      <c r="O8" s="33"/>
      <c r="P8" s="33"/>
      <c r="R8" s="32"/>
    </row>
    <row r="9" spans="1:18">
      <c r="A9" s="6" t="s">
        <v>32</v>
      </c>
      <c r="B9" s="37">
        <f t="shared" si="0"/>
        <v>3102.1933741172797</v>
      </c>
      <c r="C9" s="33"/>
      <c r="D9" s="37">
        <f>IF( ISERROR(IND_andere_gas_kWh/1000),0,IND_andere_gas_kWh/1000)*0.902</f>
        <v>2361.9636591408494</v>
      </c>
      <c r="E9" s="33">
        <f>C31*'E Balans VL '!I19/100/3.6*1000000</f>
        <v>839.68747261958765</v>
      </c>
      <c r="F9" s="33">
        <f>C31*'E Balans VL '!L19/100/3.6*1000000+C31*'E Balans VL '!N19/100/3.6*1000000</f>
        <v>2066.3890677957133</v>
      </c>
      <c r="G9" s="34"/>
      <c r="H9" s="33"/>
      <c r="I9" s="33"/>
      <c r="J9" s="40">
        <f>C31*'E Balans VL '!D19/100/3.6*1000000+C31*'E Balans VL '!E19/100/3.6*1000000</f>
        <v>0</v>
      </c>
      <c r="K9" s="33"/>
      <c r="L9" s="33"/>
      <c r="M9" s="33"/>
      <c r="N9" s="33">
        <f>C31*'E Balans VL '!Y19/100/3.6*1000000</f>
        <v>262.26990009715854</v>
      </c>
      <c r="O9" s="33"/>
      <c r="P9" s="33"/>
      <c r="R9" s="32"/>
    </row>
    <row r="10" spans="1:18">
      <c r="A10" s="6" t="s">
        <v>40</v>
      </c>
      <c r="B10" s="37">
        <f t="shared" si="0"/>
        <v>1119.1611564223799</v>
      </c>
      <c r="C10" s="33"/>
      <c r="D10" s="37">
        <f>IF( ISERROR(IND_voed_gas_kWh/1000),0,IND_voed_gas_kWh/1000)*0.902</f>
        <v>1482.4281409115415</v>
      </c>
      <c r="E10" s="33">
        <f>C32*'E Balans VL '!I20/100/3.6*1000000</f>
        <v>91.281355123659921</v>
      </c>
      <c r="F10" s="33">
        <f>C32*'E Balans VL '!L20/100/3.6*1000000+C32*'E Balans VL '!N20/100/3.6*1000000</f>
        <v>1668.7708234228746</v>
      </c>
      <c r="G10" s="34"/>
      <c r="H10" s="33"/>
      <c r="I10" s="33"/>
      <c r="J10" s="40">
        <f>C32*'E Balans VL '!D20/100/3.6*1000000+C32*'E Balans VL '!E20/100/3.6*1000000</f>
        <v>1.4805143620065034E-2</v>
      </c>
      <c r="K10" s="33"/>
      <c r="L10" s="33"/>
      <c r="M10" s="33"/>
      <c r="N10" s="33">
        <f>C32*'E Balans VL '!Y20/100/3.6*1000000</f>
        <v>328.77005681790854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2341.6995913566902</v>
      </c>
      <c r="C15" s="33"/>
      <c r="D15" s="37">
        <f>IF( ISERROR(IND_rest_gas_kWh/1000),0,IND_rest_gas_kWh/1000)*0.902</f>
        <v>5818.3321320124196</v>
      </c>
      <c r="E15" s="33">
        <f>C37*'E Balans VL '!I15/100/3.6*1000000</f>
        <v>130.63912340382018</v>
      </c>
      <c r="F15" s="33">
        <f>C37*'E Balans VL '!L15/100/3.6*1000000+C37*'E Balans VL '!N15/100/3.6*1000000</f>
        <v>550.48585711850728</v>
      </c>
      <c r="G15" s="34"/>
      <c r="H15" s="33"/>
      <c r="I15" s="33"/>
      <c r="J15" s="40">
        <f>C37*'E Balans VL '!D15/100/3.6*1000000+C37*'E Balans VL '!E15/100/3.6*1000000</f>
        <v>6.0019233133026315</v>
      </c>
      <c r="K15" s="33"/>
      <c r="L15" s="33"/>
      <c r="M15" s="33"/>
      <c r="N15" s="33">
        <f>C37*'E Balans VL '!Y15/100/3.6*1000000</f>
        <v>108.67780972640358</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7359.140991817294</v>
      </c>
      <c r="C18" s="21">
        <f>C5+C16</f>
        <v>0</v>
      </c>
      <c r="D18" s="21">
        <f>MAX((D5+D16),0)</f>
        <v>9946.5699151161898</v>
      </c>
      <c r="E18" s="21">
        <f>MAX((E5+E16),0)</f>
        <v>1084.4745541947257</v>
      </c>
      <c r="F18" s="21">
        <f>MAX((F5+F16),0)</f>
        <v>4489.8267195209519</v>
      </c>
      <c r="G18" s="21"/>
      <c r="H18" s="21"/>
      <c r="I18" s="21"/>
      <c r="J18" s="21">
        <f>MAX((J5+J16),0)</f>
        <v>6.0167284569226966</v>
      </c>
      <c r="K18" s="21"/>
      <c r="L18" s="21">
        <f>MAX((L5+L16),0)</f>
        <v>0</v>
      </c>
      <c r="M18" s="21"/>
      <c r="N18" s="21">
        <f>MAX((N5+N16),0)</f>
        <v>721.33315020335829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0.15154278562133483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1115.2247256801456</v>
      </c>
      <c r="C22" s="23">
        <f ca="1">C18*C20</f>
        <v>0</v>
      </c>
      <c r="D22" s="23">
        <f>D18*D20</f>
        <v>2009.2071228534705</v>
      </c>
      <c r="E22" s="23">
        <f>E18*E20</f>
        <v>246.17572380220273</v>
      </c>
      <c r="F22" s="23">
        <f>F18*F20</f>
        <v>1198.7837341120942</v>
      </c>
      <c r="G22" s="23"/>
      <c r="H22" s="23"/>
      <c r="I22" s="23"/>
      <c r="J22" s="23">
        <f>J18*J20</f>
        <v>2.1299218737506345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796.08686992094397</v>
      </c>
      <c r="C30" s="39">
        <f>IF(ISERROR(B30*3.6/1000000/'E Balans VL '!Z18*100),0,B30*3.6/1000000/'E Balans VL '!Z18*100)</f>
        <v>7.8332915806921491E-2</v>
      </c>
      <c r="D30" s="235" t="s">
        <v>672</v>
      </c>
    </row>
    <row r="31" spans="1:18">
      <c r="A31" s="6" t="s">
        <v>32</v>
      </c>
      <c r="B31" s="37">
        <f>IF( ISERROR(IND_ander_ele_kWh/1000),0,IND_ander_ele_kWh/1000)</f>
        <v>3102.1933741172797</v>
      </c>
      <c r="C31" s="39">
        <f>IF(ISERROR(B31*3.6/1000000/'E Balans VL '!Z19*100),0,B31*3.6/1000000/'E Balans VL '!Z19*100)</f>
        <v>0.13509804684752938</v>
      </c>
      <c r="D31" s="235" t="s">
        <v>672</v>
      </c>
    </row>
    <row r="32" spans="1:18">
      <c r="A32" s="170" t="s">
        <v>40</v>
      </c>
      <c r="B32" s="37">
        <f>IF( ISERROR(IND_voed_ele_kWh/1000),0,IND_voed_ele_kWh/1000)</f>
        <v>1119.1611564223799</v>
      </c>
      <c r="C32" s="39">
        <f>IF(ISERROR(B32*3.6/1000000/'E Balans VL '!Z20*100),0,B32*3.6/1000000/'E Balans VL '!Z20*100)</f>
        <v>0.2123446893714423</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2341.6995913566902</v>
      </c>
      <c r="C37" s="39">
        <f>IF(ISERROR(B37*3.6/1000000/'E Balans VL '!Z15*100),0,B37*3.6/1000000/'E Balans VL '!Z15*100)</f>
        <v>1.8045671551368402E-2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5125.825381874316</v>
      </c>
      <c r="C5" s="17">
        <f>'Eigen informatie GS &amp; warmtenet'!B60</f>
        <v>0</v>
      </c>
      <c r="D5" s="30">
        <f>IF(ISERROR(SUM(LB_lb_gas_kWh,LB_rest_gas_kWh)/1000),0,SUM(LB_lb_gas_kWh,LB_rest_gas_kWh)/1000)*0.902</f>
        <v>21061.742224714166</v>
      </c>
      <c r="E5" s="17">
        <f>B17*'E Balans VL '!I25/3.6*1000000/100</f>
        <v>64.592003217316488</v>
      </c>
      <c r="F5" s="17">
        <f>B17*('E Balans VL '!L25/3.6*1000000+'E Balans VL '!N25/3.6*1000000)/100</f>
        <v>17685.381663452434</v>
      </c>
      <c r="G5" s="18"/>
      <c r="H5" s="17"/>
      <c r="I5" s="17"/>
      <c r="J5" s="17">
        <f>('E Balans VL '!D25+'E Balans VL '!E25)/3.6*1000000*landbouw!B17/100</f>
        <v>770.86586910743677</v>
      </c>
      <c r="K5" s="17"/>
      <c r="L5" s="17">
        <f>L6*(-1)</f>
        <v>0</v>
      </c>
      <c r="M5" s="17"/>
      <c r="N5" s="17">
        <f>N6*(-1)</f>
        <v>0</v>
      </c>
      <c r="O5" s="17"/>
      <c r="P5" s="17"/>
      <c r="R5" s="32"/>
    </row>
    <row r="6" spans="1:18">
      <c r="A6" s="16" t="s">
        <v>484</v>
      </c>
      <c r="B6" s="17" t="s">
        <v>204</v>
      </c>
      <c r="C6" s="17">
        <f>'lokale energieproductie'!O40+'lokale energieproductie'!O33</f>
        <v>43200</v>
      </c>
      <c r="D6" s="305">
        <f>('lokale energieproductie'!P33+'lokale energieproductie'!P40)*(-1)</f>
        <v>-86400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5125.825381874316</v>
      </c>
      <c r="C8" s="21">
        <f>C5+C6</f>
        <v>43200</v>
      </c>
      <c r="D8" s="21">
        <f>MAX((D5+D6),0)</f>
        <v>0</v>
      </c>
      <c r="E8" s="21">
        <f>MAX((E5+E6),0)</f>
        <v>64.592003217316488</v>
      </c>
      <c r="F8" s="21">
        <f>MAX((F5+F6),0)</f>
        <v>17685.381663452434</v>
      </c>
      <c r="G8" s="21"/>
      <c r="H8" s="21"/>
      <c r="I8" s="21"/>
      <c r="J8" s="21">
        <f>MAX((J5+J6),0)</f>
        <v>770.86586910743677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0.15154278562133483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776.78185697777621</v>
      </c>
      <c r="C12" s="23">
        <f ca="1">C8*C10</f>
        <v>10266.352941176472</v>
      </c>
      <c r="D12" s="23">
        <f>D8*D10</f>
        <v>0</v>
      </c>
      <c r="E12" s="23">
        <f>E8*E10</f>
        <v>14.662384730330844</v>
      </c>
      <c r="F12" s="23">
        <f>F8*F10</f>
        <v>4721.9969041417999</v>
      </c>
      <c r="G12" s="23"/>
      <c r="H12" s="23"/>
      <c r="I12" s="23"/>
      <c r="J12" s="23">
        <f>J8*J10</f>
        <v>272.88651766403262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0.71489108413319558</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353.32493451060873</v>
      </c>
      <c r="C26" s="245">
        <f>B26*'GWP N2O_CH4'!B5</f>
        <v>7419.8236247227833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219.53086194143046</v>
      </c>
      <c r="C27" s="245">
        <f>B27*'GWP N2O_CH4'!B5</f>
        <v>4610.1481007700395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6.3501268106932995</v>
      </c>
      <c r="C28" s="245">
        <f>B28*'GWP N2O_CH4'!B4</f>
        <v>1968.5393113149228</v>
      </c>
      <c r="D28" s="50"/>
    </row>
    <row r="29" spans="1:4">
      <c r="A29" s="41" t="s">
        <v>266</v>
      </c>
      <c r="B29" s="245">
        <f>B34*'ha_N2O bodem landbouw'!B4</f>
        <v>21.562979443556127</v>
      </c>
      <c r="C29" s="245">
        <f>B29*'GWP N2O_CH4'!B4</f>
        <v>6684.5236275023999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5.3840605037517386E-3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4.4750051706981392E-5</v>
      </c>
      <c r="C5" s="434" t="s">
        <v>204</v>
      </c>
      <c r="D5" s="419">
        <f>SUM(D6:D11)</f>
        <v>4.4635176916053417E-5</v>
      </c>
      <c r="E5" s="419">
        <f>SUM(E6:E11)</f>
        <v>1.7193623123311556E-3</v>
      </c>
      <c r="F5" s="432" t="s">
        <v>204</v>
      </c>
      <c r="G5" s="419">
        <f>SUM(G6:G11)</f>
        <v>0.55419817102935476</v>
      </c>
      <c r="H5" s="419">
        <f>SUM(H6:H11)</f>
        <v>7.7413754134997542E-2</v>
      </c>
      <c r="I5" s="434" t="s">
        <v>204</v>
      </c>
      <c r="J5" s="434" t="s">
        <v>204</v>
      </c>
      <c r="K5" s="434" t="s">
        <v>204</v>
      </c>
      <c r="L5" s="434" t="s">
        <v>204</v>
      </c>
      <c r="M5" s="419">
        <f>SUM(M6:M11)</f>
        <v>2.8551434272872121E-2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7.01452759041782E-6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6.2491116774519877E-6</v>
      </c>
      <c r="E6" s="873">
        <f>vkm_GW_PW*SUMIFS(TableVerdeelsleutelVkm[LPG],TableVerdeelsleutelVkm[Voertuigtype],"Lichte voertuigen")*SUMIFS(TableECFTransport[EnergieConsumptieFactor (PJ per km)],TableECFTransport[Index],CONCATENATE($A6,"_LPG_LPG"))</f>
        <v>2.2492010983330638E-4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4.4085555720663736E-2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1.08079433654971E-2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2.4831933750370473E-3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2.1330933670712772E-7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3.3379922205282027E-2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7.6088637090151865E-7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1.5071549203477786E-3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1.4478851103203936E-5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2.0337973496089545E-5</v>
      </c>
      <c r="E8" s="422">
        <f>vkm_NGW_PW*SUMIFS(TableVerdeelsleutelVkm[LPG],TableVerdeelsleutelVkm[Voertuigtype],"Lichte voertuigen")*SUMIFS(TableECFTransport[EnergieConsumptieFactor (PJ per km)],TableECFTransport[Index],CONCATENATE($A8,"_LPG_LPG"))</f>
        <v>6.9666114522774823E-4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0.12826815322406551</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3.3766428782895166E-2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7.3307025989410336E-3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1.8463560517778246E-7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3.7113418576919494E-2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7.9495370949821336E-7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1.6757257075675955E-3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2.1742549842322185E-5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1.804809174251188E-5</v>
      </c>
      <c r="E10" s="422">
        <f>vkm_SW_PW*SUMIFS(TableVerdeelsleutelVkm[LPG],TableVerdeelsleutelVkm[Voertuigtype],"Lichte voertuigen")*SUMIFS(TableECFTransport[EnergieConsumptieFactor (PJ per km)],TableECFTransport[Index],CONCATENATE($A10,"_LPG_LPG"))</f>
        <v>7.9778105727010111E-4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0.14493074553170959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3.2833728127912382E-2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8.0405073975318275E-3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1.1161782291525414E-6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0.16642037577071442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4.0980186124882659E-6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7.5141502734468379E-3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12.430569918605944</v>
      </c>
      <c r="C14" s="21"/>
      <c r="D14" s="21">
        <f t="shared" ref="D14:M14" si="0">((D5)*10^9/3600)+D12</f>
        <v>12.398660254459282</v>
      </c>
      <c r="E14" s="21">
        <f t="shared" si="0"/>
        <v>477.60064231420989</v>
      </c>
      <c r="F14" s="21"/>
      <c r="G14" s="21">
        <f t="shared" si="0"/>
        <v>153943.936397043</v>
      </c>
      <c r="H14" s="21">
        <f t="shared" si="0"/>
        <v>21503.820593054876</v>
      </c>
      <c r="I14" s="21"/>
      <c r="J14" s="21"/>
      <c r="K14" s="21"/>
      <c r="L14" s="21"/>
      <c r="M14" s="21">
        <f t="shared" si="0"/>
        <v>7930.9539646866997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0.15154278562133483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1.8837631923263141</v>
      </c>
      <c r="C18" s="23"/>
      <c r="D18" s="23">
        <f t="shared" ref="D18:M18" si="1">D14*D16</f>
        <v>2.5045293714007753</v>
      </c>
      <c r="E18" s="23">
        <f t="shared" si="1"/>
        <v>108.41534580532564</v>
      </c>
      <c r="F18" s="23"/>
      <c r="G18" s="23">
        <f t="shared" si="1"/>
        <v>41103.031018010486</v>
      </c>
      <c r="H18" s="23">
        <f t="shared" si="1"/>
        <v>5354.4513276706639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3.4758870276999603E-5</v>
      </c>
      <c r="C50" s="316">
        <f t="shared" ref="C50:P50" si="2">SUM(C51:C52)</f>
        <v>0</v>
      </c>
      <c r="D50" s="316">
        <f t="shared" si="2"/>
        <v>0</v>
      </c>
      <c r="E50" s="316">
        <f t="shared" si="2"/>
        <v>0</v>
      </c>
      <c r="F50" s="316">
        <f t="shared" si="2"/>
        <v>0</v>
      </c>
      <c r="G50" s="316">
        <f t="shared" si="2"/>
        <v>6.7656172562583512E-3</v>
      </c>
      <c r="H50" s="316">
        <f t="shared" si="2"/>
        <v>0</v>
      </c>
      <c r="I50" s="316">
        <f t="shared" si="2"/>
        <v>0</v>
      </c>
      <c r="J50" s="316">
        <f t="shared" si="2"/>
        <v>0</v>
      </c>
      <c r="K50" s="316">
        <f t="shared" si="2"/>
        <v>0</v>
      </c>
      <c r="L50" s="316">
        <f t="shared" si="2"/>
        <v>0</v>
      </c>
      <c r="M50" s="316">
        <f t="shared" si="2"/>
        <v>3.0337596258041581E-4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3.4758870276999603E-5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6.7656172562583512E-3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3.0337596258041581E-4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9.6552417436110005</v>
      </c>
      <c r="C54" s="21">
        <f t="shared" ref="C54:P54" si="3">(C50)*10^9/3600</f>
        <v>0</v>
      </c>
      <c r="D54" s="21">
        <f t="shared" si="3"/>
        <v>0</v>
      </c>
      <c r="E54" s="21">
        <f t="shared" si="3"/>
        <v>0</v>
      </c>
      <c r="F54" s="21">
        <f t="shared" si="3"/>
        <v>0</v>
      </c>
      <c r="G54" s="21">
        <f t="shared" si="3"/>
        <v>1879.3381267384307</v>
      </c>
      <c r="H54" s="21">
        <f t="shared" si="3"/>
        <v>0</v>
      </c>
      <c r="I54" s="21">
        <f t="shared" si="3"/>
        <v>0</v>
      </c>
      <c r="J54" s="21">
        <f t="shared" si="3"/>
        <v>0</v>
      </c>
      <c r="K54" s="21">
        <f t="shared" si="3"/>
        <v>0</v>
      </c>
      <c r="L54" s="21">
        <f t="shared" si="3"/>
        <v>0</v>
      </c>
      <c r="M54" s="21">
        <f t="shared" si="3"/>
        <v>84.271100716782172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0.15154278562133483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1.463182229674205</v>
      </c>
      <c r="C58" s="23">
        <f t="shared" ref="C58:P58" ca="1" si="4">C54*C56</f>
        <v>0</v>
      </c>
      <c r="D58" s="23">
        <f t="shared" si="4"/>
        <v>0</v>
      </c>
      <c r="E58" s="23">
        <f t="shared" si="4"/>
        <v>0</v>
      </c>
      <c r="F58" s="23">
        <f t="shared" si="4"/>
        <v>0</v>
      </c>
      <c r="G58" s="23">
        <f t="shared" si="4"/>
        <v>501.78327983916103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15089.267330000001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6907.8553714479376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30240</v>
      </c>
      <c r="C8" s="546">
        <f>B49</f>
        <v>35576.470588235294</v>
      </c>
      <c r="D8" s="1001"/>
      <c r="E8" s="1001">
        <f>E49</f>
        <v>0</v>
      </c>
      <c r="F8" s="1002"/>
      <c r="G8" s="547"/>
      <c r="H8" s="1001">
        <f>I49</f>
        <v>0</v>
      </c>
      <c r="I8" s="1001">
        <f>G49+F49</f>
        <v>0</v>
      </c>
      <c r="J8" s="1001">
        <f>H49+D49+C49</f>
        <v>0</v>
      </c>
      <c r="K8" s="1001"/>
      <c r="L8" s="1001"/>
      <c r="M8" s="1001"/>
      <c r="N8" s="548"/>
      <c r="O8" s="549">
        <f>C8*$C$12+D8*$D$12+E8*$E$12+F8*$F$12+G8*$G$12+H8*$H$12+I8*$I$12+J8*$J$12</f>
        <v>7186.4470588235299</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52237.122701447937</v>
      </c>
      <c r="C10" s="559">
        <f t="shared" ref="C10:L10" si="0">SUM(C8:C9)</f>
        <v>35576.470588235294</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7186.4470588235299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43200</v>
      </c>
      <c r="C17" s="571">
        <f>B50</f>
        <v>50823.529411764706</v>
      </c>
      <c r="D17" s="572"/>
      <c r="E17" s="572">
        <f>E50</f>
        <v>0</v>
      </c>
      <c r="F17" s="1007"/>
      <c r="G17" s="573"/>
      <c r="H17" s="571">
        <f>I50</f>
        <v>0</v>
      </c>
      <c r="I17" s="572">
        <f>G50+F50</f>
        <v>0</v>
      </c>
      <c r="J17" s="572">
        <f>H50+D50+C50</f>
        <v>0</v>
      </c>
      <c r="K17" s="572"/>
      <c r="L17" s="572"/>
      <c r="M17" s="572"/>
      <c r="N17" s="1008"/>
      <c r="O17" s="574">
        <f>C17*$C$22+E17*$E$22+H17*$H$22+I17*$I$22+J17*$J$22+D17*$D$22+F17*$F$22+G17*$G$22+K17*$K$22+L17*$L$22</f>
        <v>10266.352941176472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43200</v>
      </c>
      <c r="C20" s="558">
        <f>SUM(C17:C19)</f>
        <v>50823.529411764706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10266.352941176472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46020</v>
      </c>
      <c r="C28" s="777">
        <v>9170</v>
      </c>
      <c r="D28" s="630"/>
      <c r="E28" s="629"/>
      <c r="F28" s="629"/>
      <c r="G28" s="629" t="s">
        <v>926</v>
      </c>
      <c r="H28" s="629" t="s">
        <v>927</v>
      </c>
      <c r="I28" s="629"/>
      <c r="J28" s="776"/>
      <c r="K28" s="776"/>
      <c r="L28" s="629" t="s">
        <v>928</v>
      </c>
      <c r="M28" s="629">
        <v>1600</v>
      </c>
      <c r="N28" s="629">
        <v>7200</v>
      </c>
      <c r="O28" s="629">
        <v>10285.714285714286</v>
      </c>
      <c r="P28" s="629">
        <v>20571.428571428572</v>
      </c>
      <c r="Q28" s="629">
        <v>0</v>
      </c>
      <c r="R28" s="629">
        <v>0</v>
      </c>
      <c r="S28" s="629">
        <v>0</v>
      </c>
      <c r="T28" s="629">
        <v>0</v>
      </c>
      <c r="U28" s="629">
        <v>0</v>
      </c>
      <c r="V28" s="629">
        <v>0</v>
      </c>
      <c r="W28" s="629">
        <v>0</v>
      </c>
      <c r="X28" s="629">
        <v>10</v>
      </c>
      <c r="Y28" s="629" t="s">
        <v>105</v>
      </c>
      <c r="Z28" s="631" t="s">
        <v>105</v>
      </c>
    </row>
    <row r="29" spans="1:26" s="583" customFormat="1" ht="25.5" hidden="1">
      <c r="A29" s="582"/>
      <c r="B29" s="777">
        <v>46020</v>
      </c>
      <c r="C29" s="777">
        <v>9170</v>
      </c>
      <c r="D29" s="630"/>
      <c r="E29" s="629"/>
      <c r="F29" s="629"/>
      <c r="G29" s="629" t="s">
        <v>926</v>
      </c>
      <c r="H29" s="629" t="s">
        <v>927</v>
      </c>
      <c r="I29" s="629"/>
      <c r="J29" s="776"/>
      <c r="K29" s="776"/>
      <c r="L29" s="629" t="s">
        <v>928</v>
      </c>
      <c r="M29" s="629">
        <v>5120</v>
      </c>
      <c r="N29" s="629">
        <v>23040</v>
      </c>
      <c r="O29" s="629">
        <v>32914.285714285717</v>
      </c>
      <c r="P29" s="629">
        <v>65828.571428571435</v>
      </c>
      <c r="Q29" s="629">
        <v>0</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6720</v>
      </c>
      <c r="N30" s="587">
        <f>SUM(N28:N29)</f>
        <v>30240</v>
      </c>
      <c r="O30" s="587">
        <f>SUM(O28:O29)</f>
        <v>43200</v>
      </c>
      <c r="P30" s="587">
        <f>SUM(P28:P29)</f>
        <v>86400</v>
      </c>
      <c r="Q30" s="587">
        <f>SUM(Q28:Q29)</f>
        <v>0</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6720</v>
      </c>
      <c r="N33" s="592">
        <f>SUMIF($Z$28:$Z$29,"landbouw",N28:N29)</f>
        <v>30240</v>
      </c>
      <c r="O33" s="592">
        <f>SUMIF($Z$28:$Z$29,"landbouw",O28:O29)</f>
        <v>43200</v>
      </c>
      <c r="P33" s="592">
        <f>SUMIF($Z$28:$Z$29,"landbouw",P28:P29)</f>
        <v>86400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35576.470588235294</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50823.529411764706</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2021-11-11T13:27:01Z</dcterms:modified>
</cp:coreProperties>
</file>