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0F2653A8-6F46-410C-A8FB-43D786E4D22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L20" i="18" s="1"/>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L10" i="18" s="1"/>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B17" i="18"/>
  <c r="G12" i="18"/>
  <c r="F12" i="18"/>
  <c r="E12" i="18"/>
  <c r="D12" i="18"/>
  <c r="C12" i="18"/>
  <c r="K10" i="18"/>
  <c r="G10" i="18"/>
  <c r="B6" i="18"/>
  <c r="B5" i="18"/>
  <c r="B4" i="18"/>
  <c r="J9" i="18" l="1"/>
  <c r="B45" i="18"/>
  <c r="I9"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Q54" i="14"/>
  <c r="P54" i="14"/>
  <c r="P56" i="14" s="1"/>
  <c r="L54" i="14"/>
  <c r="L56" i="14" s="1"/>
  <c r="J54" i="14"/>
  <c r="J56" i="14" s="1"/>
  <c r="I54" i="14"/>
  <c r="H54" i="14"/>
  <c r="H56" i="14" s="1"/>
  <c r="Q24" i="14"/>
  <c r="Q26" i="14" s="1"/>
  <c r="P24" i="14"/>
  <c r="N24" i="14"/>
  <c r="L24" i="14"/>
  <c r="J24" i="14"/>
  <c r="J26" i="14" s="1"/>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s="1"/>
  <c r="C25" i="14"/>
  <c r="B14" i="48" s="1"/>
  <c r="P26" i="14"/>
  <c r="N26" i="14"/>
  <c r="L26" i="14"/>
  <c r="H26" i="14"/>
  <c r="I10" i="18" l="1"/>
  <c r="O8" i="18"/>
  <c r="O10" i="18" s="1"/>
  <c r="H20" i="59"/>
  <c r="P25"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67" i="22"/>
  <c r="G51" i="22"/>
  <c r="B36" i="13"/>
  <c r="B32" i="13"/>
  <c r="B35" i="13"/>
  <c r="C35" i="13" s="1"/>
  <c r="B34" i="13"/>
  <c r="B33" i="13"/>
  <c r="C34"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5" i="48" s="1"/>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27" i="48" l="1"/>
  <c r="M33" i="48" s="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<sst xmlns="http://schemas.openxmlformats.org/spreadsheetml/2006/main" count="2516" uniqueCount="929">
  <si>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</si>
  <si>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</si>
  <si>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</si>
  <si>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</si>
  <si>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</si>
  <si>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</si>
  <si>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</si>
  <si>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</si>
  <si>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</si>
  <si>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</si>
  <si>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</si>
  <si>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</si>
  <si>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</si>
  <si>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</si>
  <si>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</si>
  <si>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</si>
  <si>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</si>
  <si>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</si>
  <si>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</si>
  <si>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</si>
  <si>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</si>
  <si>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</si>
  <si>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</si>
  <si>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</si>
  <si>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</si>
  <si>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</si>
  <si>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</si>
  <si>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</si>
  <si>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</si>
  <si>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</si>
  <si>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</si>
  <si>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</si>
  <si>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</si>
  <si>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</si>
  <si>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</si>
  <si>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</si>
  <si>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</si>
  <si>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</si>
  <si>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</si>
  <si>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</si>
  <si>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</si>
  <si>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</si>
  <si>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</si>
  <si>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</si>
  <si>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</si>
  <si>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</si>
  <si>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</si>
  <si>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</si>
  <si>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</si>
  <si>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</si>
  <si>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</si>
  <si>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</si>
  <si>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</si>
  <si>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</si>
  <si>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</si>
  <si>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</si>
  <si>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</si>
  <si>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</si>
  <si>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</si>
  <si>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</si>
  <si>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</si>
  <si>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</si>
  <si>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</si>
  <si>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</si>
  <si>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</si>
  <si>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</si>
  <si>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</si>
  <si>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</si>
  <si>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</si>
  <si>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</si>
  <si>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</si>
  <si>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</si>
  <si>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</si>
  <si>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</si>
  <si>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</si>
  <si>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</si>
  <si>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</si>
  <si>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</si>
  <si>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</si>
  <si>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</si>
  <si>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</si>
  <si>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</si>
  <si>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</si>
  <si>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</si>
  <si>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</si>
  <si>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</si>
  <si>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</si>
  <si>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</si>
  <si>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</si>
  <si>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</si>
  <si>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</si>
  <si>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</si>
  <si>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</si>
  <si>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</si>
  <si>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</si>
  <si>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</si>
  <si>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</si>
  <si>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</si>
  <si>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</si>
  <si>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</si>
  <si>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</si>
  <si>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</si>
  <si>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</si>
  <si>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</si>
  <si>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</si>
  <si>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</si>
  <si>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</si>
  <si>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</si>
  <si>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</si>
  <si>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</si>
  <si>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</si>
  <si>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</si>
  <si>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</si>
  <si>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</si>
  <si>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</si>
  <si>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</si>
  <si>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</si>
  <si>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</si>
  <si>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</si>
  <si>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</si>
  <si>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</si>
  <si>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</si>
  <si>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</si>
  <si>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</si>
  <si>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</si>
  <si>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</si>
  <si>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</si>
  <si>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</si>
  <si>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</si>
  <si>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</si>
  <si>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</si>
  <si>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</si>
  <si>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</si>
  <si>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</si>
  <si>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</si>
  <si>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</si>
  <si>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</si>
  <si>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</si>
  <si>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</si>
  <si>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</si>
  <si>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</si>
  <si>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</si>
  <si>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</si>
  <si>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</si>
  <si>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</si>
  <si>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</si>
  <si>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</si>
  <si>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</si>
  <si>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</si>
  <si>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</si>
  <si>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</si>
  <si>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</si>
  <si>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</si>
  <si>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</si>
  <si>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</si>
  <si>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</si>
  <si>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</si>
  <si>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</si>
  <si>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</si>
  <si>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</si>
  <si>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</si>
  <si>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</si>
  <si>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</si>
  <si>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</si>
  <si>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</si>
  <si>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</si>
  <si>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</si>
  <si>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</si>
  <si>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</si>
  <si>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</si>
  <si>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</si>
  <si>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</si>
  <si>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</si>
  <si>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</si>
  <si>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</si>
  <si>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</si>
  <si>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</si>
  <si>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</si>
  <si>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</si>
  <si>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</si>
  <si>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</si>
  <si>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</si>
  <si>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</si>
  <si>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</si>
  <si>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</si>
  <si>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</si>
  <si>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</si>
  <si>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</si>
  <si>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</si>
  <si>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</si>
  <si>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</si>
  <si>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</si>
  <si>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</si>
  <si>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</si>
  <si>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</si>
  <si>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</si>
  <si>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</si>
  <si>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</si>
  <si>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</si>
  <si>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</si>
  <si>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</si>
  <si>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</si>
  <si>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</si>
  <si>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</si>
  <si>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</si>
  <si>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</si>
  <si>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</si>
  <si>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</si>
  <si>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</si>
  <si>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</si>
  <si>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</si>
  <si>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</si>
  <si>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</si>
  <si>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</si>
  <si>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</si>
  <si>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</si>
  <si>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</si>
  <si>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</si>
  <si>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</si>
  <si>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</si>
  <si>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</si>
  <si>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</si>
  <si>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</si>
  <si>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</si>
  <si>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</si>
  <si>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</si>
  <si>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</si>
  <si>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</si>
  <si>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</si>
  <si>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</si>
  <si>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</si>
  <si>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</si>
  <si>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</si>
  <si>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</si>
  <si>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</si>
  <si>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</si>
  <si>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</si>
  <si>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</si>
  <si>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</si>
  <si>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</si>
  <si>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</si>
  <si>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</si>
  <si>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</si>
  <si>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</si>
  <si>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</si>
  <si>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</si>
  <si>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</si>
  <si>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</si>
  <si>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</si>
  <si>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</si>
  <si>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</si>
  <si>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</si>
  <si>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</si>
  <si>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</si>
  <si>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</si>
  <si>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</si>
  <si>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</si>
  <si>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</si>
  <si>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</si>
  <si>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</si>
  <si>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</si>
  <si>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</si>
  <si>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</si>
  <si>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</si>
  <si>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</si>
  <si>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</si>
  <si>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</si>
  <si>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</si>
  <si>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</si>
  <si>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</si>
  <si>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</si>
  <si>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</si>
  <si>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</si>
  <si>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</si>
  <si>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</si>
  <si>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</si>
  <si>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</si>
  <si>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</si>
  <si>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</si>
  <si>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</si>
  <si>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</si>
  <si>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</si>
  <si>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</si>
  <si>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</si>
  <si>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</si>
  <si>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</si>
  <si>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</si>
  <si>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</si>
  <si>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</si>
  <si>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</si>
  <si>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</si>
  <si>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</si>
  <si>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</si>
  <si>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</si>
  <si>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</si>
  <si>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</si>
  <si>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</si>
  <si>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</si>
  <si>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</si>
  <si>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</si>
  <si>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</si>
  <si>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</si>
  <si>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</si>
  <si>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</si>
  <si>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</si>
  <si>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</si>
  <si>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</si>
  <si>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</si>
  <si>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</si>
  <si>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</si>
  <si>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</si>
  <si>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</si>
  <si>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</si>
  <si>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</si>
  <si>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</si>
  <si>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</si>
  <si>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</si>
  <si>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</si>
  <si>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</si>
  <si>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</si>
  <si>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</si>
  <si>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</si>
  <si>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</si>
  <si>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</si>
  <si>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</si>
  <si>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</si>
  <si>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</si>
  <si>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</si>
  <si>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</si>
  <si>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</si>
  <si>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</si>
  <si>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</si>
  <si>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</si>
  <si>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</si>
  <si>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</si>
  <si>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</si>
  <si>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</si>
  <si>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</si>
  <si>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</si>
  <si>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</si>
  <si>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</si>
  <si>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</si>
  <si>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</si>
  <si>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</si>
  <si>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</si>
  <si>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</si>
  <si>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</si>
  <si>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</si>
  <si>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</si>
  <si>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</si>
  <si>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</si>
  <si>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</si>
  <si>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</si>
  <si>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</si>
  <si>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</si>
  <si>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</si>
  <si>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</si>
  <si>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</si>
  <si>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</si>
  <si>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</si>
  <si>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</si>
  <si>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</si>
  <si>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</si>
  <si>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</si>
  <si>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</si>
  <si>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</si>
  <si>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</si>
  <si>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</si>
  <si>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</si>
  <si>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</si>
  <si>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</si>
  <si>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</si>
  <si>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</si>
  <si>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</si>
  <si>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</si>
  <si>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</si>
  <si>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</si>
  <si>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</si>
  <si>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</si>
  <si>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</si>
  <si>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</si>
  <si>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</si>
  <si>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</si>
  <si>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</si>
  <si>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</si>
  <si>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</si>
  <si>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</si>
  <si>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</si>
  <si>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</si>
  <si>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</si>
  <si>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</si>
  <si>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</si>
  <si>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</si>
  <si>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</si>
  <si>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</si>
  <si>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</si>
  <si>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</si>
  <si>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</si>
  <si>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</si>
  <si>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</si>
  <si>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</si>
  <si>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</si>
  <si>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</si>
  <si>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</si>
  <si>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</si>
  <si>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</si>
  <si>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</si>
  <si>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</si>
  <si>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</si>
  <si>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</si>
  <si>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</si>
  <si>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</si>
  <si>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</si>
  <si>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</si>
  <si>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</si>
  <si>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</si>
  <si>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</si>
  <si>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</si>
  <si>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</si>
  <si>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</si>
  <si>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</si>
  <si>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</si>
  <si>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</si>
  <si>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</si>
  <si>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</si>
  <si>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</si>
  <si>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</si>
  <si>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</si>
  <si>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</si>
  <si>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</si>
  <si>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</si>
  <si>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</si>
  <si>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</si>
  <si>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</si>
  <si>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</si>
  <si>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</si>
  <si>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</si>
  <si>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</si>
  <si>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</si>
  <si>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</si>
  <si>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</si>
  <si>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</si>
  <si>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</si>
  <si>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</si>
  <si>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</si>
  <si>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</si>
  <si>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</si>
  <si>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</si>
  <si>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</si>
  <si>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</si>
  <si>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</si>
  <si>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</si>
  <si>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</si>
  <si>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</si>
  <si>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</si>
  <si>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</si>
  <si>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</si>
  <si>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</si>
  <si>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</si>
  <si>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</si>
  <si>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</si>
  <si>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</si>
  <si>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</si>
  <si>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</si>
  <si>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</si>
  <si>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</si>
  <si>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</si>
  <si>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</si>
  <si>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</si>
  <si>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</si>
  <si>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</si>
  <si>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</si>
  <si>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</si>
  <si>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</si>
  <si>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</si>
  <si>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</si>
  <si>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</si>
  <si>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</si>
  <si>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</si>
  <si>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</si>
  <si>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</si>
  <si>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</si>
  <si>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</si>
  <si>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</si>
  <si>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</si>
  <si>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</si>
  <si>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</si>
  <si>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</si>
  <si>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</si>
  <si>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</si>
  <si>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</si>
  <si>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</si>
  <si>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</si>
  <si>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</si>
  <si>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</si>
  <si>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</si>
  <si>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</si>
  <si>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</si>
  <si>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</si>
  <si>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</si>
  <si>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</si>
  <si>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</si>
  <si>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</si>
  <si>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</si>
  <si>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</si>
  <si>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</si>
  <si>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</si>
  <si>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</si>
  <si>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</si>
  <si>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</si>
  <si>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</si>
  <si>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</si>
  <si>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</si>
  <si>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</si>
  <si>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</si>
  <si>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</si>
  <si>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</si>
  <si>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</si>
  <si>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</si>
  <si>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</si>
  <si>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</si>
  <si>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</si>
  <si>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</si>
  <si>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</si>
  <si>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</si>
  <si>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</si>
  <si>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</si>
  <si>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</si>
  <si>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</si>
  <si>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</si>
  <si>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</si>
  <si>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</si>
  <si>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</si>
  <si>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</si>
  <si>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</si>
  <si>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</si>
  <si>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</si>
  <si>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</si>
  <si>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</si>
  <si>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</si>
  <si>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</si>
  <si>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</si>
  <si>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</si>
  <si>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</si>
  <si>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</si>
  <si>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</si>
  <si>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</si>
  <si>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</si>
  <si>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</si>
  <si>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</si>
  <si>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</si>
  <si>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</si>
  <si>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</si>
  <si>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</si>
  <si>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</si>
  <si>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</si>
  <si>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</si>
  <si>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</si>
  <si>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</si>
  <si>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</si>
  <si>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</si>
  <si>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</si>
  <si>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</si>
  <si>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</si>
  <si>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</si>
  <si>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</si>
  <si>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</si>
  <si>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</si>
  <si>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</si>
  <si>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</si>
  <si>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</si>
  <si>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</si>
  <si>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</si>
  <si>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</si>
  <si>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</si>
  <si>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</si>
  <si>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</si>
  <si>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</si>
  <si>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</si>
  <si>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</si>
  <si>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</si>
  <si>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</si>
  <si>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</si>
  <si>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</si>
  <si>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</si>
  <si>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</si>
  <si>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</si>
  <si>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</si>
  <si>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</si>
  <si>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</si>
  <si>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</si>
  <si>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</si>
  <si>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</si>
  <si>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</si>
  <si>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</si>
  <si>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</si>
  <si>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</si>
  <si>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</si>
  <si>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</si>
  <si>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</si>
  <si>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</si>
  <si>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</si>
  <si>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</si>
  <si>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</si>
  <si>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</si>
  <si>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</si>
  <si>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</si>
  <si>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</si>
  <si>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</si>
  <si>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</si>
  <si>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</si>
  <si>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</si>
  <si>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</si>
  <si>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</si>
  <si>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</si>
  <si>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</si>
  <si>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</si>
  <si>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</si>
  <si>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</si>
  <si>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</si>
  <si>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</si>
  <si>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</si>
  <si>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</si>
  <si>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</si>
  <si>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</si>
  <si>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</si>
  <si>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</si>
  <si>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</si>
  <si>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</si>
  <si>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</si>
  <si>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</si>
  <si>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</si>
  <si>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</si>
  <si>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</si>
  <si>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</si>
  <si>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</si>
  <si>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</si>
  <si>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</si>
  <si>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</si>
  <si>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</si>
  <si>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</si>
  <si>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</si>
  <si>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</si>
  <si>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</si>
  <si>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</si>
  <si>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</si>
  <si>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</si>
  <si>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</si>
  <si>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</si>
  <si>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</si>
  <si>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</si>
  <si>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</si>
  <si>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</si>
  <si>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</si>
  <si>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</si>
  <si>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</si>
  <si>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</si>
  <si>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</si>
  <si>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</si>
  <si>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</si>
  <si>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</si>
  <si>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</si>
  <si>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</si>
  <si>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</si>
  <si>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</si>
  <si>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</si>
  <si>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</si>
  <si>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</si>
  <si>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</si>
  <si>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</si>
  <si>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</si>
  <si>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</si>
  <si>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</si>
  <si>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</si>
  <si>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</si>
  <si>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</si>
  <si>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</si>
  <si>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</si>
  <si>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</si>
  <si>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</si>
  <si>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</si>
  <si>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</si>
  <si>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</si>
  <si>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</si>
  <si>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</si>
  <si>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</si>
  <si>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</si>
  <si>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</si>
  <si>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</si>
  <si>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</si>
  <si>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</si>
  <si>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</si>
  <si>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</si>
  <si>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</si>
  <si>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</si>
  <si>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</si>
  <si>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</si>
  <si>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</si>
  <si>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</si>
  <si>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</si>
  <si>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</si>
  <si>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</si>
  <si>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</si>
  <si>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</si>
  <si>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</si>
  <si>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</si>
  <si>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</si>
  <si>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</si>
  <si>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</si>
  <si>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</si>
  <si>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</si>
  <si>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</si>
  <si>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</si>
  <si>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</si>
  <si>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</si>
  <si>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</si>
  <si>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</si>
  <si>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</si>
  <si>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</si>
  <si>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</si>
  <si>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</si>
  <si>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</si>
  <si>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</si>
  <si>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</si>
  <si>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</si>
  <si>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</si>
  <si>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</si>
  <si>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</si>
  <si>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</si>
  <si>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</si>
  <si>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</si>
  <si>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</si>
  <si>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</si>
  <si>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</si>
  <si>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</si>
  <si>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</si>
  <si>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</si>
  <si>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</si>
  <si>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</si>
  <si>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</si>
  <si>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</si>
  <si>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</si>
  <si>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</si>
  <si>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</si>
  <si>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</si>
  <si>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</si>
  <si>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</si>
  <si>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</si>
  <si>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</si>
  <si>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</si>
  <si>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</si>
  <si>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</si>
  <si>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</si>
  <si>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</si>
  <si>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</si>
  <si>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</si>
  <si>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</si>
  <si>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</si>
  <si>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</si>
  <si>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</si>
  <si>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</si>
  <si>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</si>
  <si>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</si>
  <si>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</si>
  <si>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</si>
  <si>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</si>
  <si>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</si>
  <si>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</si>
  <si>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</si>
  <si>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</si>
  <si>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</si>
  <si>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</si>
  <si>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</si>
  <si>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</si>
  <si>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</si>
  <si>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</si>
  <si>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</si>
  <si>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</si>
  <si>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</si>
  <si>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</si>
  <si>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</si>
  <si>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</si>
  <si>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</si>
  <si>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</si>
  <si>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</si>
  <si>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</si>
  <si>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</si>
  <si>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</si>
  <si>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</si>
  <si>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</si>
  <si>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</si>
  <si>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</si>
  <si>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</si>
  <si>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</si>
  <si>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</si>
  <si>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</si>
  <si>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</si>
  <si>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</si>
  <si>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</si>
  <si>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</si>
  <si>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</si>
  <si>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</si>
  <si>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</si>
  <si>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</si>
  <si>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</si>
  <si>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</si>
  <si>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</si>
  <si>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</si>
  <si>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</si>
  <si>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</si>
  <si>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</si>
  <si>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</si>
  <si>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</si>
  <si>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</si>
  <si>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</si>
  <si>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</si>
  <si>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</si>
  <si>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</si>
  <si>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</si>
  <si>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</si>
  <si>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</si>
  <si>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</si>
  <si>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</si>
  <si>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</si>
  <si>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</si>
  <si>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</si>
  <si>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</si>
  <si>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</si>
  <si>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</si>
  <si>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</si>
  <si>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</si>
  <si>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</si>
  <si>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</si>
  <si>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</si>
  <si>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</si>
  <si>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</si>
  <si>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</si>
  <si>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</si>
  <si>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</si>
  <si>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</si>
  <si>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</si>
  <si>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</si>
  <si>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</si>
  <si>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</si>
  <si>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</si>
  <si>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</si>
  <si>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</si>
  <si>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</si>
  <si>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</si>
  <si>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</si>
  <si>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</si>
  <si>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</si>
  <si>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</si>
  <si>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</si>
  <si>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</si>
  <si>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</si>
  <si>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</si>
  <si>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</si>
  <si>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</si>
  <si>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</si>
  <si>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</si>
  <si>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</si>
  <si>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</si>
  <si>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</si>
  <si>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</si>
  <si>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</si>
  <si>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</si>
  <si>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</si>
  <si>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</si>
  <si>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</si>
  <si>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</si>
  <si>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</si>
  <si>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</si>
  <si>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</si>
  <si>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</si>
  <si>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</si>
  <si>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</si>
  <si>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</si>
  <si>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</si>
  <si>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</si>
  <si>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</si>
  <si>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</si>
  <si>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</si>
  <si>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</si>
  <si>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</si>
  <si>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</si>
  <si>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</si>
  <si>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</si>
  <si>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</si>
  <si>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</si>
  <si>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</si>
  <si>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</si>
  <si>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</si>
  <si>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</si>
  <si>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</si>
  <si>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</si>
  <si>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</si>
  <si>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</si>
  <si>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</si>
  <si>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</si>
  <si>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</si>
  <si>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</si>
  <si>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</si>
  <si>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</si>
  <si>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</si>
  <si>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</si>
  <si>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</si>
  <si>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</si>
  <si>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</si>
  <si>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</si>
  <si>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</si>
  <si>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</si>
  <si>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</si>
  <si>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</si>
  <si>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</si>
  <si>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</si>
  <si>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</si>
  <si>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</si>
  <si>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</si>
  <si>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45061</t>
  </si>
  <si>
    <t>WORTEGEM-PETEGEM</t>
  </si>
  <si>
    <t>Cultuurgrond (ha)</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</si>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</sst>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8D1D3705-1A52-4138-9322-56A41D40AA5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61584.380976031534</c:v>
                </c:pt>
                <c:pt idx="1">
                  <c:v>8882.4143815135576</c:v>
                </c:pt>
                <c:pt idx="2">
                  <c:v>568.95799999999997</c:v>
                </c:pt>
                <c:pt idx="3">
                  <c:v>6341.6053358445615</c:v>
                </c:pt>
                <c:pt idx="4">
                  <c:v>7935.7270879845537</c:v>
                </c:pt>
                <c:pt idx="5">
                  <c:v>35100.421060577093</c:v>
                </c:pt>
                <c:pt idx="6">
                  <c:v>539.59288902004835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61584.380976031534</c:v>
                </c:pt>
                <c:pt idx="1">
                  <c:v>8882.4143815135576</c:v>
                </c:pt>
                <c:pt idx="2">
                  <c:v>568.95799999999997</c:v>
                </c:pt>
                <c:pt idx="3">
                  <c:v>6341.6053358445615</c:v>
                </c:pt>
                <c:pt idx="4">
                  <c:v>7935.7270879845537</c:v>
                </c:pt>
                <c:pt idx="5">
                  <c:v>35100.421060577093</c:v>
                </c:pt>
                <c:pt idx="6">
                  <c:v>539.59288902004835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13680.799943200331</c:v>
                </c:pt>
                <c:pt idx="2">
                  <c:v>1760.6997795831076</c:v>
                </c:pt>
                <c:pt idx="3">
                  <c:v>111.02724132070118</c:v>
                </c:pt>
                <c:pt idx="4">
                  <c:v>1593.5864139265359</c:v>
                </c:pt>
                <c:pt idx="5">
                  <c:v>1661.0029544093247</c:v>
                </c:pt>
                <c:pt idx="6">
                  <c:v>8857.5363902757872</c:v>
                </c:pt>
                <c:pt idx="7">
                  <c:v>137.72880464514478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13680.799943200331</c:v>
                </c:pt>
                <c:pt idx="2">
                  <c:v>1760.6997795831076</c:v>
                </c:pt>
                <c:pt idx="3">
                  <c:v>111.02724132070118</c:v>
                </c:pt>
                <c:pt idx="4">
                  <c:v>1593.5864139265359</c:v>
                </c:pt>
                <c:pt idx="5">
                  <c:v>1661.0029544093247</c:v>
                </c:pt>
                <c:pt idx="6">
                  <c:v>8857.5363902757872</c:v>
                </c:pt>
                <c:pt idx="7">
                  <c:v>137.72880464514478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45061</v>
      </c>
      <c r="B6" s="385"/>
      <c r="C6" s="386"/>
    </row>
    <row r="7" spans="1:7" s="383" customFormat="1" ht="15.75" customHeight="1">
      <c r="A7" s="387" t="str">
        <f>txtMunicipality</f>
        <v>WORTEGEM-PETEGEM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6637.8709965515418</v>
      </c>
      <c r="D10" s="676">
        <f ca="1">tertiair!C16</f>
        <v>0</v>
      </c>
      <c r="E10" s="676">
        <f ca="1">tertiair!D16</f>
        <v>1203.3005161127376</v>
      </c>
      <c r="F10" s="676">
        <f>tertiair!E16</f>
        <v>84.875261542854076</v>
      </c>
      <c r="G10" s="676">
        <f ca="1">tertiair!F16</f>
        <v>1176.2937027432133</v>
      </c>
      <c r="H10" s="676">
        <f>tertiair!G16</f>
        <v>0</v>
      </c>
      <c r="I10" s="676">
        <f>tertiair!H16</f>
        <v>0</v>
      </c>
      <c r="J10" s="676">
        <f>tertiair!I16</f>
        <v>0</v>
      </c>
      <c r="K10" s="676">
        <f>tertiair!J16</f>
        <v>0</v>
      </c>
      <c r="L10" s="676">
        <f>tertiair!K16</f>
        <v>0</v>
      </c>
      <c r="M10" s="676">
        <f ca="1">tertiair!L16</f>
        <v>0</v>
      </c>
      <c r="N10" s="676">
        <f>tertiair!M16</f>
        <v>0</v>
      </c>
      <c r="O10" s="676">
        <f ca="1">tertiair!N16</f>
        <v>329.96523789654344</v>
      </c>
      <c r="P10" s="676">
        <f>tertiair!O16</f>
        <v>0</v>
      </c>
      <c r="Q10" s="677">
        <f>tertiair!P16</f>
        <v>19.066666666666666</v>
      </c>
      <c r="R10" s="679">
        <f ca="1">SUM(C10:Q10)</f>
        <v>9451.3723815135581</v>
      </c>
      <c r="S10" s="67"/>
    </row>
    <row r="11" spans="1:19" s="444" customFormat="1">
      <c r="A11" s="791" t="s">
        <v>214</v>
      </c>
      <c r="B11" s="796"/>
      <c r="C11" s="676">
        <f>huishoudens!B8</f>
        <v>12820.476845396304</v>
      </c>
      <c r="D11" s="676">
        <f>huishoudens!C8</f>
        <v>0</v>
      </c>
      <c r="E11" s="676">
        <f>huishoudens!D8</f>
        <v>9081.7501428536689</v>
      </c>
      <c r="F11" s="676">
        <f>huishoudens!E8</f>
        <v>1084.7021077985405</v>
      </c>
      <c r="G11" s="676">
        <f>huishoudens!F8</f>
        <v>33241.208893558585</v>
      </c>
      <c r="H11" s="676">
        <f>huishoudens!G8</f>
        <v>0</v>
      </c>
      <c r="I11" s="676">
        <f>huishoudens!H8</f>
        <v>0</v>
      </c>
      <c r="J11" s="676">
        <f>huishoudens!I8</f>
        <v>0</v>
      </c>
      <c r="K11" s="676">
        <f>huishoudens!J8</f>
        <v>629.52230740025482</v>
      </c>
      <c r="L11" s="676">
        <f>huishoudens!K8</f>
        <v>0</v>
      </c>
      <c r="M11" s="676">
        <f>huishoudens!L8</f>
        <v>0</v>
      </c>
      <c r="N11" s="676">
        <f>huishoudens!M8</f>
        <v>0</v>
      </c>
      <c r="O11" s="676">
        <f>huishoudens!N8</f>
        <v>4313.7840123575097</v>
      </c>
      <c r="P11" s="676">
        <f>huishoudens!O8</f>
        <v>107.87</v>
      </c>
      <c r="Q11" s="677">
        <f>huishoudens!P8</f>
        <v>305.06666666666666</v>
      </c>
      <c r="R11" s="679">
        <f>SUM(C11:Q11)</f>
        <v>61584.380976031534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4570.4503854132599</v>
      </c>
      <c r="D13" s="676">
        <f>industrie!C18</f>
        <v>0</v>
      </c>
      <c r="E13" s="676">
        <f>industrie!D18</f>
        <v>352.2298973457805</v>
      </c>
      <c r="F13" s="676">
        <f>industrie!E18</f>
        <v>715.29180108208755</v>
      </c>
      <c r="G13" s="676">
        <f>industrie!F18</f>
        <v>1997.7305760787324</v>
      </c>
      <c r="H13" s="676">
        <f>industrie!G18</f>
        <v>0</v>
      </c>
      <c r="I13" s="676">
        <f>industrie!H18</f>
        <v>0</v>
      </c>
      <c r="J13" s="676">
        <f>industrie!I18</f>
        <v>0</v>
      </c>
      <c r="K13" s="676">
        <f>industrie!J18</f>
        <v>6.2239576534796663</v>
      </c>
      <c r="L13" s="676">
        <f>industrie!K18</f>
        <v>0</v>
      </c>
      <c r="M13" s="676">
        <f>industrie!L18</f>
        <v>0</v>
      </c>
      <c r="N13" s="676">
        <f>industrie!M18</f>
        <v>0</v>
      </c>
      <c r="O13" s="676">
        <f>industrie!N18</f>
        <v>293.80047041121446</v>
      </c>
      <c r="P13" s="676">
        <f>industrie!O18</f>
        <v>0</v>
      </c>
      <c r="Q13" s="677">
        <f>industrie!P18</f>
        <v>0</v>
      </c>
      <c r="R13" s="679">
        <f>SUM(C13:Q13)</f>
        <v>7935.7270879845537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24028.798227361105</v>
      </c>
      <c r="D16" s="711">
        <f t="shared" ref="D16:R16" ca="1" si="0">SUM(D9:D15)</f>
        <v>0</v>
      </c>
      <c r="E16" s="711">
        <f t="shared" ca="1" si="0"/>
        <v>10637.280556312187</v>
      </c>
      <c r="F16" s="711">
        <f t="shared" si="0"/>
        <v>1884.869170423482</v>
      </c>
      <c r="G16" s="711">
        <f t="shared" ca="1" si="0"/>
        <v>36415.233172380533</v>
      </c>
      <c r="H16" s="711">
        <f t="shared" si="0"/>
        <v>0</v>
      </c>
      <c r="I16" s="711">
        <f t="shared" si="0"/>
        <v>0</v>
      </c>
      <c r="J16" s="711">
        <f t="shared" si="0"/>
        <v>0</v>
      </c>
      <c r="K16" s="711">
        <f t="shared" si="0"/>
        <v>635.74626505373453</v>
      </c>
      <c r="L16" s="711">
        <f t="shared" si="0"/>
        <v>0</v>
      </c>
      <c r="M16" s="711">
        <f t="shared" ca="1" si="0"/>
        <v>0</v>
      </c>
      <c r="N16" s="711">
        <f t="shared" si="0"/>
        <v>0</v>
      </c>
      <c r="O16" s="711">
        <f t="shared" ca="1" si="0"/>
        <v>4937.5497206652681</v>
      </c>
      <c r="P16" s="711">
        <f t="shared" si="0"/>
        <v>107.87</v>
      </c>
      <c r="Q16" s="711">
        <f t="shared" si="0"/>
        <v>324.13333333333333</v>
      </c>
      <c r="R16" s="711">
        <f t="shared" ca="1" si="0"/>
        <v>78971.480445529654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2.6402440564580423</v>
      </c>
      <c r="D19" s="676">
        <f>transport!C54</f>
        <v>0</v>
      </c>
      <c r="E19" s="676">
        <f>transport!D54</f>
        <v>0</v>
      </c>
      <c r="F19" s="676">
        <f>transport!E54</f>
        <v>0</v>
      </c>
      <c r="G19" s="676">
        <f>transport!F54</f>
        <v>0</v>
      </c>
      <c r="H19" s="676">
        <f>transport!G54</f>
        <v>513.90855360814703</v>
      </c>
      <c r="I19" s="676">
        <f>transport!H54</f>
        <v>0</v>
      </c>
      <c r="J19" s="676">
        <f>transport!I54</f>
        <v>0</v>
      </c>
      <c r="K19" s="676">
        <f>transport!J54</f>
        <v>0</v>
      </c>
      <c r="L19" s="676">
        <f>transport!K54</f>
        <v>0</v>
      </c>
      <c r="M19" s="676">
        <f>transport!L54</f>
        <v>0</v>
      </c>
      <c r="N19" s="676">
        <f>transport!M54</f>
        <v>23.04409135544326</v>
      </c>
      <c r="O19" s="676">
        <f>transport!N54</f>
        <v>0</v>
      </c>
      <c r="P19" s="676">
        <f>transport!O54</f>
        <v>0</v>
      </c>
      <c r="Q19" s="677">
        <f>transport!P54</f>
        <v>0</v>
      </c>
      <c r="R19" s="679">
        <f>SUM(C19:Q19)</f>
        <v>539.59288902004835</v>
      </c>
      <c r="S19" s="67"/>
    </row>
    <row r="20" spans="1:19" s="444" customFormat="1">
      <c r="A20" s="791" t="s">
        <v>296</v>
      </c>
      <c r="B20" s="796"/>
      <c r="C20" s="676">
        <f>transport!B14</f>
        <v>2.8976335573999257</v>
      </c>
      <c r="D20" s="676">
        <f>transport!C14</f>
        <v>0</v>
      </c>
      <c r="E20" s="676">
        <f>transport!D14</f>
        <v>3.4719837712857116</v>
      </c>
      <c r="F20" s="676">
        <f>transport!E14</f>
        <v>120.61351651521554</v>
      </c>
      <c r="G20" s="676">
        <f>transport!F14</f>
        <v>0</v>
      </c>
      <c r="H20" s="676">
        <f>transport!G14</f>
        <v>27628.548453031624</v>
      </c>
      <c r="I20" s="676">
        <f>transport!H14</f>
        <v>5831.5979766064675</v>
      </c>
      <c r="J20" s="676">
        <f>transport!I14</f>
        <v>0</v>
      </c>
      <c r="K20" s="676">
        <f>transport!J14</f>
        <v>0</v>
      </c>
      <c r="L20" s="676">
        <f>transport!K14</f>
        <v>0</v>
      </c>
      <c r="M20" s="676">
        <f>transport!L14</f>
        <v>0</v>
      </c>
      <c r="N20" s="676">
        <f>transport!M14</f>
        <v>1513.2914970951026</v>
      </c>
      <c r="O20" s="676">
        <f>transport!N14</f>
        <v>0</v>
      </c>
      <c r="P20" s="676">
        <f>transport!O14</f>
        <v>0</v>
      </c>
      <c r="Q20" s="677">
        <f>transport!P14</f>
        <v>0</v>
      </c>
      <c r="R20" s="679">
        <f>SUM(C20:Q20)</f>
        <v>35100.421060577093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5.537877613857968</v>
      </c>
      <c r="D22" s="794">
        <f t="shared" ref="D22:R22" si="1">SUM(D18:D21)</f>
        <v>0</v>
      </c>
      <c r="E22" s="794">
        <f t="shared" si="1"/>
        <v>3.4719837712857116</v>
      </c>
      <c r="F22" s="794">
        <f t="shared" si="1"/>
        <v>120.61351651521554</v>
      </c>
      <c r="G22" s="794">
        <f t="shared" si="1"/>
        <v>0</v>
      </c>
      <c r="H22" s="794">
        <f t="shared" si="1"/>
        <v>28142.457006639772</v>
      </c>
      <c r="I22" s="794">
        <f t="shared" si="1"/>
        <v>5831.5979766064675</v>
      </c>
      <c r="J22" s="794">
        <f t="shared" si="1"/>
        <v>0</v>
      </c>
      <c r="K22" s="794">
        <f t="shared" si="1"/>
        <v>0</v>
      </c>
      <c r="L22" s="794">
        <f t="shared" si="1"/>
        <v>0</v>
      </c>
      <c r="M22" s="794">
        <f t="shared" si="1"/>
        <v>0</v>
      </c>
      <c r="N22" s="794">
        <f t="shared" si="1"/>
        <v>1536.3355884505459</v>
      </c>
      <c r="O22" s="794">
        <f t="shared" si="1"/>
        <v>0</v>
      </c>
      <c r="P22" s="794">
        <f t="shared" si="1"/>
        <v>0</v>
      </c>
      <c r="Q22" s="794">
        <f t="shared" si="1"/>
        <v>0</v>
      </c>
      <c r="R22" s="794">
        <f t="shared" si="1"/>
        <v>35640.013949597138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1351.6331716395844</v>
      </c>
      <c r="D24" s="676">
        <f>+landbouw!C8</f>
        <v>62.357142857142847</v>
      </c>
      <c r="E24" s="676">
        <f>+landbouw!D8</f>
        <v>43.839391438141547</v>
      </c>
      <c r="F24" s="676">
        <f>+landbouw!E8</f>
        <v>17.032319220217325</v>
      </c>
      <c r="G24" s="676">
        <f>+landbouw!F8</f>
        <v>4663.4730464985014</v>
      </c>
      <c r="H24" s="676">
        <f>+landbouw!G8</f>
        <v>0</v>
      </c>
      <c r="I24" s="676">
        <f>+landbouw!H8</f>
        <v>0</v>
      </c>
      <c r="J24" s="676">
        <f>+landbouw!I8</f>
        <v>0</v>
      </c>
      <c r="K24" s="676">
        <f>+landbouw!J8</f>
        <v>203.27026419097339</v>
      </c>
      <c r="L24" s="676">
        <f>+landbouw!K8</f>
        <v>0</v>
      </c>
      <c r="M24" s="676">
        <f>+landbouw!L8</f>
        <v>0</v>
      </c>
      <c r="N24" s="676">
        <f>+landbouw!M8</f>
        <v>0</v>
      </c>
      <c r="O24" s="676">
        <f>+landbouw!N8</f>
        <v>0</v>
      </c>
      <c r="P24" s="676">
        <f>+landbouw!O8</f>
        <v>0</v>
      </c>
      <c r="Q24" s="677">
        <f>+landbouw!P8</f>
        <v>0</v>
      </c>
      <c r="R24" s="679">
        <f>SUM(C24:Q24)</f>
        <v>6341.6053358445615</v>
      </c>
      <c r="S24" s="67"/>
    </row>
    <row r="25" spans="1:19" s="444" customFormat="1" ht="15" thickBot="1">
      <c r="A25" s="813" t="s">
        <v>833</v>
      </c>
      <c r="B25" s="977"/>
      <c r="C25" s="978">
        <f>IF(Onbekend_ele_kWh="---",0,Onbekend_ele_kWh)/1000+IF(REST_rest_ele_kWh="---",0,REST_rest_ele_kWh)/1000</f>
        <v>425.32082187705203</v>
      </c>
      <c r="D25" s="978"/>
      <c r="E25" s="978">
        <f>IF(onbekend_gas_kWh="---",0,onbekend_gas_kWh)/1000+IF(REST_rest_gas_kWh="---",0,REST_rest_gas_kWh)/1000</f>
        <v>178.17307473776398</v>
      </c>
      <c r="F25" s="978"/>
      <c r="G25" s="978"/>
      <c r="H25" s="978"/>
      <c r="I25" s="978"/>
      <c r="J25" s="978"/>
      <c r="K25" s="978"/>
      <c r="L25" s="978"/>
      <c r="M25" s="978"/>
      <c r="N25" s="978"/>
      <c r="O25" s="978"/>
      <c r="P25" s="978"/>
      <c r="Q25" s="979"/>
      <c r="R25" s="679">
        <f>SUM(C25:Q25)</f>
        <v>603.49389661481598</v>
      </c>
      <c r="S25" s="67"/>
    </row>
    <row r="26" spans="1:19" s="444" customFormat="1" ht="15.75" thickBot="1">
      <c r="A26" s="684" t="s">
        <v>834</v>
      </c>
      <c r="B26" s="799"/>
      <c r="C26" s="794">
        <f>SUM(C24:C25)</f>
        <v>1776.9539935166363</v>
      </c>
      <c r="D26" s="794">
        <f t="shared" ref="D26:R26" si="2">SUM(D24:D25)</f>
        <v>62.357142857142847</v>
      </c>
      <c r="E26" s="794">
        <f t="shared" si="2"/>
        <v>222.01246617590553</v>
      </c>
      <c r="F26" s="794">
        <f t="shared" si="2"/>
        <v>17.032319220217325</v>
      </c>
      <c r="G26" s="794">
        <f t="shared" si="2"/>
        <v>4663.4730464985014</v>
      </c>
      <c r="H26" s="794">
        <f t="shared" si="2"/>
        <v>0</v>
      </c>
      <c r="I26" s="794">
        <f t="shared" si="2"/>
        <v>0</v>
      </c>
      <c r="J26" s="794">
        <f t="shared" si="2"/>
        <v>0</v>
      </c>
      <c r="K26" s="794">
        <f t="shared" si="2"/>
        <v>203.27026419097339</v>
      </c>
      <c r="L26" s="794">
        <f t="shared" si="2"/>
        <v>0</v>
      </c>
      <c r="M26" s="794">
        <f t="shared" si="2"/>
        <v>0</v>
      </c>
      <c r="N26" s="794">
        <f t="shared" si="2"/>
        <v>0</v>
      </c>
      <c r="O26" s="794">
        <f t="shared" si="2"/>
        <v>0</v>
      </c>
      <c r="P26" s="794">
        <f t="shared" si="2"/>
        <v>0</v>
      </c>
      <c r="Q26" s="794">
        <f t="shared" si="2"/>
        <v>0</v>
      </c>
      <c r="R26" s="794">
        <f t="shared" si="2"/>
        <v>6945.0992324593772</v>
      </c>
      <c r="S26" s="67"/>
    </row>
    <row r="27" spans="1:19" s="444" customFormat="1" ht="17.25" thickTop="1" thickBot="1">
      <c r="A27" s="685" t="s">
        <v>109</v>
      </c>
      <c r="B27" s="786"/>
      <c r="C27" s="686">
        <f ca="1">C22+C16+C26</f>
        <v>25811.290098491598</v>
      </c>
      <c r="D27" s="686">
        <f t="shared" ref="D27:R27" ca="1" si="3">D22+D16+D26</f>
        <v>62.357142857142847</v>
      </c>
      <c r="E27" s="686">
        <f t="shared" ca="1" si="3"/>
        <v>10862.765006259378</v>
      </c>
      <c r="F27" s="686">
        <f t="shared" si="3"/>
        <v>2022.5150061589147</v>
      </c>
      <c r="G27" s="686">
        <f t="shared" ca="1" si="3"/>
        <v>41078.706218879037</v>
      </c>
      <c r="H27" s="686">
        <f t="shared" si="3"/>
        <v>28142.457006639772</v>
      </c>
      <c r="I27" s="686">
        <f t="shared" si="3"/>
        <v>5831.5979766064675</v>
      </c>
      <c r="J27" s="686">
        <f t="shared" si="3"/>
        <v>0</v>
      </c>
      <c r="K27" s="686">
        <f t="shared" si="3"/>
        <v>839.01652924470795</v>
      </c>
      <c r="L27" s="686">
        <f t="shared" si="3"/>
        <v>0</v>
      </c>
      <c r="M27" s="686">
        <f t="shared" ca="1" si="3"/>
        <v>0</v>
      </c>
      <c r="N27" s="686">
        <f t="shared" si="3"/>
        <v>1536.3355884505459</v>
      </c>
      <c r="O27" s="686">
        <f t="shared" ca="1" si="3"/>
        <v>4937.5497206652681</v>
      </c>
      <c r="P27" s="686">
        <f t="shared" si="3"/>
        <v>107.87</v>
      </c>
      <c r="Q27" s="686">
        <f t="shared" si="3"/>
        <v>324.13333333333333</v>
      </c>
      <c r="R27" s="686">
        <f t="shared" ca="1" si="3"/>
        <v>121556.59362758617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1295.32321364637</v>
      </c>
      <c r="D40" s="676">
        <f ca="1">tertiair!C20</f>
        <v>0</v>
      </c>
      <c r="E40" s="676">
        <f ca="1">tertiair!D20</f>
        <v>243.06670425477301</v>
      </c>
      <c r="F40" s="676">
        <f>tertiair!E20</f>
        <v>19.266684370227875</v>
      </c>
      <c r="G40" s="676">
        <f ca="1">tertiair!F20</f>
        <v>314.07041863243796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1871.7270209038088</v>
      </c>
    </row>
    <row r="41" spans="1:18">
      <c r="A41" s="804" t="s">
        <v>214</v>
      </c>
      <c r="B41" s="811"/>
      <c r="C41" s="676">
        <f ca="1">huishoudens!B12</f>
        <v>2501.8053644737879</v>
      </c>
      <c r="D41" s="676">
        <f ca="1">huishoudens!C12</f>
        <v>0</v>
      </c>
      <c r="E41" s="676">
        <f>huishoudens!D12</f>
        <v>1834.5135288564413</v>
      </c>
      <c r="F41" s="676">
        <f>huishoudens!E12</f>
        <v>246.22737847026869</v>
      </c>
      <c r="G41" s="676">
        <f>huishoudens!F12</f>
        <v>8875.4027745801432</v>
      </c>
      <c r="H41" s="676">
        <f>huishoudens!G12</f>
        <v>0</v>
      </c>
      <c r="I41" s="676">
        <f>huishoudens!H12</f>
        <v>0</v>
      </c>
      <c r="J41" s="676">
        <f>huishoudens!I12</f>
        <v>0</v>
      </c>
      <c r="K41" s="676">
        <f>huishoudens!J12</f>
        <v>222.85089681969021</v>
      </c>
      <c r="L41" s="676">
        <f>huishoudens!K12</f>
        <v>0</v>
      </c>
      <c r="M41" s="676">
        <f>huishoudens!L12</f>
        <v>0</v>
      </c>
      <c r="N41" s="676">
        <f>huishoudens!M12</f>
        <v>0</v>
      </c>
      <c r="O41" s="676">
        <f>huishoudens!N12</f>
        <v>0</v>
      </c>
      <c r="P41" s="676">
        <f>huishoudens!O12</f>
        <v>0</v>
      </c>
      <c r="Q41" s="753">
        <f>huishoudens!P12</f>
        <v>0</v>
      </c>
      <c r="R41" s="832">
        <f t="shared" ca="1" si="4"/>
        <v>13680.799943200331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891.88393147749002</v>
      </c>
      <c r="D43" s="676">
        <f ca="1">industrie!C22</f>
        <v>0</v>
      </c>
      <c r="E43" s="676">
        <f>industrie!D22</f>
        <v>71.150439263847659</v>
      </c>
      <c r="F43" s="676">
        <f>industrie!E22</f>
        <v>162.37123884563388</v>
      </c>
      <c r="G43" s="676">
        <f>industrie!F22</f>
        <v>533.3940638130216</v>
      </c>
      <c r="H43" s="676">
        <f>industrie!G22</f>
        <v>0</v>
      </c>
      <c r="I43" s="676">
        <f>industrie!H22</f>
        <v>0</v>
      </c>
      <c r="J43" s="676">
        <f>industrie!I22</f>
        <v>0</v>
      </c>
      <c r="K43" s="676">
        <f>industrie!J22</f>
        <v>2.2032810093318016</v>
      </c>
      <c r="L43" s="676">
        <f>industrie!K22</f>
        <v>0</v>
      </c>
      <c r="M43" s="676">
        <f>industrie!L22</f>
        <v>0</v>
      </c>
      <c r="N43" s="676">
        <f>industrie!M22</f>
        <v>0</v>
      </c>
      <c r="O43" s="676">
        <f>industrie!N22</f>
        <v>0</v>
      </c>
      <c r="P43" s="676">
        <f>industrie!O22</f>
        <v>0</v>
      </c>
      <c r="Q43" s="753">
        <f>industrie!P22</f>
        <v>0</v>
      </c>
      <c r="R43" s="831">
        <f t="shared" ca="1" si="4"/>
        <v>1661.0029544093247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4689.0125095976473</v>
      </c>
      <c r="D46" s="711">
        <f t="shared" ref="D46:Q46" ca="1" si="5">SUM(D39:D45)</f>
        <v>0</v>
      </c>
      <c r="E46" s="711">
        <f t="shared" ca="1" si="5"/>
        <v>2148.7306723750621</v>
      </c>
      <c r="F46" s="711">
        <f t="shared" si="5"/>
        <v>427.86530168613046</v>
      </c>
      <c r="G46" s="711">
        <f t="shared" ca="1" si="5"/>
        <v>9722.8672570256022</v>
      </c>
      <c r="H46" s="711">
        <f t="shared" si="5"/>
        <v>0</v>
      </c>
      <c r="I46" s="711">
        <f t="shared" si="5"/>
        <v>0</v>
      </c>
      <c r="J46" s="711">
        <f t="shared" si="5"/>
        <v>0</v>
      </c>
      <c r="K46" s="711">
        <f t="shared" si="5"/>
        <v>225.054177829022</v>
      </c>
      <c r="L46" s="711">
        <f t="shared" si="5"/>
        <v>0</v>
      </c>
      <c r="M46" s="711">
        <f t="shared" ca="1" si="5"/>
        <v>0</v>
      </c>
      <c r="N46" s="711">
        <f t="shared" si="5"/>
        <v>0</v>
      </c>
      <c r="O46" s="711">
        <f t="shared" ca="1" si="5"/>
        <v>0</v>
      </c>
      <c r="P46" s="711">
        <f t="shared" si="5"/>
        <v>0</v>
      </c>
      <c r="Q46" s="711">
        <f t="shared" si="5"/>
        <v>0</v>
      </c>
      <c r="R46" s="711">
        <f ca="1">SUM(R39:R45)</f>
        <v>17213.529918513465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0.51522083176950506</v>
      </c>
      <c r="D49" s="676">
        <f ca="1">transport!C58</f>
        <v>0</v>
      </c>
      <c r="E49" s="676">
        <f>transport!D58</f>
        <v>0</v>
      </c>
      <c r="F49" s="676">
        <f>transport!E58</f>
        <v>0</v>
      </c>
      <c r="G49" s="676">
        <f>transport!F58</f>
        <v>0</v>
      </c>
      <c r="H49" s="676">
        <f>transport!G58</f>
        <v>137.21358381337527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137.72880464514478</v>
      </c>
    </row>
    <row r="50" spans="1:18">
      <c r="A50" s="807" t="s">
        <v>296</v>
      </c>
      <c r="B50" s="817"/>
      <c r="C50" s="682">
        <f ca="1">transport!B18</f>
        <v>0.56544817057920516</v>
      </c>
      <c r="D50" s="682">
        <f>transport!C18</f>
        <v>0</v>
      </c>
      <c r="E50" s="682">
        <f>transport!D18</f>
        <v>0.70134072179971374</v>
      </c>
      <c r="F50" s="682">
        <f>transport!E18</f>
        <v>27.379268248953927</v>
      </c>
      <c r="G50" s="682">
        <f>transport!F18</f>
        <v>0</v>
      </c>
      <c r="H50" s="682">
        <f>transport!G18</f>
        <v>7376.8224369594445</v>
      </c>
      <c r="I50" s="682">
        <f>transport!H18</f>
        <v>1452.0678961750104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8857.5363902757872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1.0806690023487102</v>
      </c>
      <c r="D52" s="711">
        <f t="shared" ref="D52:Q52" ca="1" si="6">SUM(D48:D51)</f>
        <v>0</v>
      </c>
      <c r="E52" s="711">
        <f t="shared" si="6"/>
        <v>0.70134072179971374</v>
      </c>
      <c r="F52" s="711">
        <f t="shared" si="6"/>
        <v>27.379268248953927</v>
      </c>
      <c r="G52" s="711">
        <f t="shared" si="6"/>
        <v>0</v>
      </c>
      <c r="H52" s="711">
        <f t="shared" si="6"/>
        <v>7514.0360207728199</v>
      </c>
      <c r="I52" s="711">
        <f t="shared" si="6"/>
        <v>1452.0678961750104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8995.2651949209321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263.75954345433735</v>
      </c>
      <c r="D54" s="682">
        <f ca="1">+landbouw!C12</f>
        <v>0</v>
      </c>
      <c r="E54" s="682">
        <f>+landbouw!D12</f>
        <v>8.8555570705045934</v>
      </c>
      <c r="F54" s="682">
        <f>+landbouw!E12</f>
        <v>3.8663364629893326</v>
      </c>
      <c r="G54" s="682">
        <f>+landbouw!F12</f>
        <v>1245.1473034150999</v>
      </c>
      <c r="H54" s="682">
        <f>+landbouw!G12</f>
        <v>0</v>
      </c>
      <c r="I54" s="682">
        <f>+landbouw!H12</f>
        <v>0</v>
      </c>
      <c r="J54" s="682">
        <f>+landbouw!I12</f>
        <v>0</v>
      </c>
      <c r="K54" s="682">
        <f>+landbouw!J12</f>
        <v>71.957673523604583</v>
      </c>
      <c r="L54" s="682">
        <f>+landbouw!K12</f>
        <v>0</v>
      </c>
      <c r="M54" s="682">
        <f>+landbouw!L12</f>
        <v>0</v>
      </c>
      <c r="N54" s="682">
        <f>+landbouw!M12</f>
        <v>0</v>
      </c>
      <c r="O54" s="682">
        <f>+landbouw!N12</f>
        <v>0</v>
      </c>
      <c r="P54" s="682">
        <f>+landbouw!O12</f>
        <v>0</v>
      </c>
      <c r="Q54" s="683">
        <f>+landbouw!P12</f>
        <v>0</v>
      </c>
      <c r="R54" s="710">
        <f ca="1">SUM(C54:Q54)</f>
        <v>1593.5864139265359</v>
      </c>
    </row>
    <row r="55" spans="1:18" ht="15" thickBot="1">
      <c r="A55" s="807" t="s">
        <v>833</v>
      </c>
      <c r="B55" s="817"/>
      <c r="C55" s="682">
        <f ca="1">C25*'EF ele_warmte'!B12</f>
        <v>82.997686172375509</v>
      </c>
      <c r="D55" s="682"/>
      <c r="E55" s="682">
        <f>E25*EF_CO2_aardgas</f>
        <v>35.990961097028325</v>
      </c>
      <c r="F55" s="682"/>
      <c r="G55" s="682"/>
      <c r="H55" s="682"/>
      <c r="I55" s="682"/>
      <c r="J55" s="682"/>
      <c r="K55" s="682"/>
      <c r="L55" s="682"/>
      <c r="M55" s="682"/>
      <c r="N55" s="682"/>
      <c r="O55" s="682"/>
      <c r="P55" s="682"/>
      <c r="Q55" s="683"/>
      <c r="R55" s="710">
        <f ca="1">SUM(C55:Q55)</f>
        <v>118.98864726940383</v>
      </c>
    </row>
    <row r="56" spans="1:18" ht="15.75" thickBot="1">
      <c r="A56" s="805" t="s">
        <v>834</v>
      </c>
      <c r="B56" s="818"/>
      <c r="C56" s="711">
        <f ca="1">SUM(C54:C55)</f>
        <v>346.75722962671284</v>
      </c>
      <c r="D56" s="711">
        <f t="shared" ref="D56:Q56" ca="1" si="7">SUM(D54:D55)</f>
        <v>0</v>
      </c>
      <c r="E56" s="711">
        <f t="shared" si="7"/>
        <v>44.846518167532921</v>
      </c>
      <c r="F56" s="711">
        <f t="shared" si="7"/>
        <v>3.8663364629893326</v>
      </c>
      <c r="G56" s="711">
        <f t="shared" si="7"/>
        <v>1245.1473034150999</v>
      </c>
      <c r="H56" s="711">
        <f t="shared" si="7"/>
        <v>0</v>
      </c>
      <c r="I56" s="711">
        <f t="shared" si="7"/>
        <v>0</v>
      </c>
      <c r="J56" s="711">
        <f t="shared" si="7"/>
        <v>0</v>
      </c>
      <c r="K56" s="711">
        <f t="shared" si="7"/>
        <v>71.957673523604583</v>
      </c>
      <c r="L56" s="711">
        <f t="shared" si="7"/>
        <v>0</v>
      </c>
      <c r="M56" s="711">
        <f t="shared" si="7"/>
        <v>0</v>
      </c>
      <c r="N56" s="711">
        <f t="shared" si="7"/>
        <v>0</v>
      </c>
      <c r="O56" s="711">
        <f t="shared" si="7"/>
        <v>0</v>
      </c>
      <c r="P56" s="711">
        <f t="shared" si="7"/>
        <v>0</v>
      </c>
      <c r="Q56" s="712">
        <f t="shared" si="7"/>
        <v>0</v>
      </c>
      <c r="R56" s="713">
        <f ca="1">SUM(R54:R55)</f>
        <v>1712.5750611959397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5036.8504082267082</v>
      </c>
      <c r="D61" s="719">
        <f t="shared" ref="D61:Q61" ca="1" si="8">D46+D52+D56</f>
        <v>0</v>
      </c>
      <c r="E61" s="719">
        <f t="shared" ca="1" si="8"/>
        <v>2194.2785312643946</v>
      </c>
      <c r="F61" s="719">
        <f t="shared" si="8"/>
        <v>459.11090639807372</v>
      </c>
      <c r="G61" s="719">
        <f t="shared" ca="1" si="8"/>
        <v>10968.014560440703</v>
      </c>
      <c r="H61" s="719">
        <f t="shared" si="8"/>
        <v>7514.0360207728199</v>
      </c>
      <c r="I61" s="719">
        <f t="shared" si="8"/>
        <v>1452.0678961750104</v>
      </c>
      <c r="J61" s="719">
        <f t="shared" si="8"/>
        <v>0</v>
      </c>
      <c r="K61" s="719">
        <f t="shared" si="8"/>
        <v>297.01185135262659</v>
      </c>
      <c r="L61" s="719">
        <f t="shared" si="8"/>
        <v>0</v>
      </c>
      <c r="M61" s="719">
        <f t="shared" ca="1" si="8"/>
        <v>0</v>
      </c>
      <c r="N61" s="719">
        <f t="shared" si="8"/>
        <v>0</v>
      </c>
      <c r="O61" s="719">
        <f t="shared" ca="1" si="8"/>
        <v>0</v>
      </c>
      <c r="P61" s="719">
        <f t="shared" si="8"/>
        <v>0</v>
      </c>
      <c r="Q61" s="719">
        <f t="shared" si="8"/>
        <v>0</v>
      </c>
      <c r="R61" s="719">
        <f ca="1">R46+R52+R56</f>
        <v>27921.370174630338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0.19514136600715901</v>
      </c>
      <c r="D63" s="762">
        <f t="shared" ca="1" si="9"/>
        <v>0</v>
      </c>
      <c r="E63" s="984">
        <f t="shared" ca="1" si="9"/>
        <v>0.20200000000000001</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2976.4617807236855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43.649999999999991</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3020.1117807236856</v>
      </c>
      <c r="C78" s="734">
        <f>SUM(C72:C77)</f>
        <v>0</v>
      </c>
      <c r="D78" s="735">
        <f t="shared" ref="D78:H78" si="10">SUM(D76:D77)</f>
        <v>0</v>
      </c>
      <c r="E78" s="735">
        <f t="shared" si="10"/>
        <v>0</v>
      </c>
      <c r="F78" s="735">
        <f t="shared" si="10"/>
        <v>0</v>
      </c>
      <c r="G78" s="735">
        <f t="shared" si="10"/>
        <v>0</v>
      </c>
      <c r="H78" s="735">
        <f t="shared" si="10"/>
        <v>0</v>
      </c>
      <c r="I78" s="735">
        <f>SUM(I76:I77)</f>
        <v>0</v>
      </c>
      <c r="J78" s="735">
        <f>SUM(J76:J77)</f>
        <v>51.35294117647058</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62.357142857142847</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73.361344537815114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62.357142857142847</v>
      </c>
      <c r="C90" s="734">
        <f>SUM(C87:C89)</f>
        <v>0</v>
      </c>
      <c r="D90" s="734">
        <f t="shared" ref="D90:H90" si="12">SUM(D87:D89)</f>
        <v>0</v>
      </c>
      <c r="E90" s="734">
        <f t="shared" si="12"/>
        <v>0</v>
      </c>
      <c r="F90" s="734">
        <f t="shared" si="12"/>
        <v>0</v>
      </c>
      <c r="G90" s="734">
        <f t="shared" si="12"/>
        <v>0</v>
      </c>
      <c r="H90" s="734">
        <f t="shared" si="12"/>
        <v>0</v>
      </c>
      <c r="I90" s="734">
        <f>SUM(I87:I89)</f>
        <v>0</v>
      </c>
      <c r="J90" s="734">
        <f>SUM(J87:J89)</f>
        <v>73.361344537815114</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12820.476845396304</v>
      </c>
      <c r="C4" s="448">
        <f>huishoudens!C8</f>
        <v>0</v>
      </c>
      <c r="D4" s="448">
        <f>huishoudens!D8</f>
        <v>9081.7501428536689</v>
      </c>
      <c r="E4" s="448">
        <f>huishoudens!E8</f>
        <v>1084.7021077985405</v>
      </c>
      <c r="F4" s="448">
        <f>huishoudens!F8</f>
        <v>33241.208893558585</v>
      </c>
      <c r="G4" s="448">
        <f>huishoudens!G8</f>
        <v>0</v>
      </c>
      <c r="H4" s="448">
        <f>huishoudens!H8</f>
        <v>0</v>
      </c>
      <c r="I4" s="448">
        <f>huishoudens!I8</f>
        <v>0</v>
      </c>
      <c r="J4" s="448">
        <f>huishoudens!J8</f>
        <v>629.52230740025482</v>
      </c>
      <c r="K4" s="448">
        <f>huishoudens!K8</f>
        <v>0</v>
      </c>
      <c r="L4" s="448">
        <f>huishoudens!L8</f>
        <v>0</v>
      </c>
      <c r="M4" s="448">
        <f>huishoudens!M8</f>
        <v>0</v>
      </c>
      <c r="N4" s="448">
        <f>huishoudens!N8</f>
        <v>4313.7840123575097</v>
      </c>
      <c r="O4" s="448">
        <f>huishoudens!O8</f>
        <v>107.87</v>
      </c>
      <c r="P4" s="449">
        <f>huishoudens!P8</f>
        <v>305.06666666666666</v>
      </c>
      <c r="Q4" s="450">
        <f>SUM(B4:P4)</f>
        <v>61584.380976031534</v>
      </c>
    </row>
    <row r="5" spans="1:17">
      <c r="A5" s="447" t="s">
        <v>149</v>
      </c>
      <c r="B5" s="448">
        <f ca="1">tertiair!B16</f>
        <v>6068.9129965515422</v>
      </c>
      <c r="C5" s="448">
        <f ca="1">tertiair!C16</f>
        <v>0</v>
      </c>
      <c r="D5" s="448">
        <f ca="1">tertiair!D16</f>
        <v>1203.3005161127376</v>
      </c>
      <c r="E5" s="448">
        <f>tertiair!E16</f>
        <v>84.875261542854076</v>
      </c>
      <c r="F5" s="448">
        <f ca="1">tertiair!F16</f>
        <v>1176.2937027432133</v>
      </c>
      <c r="G5" s="448">
        <f>tertiair!G16</f>
        <v>0</v>
      </c>
      <c r="H5" s="448">
        <f>tertiair!H16</f>
        <v>0</v>
      </c>
      <c r="I5" s="448">
        <f>tertiair!I16</f>
        <v>0</v>
      </c>
      <c r="J5" s="448">
        <f>tertiair!J16</f>
        <v>0</v>
      </c>
      <c r="K5" s="448">
        <f>tertiair!K16</f>
        <v>0</v>
      </c>
      <c r="L5" s="448">
        <f ca="1">tertiair!L16</f>
        <v>0</v>
      </c>
      <c r="M5" s="448">
        <f>tertiair!M16</f>
        <v>0</v>
      </c>
      <c r="N5" s="448">
        <f ca="1">tertiair!N16</f>
        <v>329.96523789654344</v>
      </c>
      <c r="O5" s="448">
        <f>tertiair!O16</f>
        <v>0</v>
      </c>
      <c r="P5" s="449">
        <f>tertiair!P16</f>
        <v>19.066666666666666</v>
      </c>
      <c r="Q5" s="447">
        <f t="shared" ref="Q5:Q14" ca="1" si="0">SUM(B5:P5)</f>
        <v>8882.4143815135576</v>
      </c>
    </row>
    <row r="6" spans="1:17">
      <c r="A6" s="447" t="s">
        <v>187</v>
      </c>
      <c r="B6" s="448">
        <f>'openbare verlichting'!B8</f>
        <v>568.95799999999997</v>
      </c>
      <c r="C6" s="448"/>
      <c r="D6" s="448"/>
      <c r="E6" s="448"/>
      <c r="F6" s="448"/>
      <c r="G6" s="448"/>
      <c r="H6" s="448"/>
      <c r="I6" s="448"/>
      <c r="J6" s="448"/>
      <c r="K6" s="448"/>
      <c r="L6" s="448"/>
      <c r="M6" s="448"/>
      <c r="N6" s="448"/>
      <c r="O6" s="448"/>
      <c r="P6" s="449"/>
      <c r="Q6" s="447">
        <f t="shared" si="0"/>
        <v>568.95799999999997</v>
      </c>
    </row>
    <row r="7" spans="1:17">
      <c r="A7" s="447" t="s">
        <v>105</v>
      </c>
      <c r="B7" s="448">
        <f>landbouw!B8</f>
        <v>1351.6331716395844</v>
      </c>
      <c r="C7" s="448">
        <f>landbouw!C8</f>
        <v>62.357142857142847</v>
      </c>
      <c r="D7" s="448">
        <f>landbouw!D8</f>
        <v>43.839391438141547</v>
      </c>
      <c r="E7" s="448">
        <f>landbouw!E8</f>
        <v>17.032319220217325</v>
      </c>
      <c r="F7" s="448">
        <f>landbouw!F8</f>
        <v>4663.4730464985014</v>
      </c>
      <c r="G7" s="448">
        <f>landbouw!G8</f>
        <v>0</v>
      </c>
      <c r="H7" s="448">
        <f>landbouw!H8</f>
        <v>0</v>
      </c>
      <c r="I7" s="448">
        <f>landbouw!I8</f>
        <v>0</v>
      </c>
      <c r="J7" s="448">
        <f>landbouw!J8</f>
        <v>203.27026419097339</v>
      </c>
      <c r="K7" s="448">
        <f>landbouw!K8</f>
        <v>0</v>
      </c>
      <c r="L7" s="448">
        <f>landbouw!L8</f>
        <v>0</v>
      </c>
      <c r="M7" s="448">
        <f>landbouw!M8</f>
        <v>0</v>
      </c>
      <c r="N7" s="448">
        <f>landbouw!N8</f>
        <v>0</v>
      </c>
      <c r="O7" s="448">
        <f>landbouw!O8</f>
        <v>0</v>
      </c>
      <c r="P7" s="449">
        <f>landbouw!P8</f>
        <v>0</v>
      </c>
      <c r="Q7" s="447">
        <f t="shared" si="0"/>
        <v>6341.6053358445615</v>
      </c>
    </row>
    <row r="8" spans="1:17">
      <c r="A8" s="447" t="s">
        <v>639</v>
      </c>
      <c r="B8" s="448">
        <f>industrie!B18</f>
        <v>4570.4503854132599</v>
      </c>
      <c r="C8" s="448">
        <f>industrie!C18</f>
        <v>0</v>
      </c>
      <c r="D8" s="448">
        <f>industrie!D18</f>
        <v>352.2298973457805</v>
      </c>
      <c r="E8" s="448">
        <f>industrie!E18</f>
        <v>715.29180108208755</v>
      </c>
      <c r="F8" s="448">
        <f>industrie!F18</f>
        <v>1997.7305760787324</v>
      </c>
      <c r="G8" s="448">
        <f>industrie!G18</f>
        <v>0</v>
      </c>
      <c r="H8" s="448">
        <f>industrie!H18</f>
        <v>0</v>
      </c>
      <c r="I8" s="448">
        <f>industrie!I18</f>
        <v>0</v>
      </c>
      <c r="J8" s="448">
        <f>industrie!J18</f>
        <v>6.2239576534796663</v>
      </c>
      <c r="K8" s="448">
        <f>industrie!K18</f>
        <v>0</v>
      </c>
      <c r="L8" s="448">
        <f>industrie!L18</f>
        <v>0</v>
      </c>
      <c r="M8" s="448">
        <f>industrie!M18</f>
        <v>0</v>
      </c>
      <c r="N8" s="448">
        <f>industrie!N18</f>
        <v>293.80047041121446</v>
      </c>
      <c r="O8" s="448">
        <f>industrie!O18</f>
        <v>0</v>
      </c>
      <c r="P8" s="449">
        <f>industrie!P18</f>
        <v>0</v>
      </c>
      <c r="Q8" s="447">
        <f t="shared" si="0"/>
        <v>7935.7270879845537</v>
      </c>
    </row>
    <row r="9" spans="1:17" s="453" customFormat="1">
      <c r="A9" s="451" t="s">
        <v>557</v>
      </c>
      <c r="B9" s="452">
        <f>transport!B14</f>
        <v>2.8976335573999257</v>
      </c>
      <c r="C9" s="452">
        <f>transport!C14</f>
        <v>0</v>
      </c>
      <c r="D9" s="452">
        <f>transport!D14</f>
        <v>3.4719837712857116</v>
      </c>
      <c r="E9" s="452">
        <f>transport!E14</f>
        <v>120.61351651521554</v>
      </c>
      <c r="F9" s="452">
        <f>transport!F14</f>
        <v>0</v>
      </c>
      <c r="G9" s="452">
        <f>transport!G14</f>
        <v>27628.548453031624</v>
      </c>
      <c r="H9" s="452">
        <f>transport!H14</f>
        <v>5831.5979766064675</v>
      </c>
      <c r="I9" s="452">
        <f>transport!I14</f>
        <v>0</v>
      </c>
      <c r="J9" s="452">
        <f>transport!J14</f>
        <v>0</v>
      </c>
      <c r="K9" s="452">
        <f>transport!K14</f>
        <v>0</v>
      </c>
      <c r="L9" s="452">
        <f>transport!L14</f>
        <v>0</v>
      </c>
      <c r="M9" s="452">
        <f>transport!M14</f>
        <v>1513.2914970951026</v>
      </c>
      <c r="N9" s="452">
        <f>transport!N14</f>
        <v>0</v>
      </c>
      <c r="O9" s="452">
        <f>transport!O14</f>
        <v>0</v>
      </c>
      <c r="P9" s="452">
        <f>transport!P14</f>
        <v>0</v>
      </c>
      <c r="Q9" s="451">
        <f>SUM(B9:P9)</f>
        <v>35100.421060577093</v>
      </c>
    </row>
    <row r="10" spans="1:17">
      <c r="A10" s="447" t="s">
        <v>547</v>
      </c>
      <c r="B10" s="448">
        <f>transport!B54</f>
        <v>2.6402440564580423</v>
      </c>
      <c r="C10" s="448">
        <f>transport!C54</f>
        <v>0</v>
      </c>
      <c r="D10" s="448">
        <f>transport!D54</f>
        <v>0</v>
      </c>
      <c r="E10" s="448">
        <f>transport!E54</f>
        <v>0</v>
      </c>
      <c r="F10" s="448">
        <f>transport!F54</f>
        <v>0</v>
      </c>
      <c r="G10" s="448">
        <f>transport!G54</f>
        <v>513.90855360814703</v>
      </c>
      <c r="H10" s="448">
        <f>transport!H54</f>
        <v>0</v>
      </c>
      <c r="I10" s="448">
        <f>transport!I54</f>
        <v>0</v>
      </c>
      <c r="J10" s="448">
        <f>transport!J54</f>
        <v>0</v>
      </c>
      <c r="K10" s="448">
        <f>transport!K54</f>
        <v>0</v>
      </c>
      <c r="L10" s="448">
        <f>transport!L54</f>
        <v>0</v>
      </c>
      <c r="M10" s="448">
        <f>transport!M54</f>
        <v>23.04409135544326</v>
      </c>
      <c r="N10" s="448">
        <f>transport!N54</f>
        <v>0</v>
      </c>
      <c r="O10" s="448">
        <f>transport!O54</f>
        <v>0</v>
      </c>
      <c r="P10" s="449">
        <f>transport!P54</f>
        <v>0</v>
      </c>
      <c r="Q10" s="447">
        <f t="shared" si="0"/>
        <v>539.59288902004835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425.32082187705203</v>
      </c>
      <c r="C14" s="455"/>
      <c r="D14" s="455">
        <f>'SEAP template'!E25</f>
        <v>178.17307473776398</v>
      </c>
      <c r="E14" s="455"/>
      <c r="F14" s="455"/>
      <c r="G14" s="455"/>
      <c r="H14" s="455"/>
      <c r="I14" s="455"/>
      <c r="J14" s="455"/>
      <c r="K14" s="455"/>
      <c r="L14" s="455"/>
      <c r="M14" s="455"/>
      <c r="N14" s="455"/>
      <c r="O14" s="455"/>
      <c r="P14" s="456"/>
      <c r="Q14" s="447">
        <f t="shared" si="0"/>
        <v>603.49389661481598</v>
      </c>
    </row>
    <row r="15" spans="1:17" s="460" customFormat="1">
      <c r="A15" s="457" t="s">
        <v>551</v>
      </c>
      <c r="B15" s="458">
        <f ca="1">SUM(B4:B14)</f>
        <v>25811.290098491601</v>
      </c>
      <c r="C15" s="458">
        <f t="shared" ref="C15:Q15" ca="1" si="1">SUM(C4:C14)</f>
        <v>62.357142857142847</v>
      </c>
      <c r="D15" s="458">
        <f t="shared" ca="1" si="1"/>
        <v>10862.765006259378</v>
      </c>
      <c r="E15" s="458">
        <f t="shared" si="1"/>
        <v>2022.5150061589147</v>
      </c>
      <c r="F15" s="458">
        <f t="shared" ca="1" si="1"/>
        <v>41078.706218879037</v>
      </c>
      <c r="G15" s="458">
        <f t="shared" si="1"/>
        <v>28142.457006639772</v>
      </c>
      <c r="H15" s="458">
        <f t="shared" si="1"/>
        <v>5831.5979766064675</v>
      </c>
      <c r="I15" s="458">
        <f t="shared" si="1"/>
        <v>0</v>
      </c>
      <c r="J15" s="458">
        <f t="shared" si="1"/>
        <v>839.01652924470795</v>
      </c>
      <c r="K15" s="458">
        <f t="shared" si="1"/>
        <v>0</v>
      </c>
      <c r="L15" s="458">
        <f t="shared" ca="1" si="1"/>
        <v>0</v>
      </c>
      <c r="M15" s="458">
        <f t="shared" si="1"/>
        <v>1536.3355884505459</v>
      </c>
      <c r="N15" s="458">
        <f t="shared" ca="1" si="1"/>
        <v>4937.5497206652681</v>
      </c>
      <c r="O15" s="458">
        <f t="shared" si="1"/>
        <v>107.87</v>
      </c>
      <c r="P15" s="458">
        <f t="shared" si="1"/>
        <v>324.13333333333333</v>
      </c>
      <c r="Q15" s="458">
        <f t="shared" ca="1" si="1"/>
        <v>121556.59362758617</v>
      </c>
    </row>
    <row r="17" spans="1:17">
      <c r="A17" s="461" t="s">
        <v>552</v>
      </c>
      <c r="B17" s="767">
        <f ca="1">huishoudens!B10</f>
        <v>0.19514136600715903</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2501.8053644737879</v>
      </c>
      <c r="C22" s="448">
        <f t="shared" ref="C22:C32" ca="1" si="3">C4*$C$17</f>
        <v>0</v>
      </c>
      <c r="D22" s="448">
        <f t="shared" ref="D22:D32" si="4">D4*$D$17</f>
        <v>1834.5135288564413</v>
      </c>
      <c r="E22" s="448">
        <f t="shared" ref="E22:E32" si="5">E4*$E$17</f>
        <v>246.22737847026869</v>
      </c>
      <c r="F22" s="448">
        <f t="shared" ref="F22:F32" si="6">F4*$F$17</f>
        <v>8875.4027745801432</v>
      </c>
      <c r="G22" s="448">
        <f t="shared" ref="G22:G32" si="7">G4*$G$17</f>
        <v>0</v>
      </c>
      <c r="H22" s="448">
        <f t="shared" ref="H22:H32" si="8">H4*$H$17</f>
        <v>0</v>
      </c>
      <c r="I22" s="448">
        <f t="shared" ref="I22:I32" si="9">I4*$I$17</f>
        <v>0</v>
      </c>
      <c r="J22" s="448">
        <f t="shared" ref="J22:J32" si="10">J4*$J$17</f>
        <v>222.85089681969021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13680.799943200331</v>
      </c>
    </row>
    <row r="23" spans="1:17">
      <c r="A23" s="447" t="s">
        <v>149</v>
      </c>
      <c r="B23" s="448">
        <f t="shared" ca="1" si="2"/>
        <v>1184.2959723256688</v>
      </c>
      <c r="C23" s="448">
        <f t="shared" ca="1" si="3"/>
        <v>0</v>
      </c>
      <c r="D23" s="448">
        <f t="shared" ca="1" si="4"/>
        <v>243.06670425477301</v>
      </c>
      <c r="E23" s="448">
        <f t="shared" si="5"/>
        <v>19.266684370227875</v>
      </c>
      <c r="F23" s="448">
        <f t="shared" ca="1" si="6"/>
        <v>314.07041863243796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1760.6997795831076</v>
      </c>
    </row>
    <row r="24" spans="1:17">
      <c r="A24" s="447" t="s">
        <v>187</v>
      </c>
      <c r="B24" s="448">
        <f t="shared" ca="1" si="2"/>
        <v>111.02724132070118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111.02724132070118</v>
      </c>
    </row>
    <row r="25" spans="1:17">
      <c r="A25" s="447" t="s">
        <v>105</v>
      </c>
      <c r="B25" s="448">
        <f t="shared" ca="1" si="2"/>
        <v>263.75954345433735</v>
      </c>
      <c r="C25" s="448">
        <f t="shared" ca="1" si="3"/>
        <v>0</v>
      </c>
      <c r="D25" s="448">
        <f t="shared" si="4"/>
        <v>8.8555570705045934</v>
      </c>
      <c r="E25" s="448">
        <f t="shared" si="5"/>
        <v>3.8663364629893326</v>
      </c>
      <c r="F25" s="448">
        <f t="shared" si="6"/>
        <v>1245.1473034150999</v>
      </c>
      <c r="G25" s="448">
        <f t="shared" si="7"/>
        <v>0</v>
      </c>
      <c r="H25" s="448">
        <f t="shared" si="8"/>
        <v>0</v>
      </c>
      <c r="I25" s="448">
        <f t="shared" si="9"/>
        <v>0</v>
      </c>
      <c r="J25" s="448">
        <f t="shared" si="10"/>
        <v>71.957673523604583</v>
      </c>
      <c r="K25" s="448">
        <f t="shared" si="11"/>
        <v>0</v>
      </c>
      <c r="L25" s="448">
        <f t="shared" si="12"/>
        <v>0</v>
      </c>
      <c r="M25" s="448">
        <f t="shared" si="13"/>
        <v>0</v>
      </c>
      <c r="N25" s="448">
        <f t="shared" si="14"/>
        <v>0</v>
      </c>
      <c r="O25" s="448">
        <f t="shared" si="15"/>
        <v>0</v>
      </c>
      <c r="P25" s="449">
        <f t="shared" si="16"/>
        <v>0</v>
      </c>
      <c r="Q25" s="447">
        <f t="shared" ca="1" si="17"/>
        <v>1593.5864139265359</v>
      </c>
    </row>
    <row r="26" spans="1:17">
      <c r="A26" s="447" t="s">
        <v>639</v>
      </c>
      <c r="B26" s="448">
        <f t="shared" ca="1" si="2"/>
        <v>891.88393147749002</v>
      </c>
      <c r="C26" s="448">
        <f t="shared" ca="1" si="3"/>
        <v>0</v>
      </c>
      <c r="D26" s="448">
        <f t="shared" si="4"/>
        <v>71.150439263847659</v>
      </c>
      <c r="E26" s="448">
        <f t="shared" si="5"/>
        <v>162.37123884563388</v>
      </c>
      <c r="F26" s="448">
        <f t="shared" si="6"/>
        <v>533.3940638130216</v>
      </c>
      <c r="G26" s="448">
        <f t="shared" si="7"/>
        <v>0</v>
      </c>
      <c r="H26" s="448">
        <f t="shared" si="8"/>
        <v>0</v>
      </c>
      <c r="I26" s="448">
        <f t="shared" si="9"/>
        <v>0</v>
      </c>
      <c r="J26" s="448">
        <f t="shared" si="10"/>
        <v>2.2032810093318016</v>
      </c>
      <c r="K26" s="448">
        <f t="shared" si="11"/>
        <v>0</v>
      </c>
      <c r="L26" s="448">
        <f t="shared" si="12"/>
        <v>0</v>
      </c>
      <c r="M26" s="448">
        <f t="shared" si="13"/>
        <v>0</v>
      </c>
      <c r="N26" s="448">
        <f t="shared" si="14"/>
        <v>0</v>
      </c>
      <c r="O26" s="448">
        <f t="shared" si="15"/>
        <v>0</v>
      </c>
      <c r="P26" s="449">
        <f t="shared" si="16"/>
        <v>0</v>
      </c>
      <c r="Q26" s="447">
        <f t="shared" ca="1" si="17"/>
        <v>1661.0029544093247</v>
      </c>
    </row>
    <row r="27" spans="1:17" s="453" customFormat="1">
      <c r="A27" s="451" t="s">
        <v>557</v>
      </c>
      <c r="B27" s="761">
        <f t="shared" ca="1" si="2"/>
        <v>0.56544817057920516</v>
      </c>
      <c r="C27" s="452">
        <f t="shared" ca="1" si="3"/>
        <v>0</v>
      </c>
      <c r="D27" s="452">
        <f t="shared" si="4"/>
        <v>0.70134072179971374</v>
      </c>
      <c r="E27" s="452">
        <f t="shared" si="5"/>
        <v>27.379268248953927</v>
      </c>
      <c r="F27" s="452">
        <f t="shared" si="6"/>
        <v>0</v>
      </c>
      <c r="G27" s="452">
        <f t="shared" si="7"/>
        <v>7376.8224369594445</v>
      </c>
      <c r="H27" s="452">
        <f t="shared" si="8"/>
        <v>1452.0678961750104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8857.5363902757872</v>
      </c>
    </row>
    <row r="28" spans="1:17">
      <c r="A28" s="447" t="s">
        <v>547</v>
      </c>
      <c r="B28" s="448">
        <f t="shared" ca="1" si="2"/>
        <v>0.51522083176950506</v>
      </c>
      <c r="C28" s="448">
        <f t="shared" ca="1" si="3"/>
        <v>0</v>
      </c>
      <c r="D28" s="448">
        <f t="shared" si="4"/>
        <v>0</v>
      </c>
      <c r="E28" s="448">
        <f t="shared" si="5"/>
        <v>0</v>
      </c>
      <c r="F28" s="448">
        <f t="shared" si="6"/>
        <v>0</v>
      </c>
      <c r="G28" s="448">
        <f t="shared" si="7"/>
        <v>137.21358381337527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137.72880464514478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82.997686172375509</v>
      </c>
      <c r="C32" s="448">
        <f t="shared" ca="1" si="3"/>
        <v>0</v>
      </c>
      <c r="D32" s="448">
        <f t="shared" si="4"/>
        <v>35.990961097028325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118.98864726940383</v>
      </c>
    </row>
    <row r="33" spans="1:17" s="460" customFormat="1">
      <c r="A33" s="457" t="s">
        <v>551</v>
      </c>
      <c r="B33" s="458">
        <f ca="1">SUM(B22:B32)</f>
        <v>5036.85040822671</v>
      </c>
      <c r="C33" s="458">
        <f t="shared" ref="C33:Q33" ca="1" si="18">SUM(C22:C32)</f>
        <v>0</v>
      </c>
      <c r="D33" s="458">
        <f t="shared" ca="1" si="18"/>
        <v>2194.278531264395</v>
      </c>
      <c r="E33" s="458">
        <f t="shared" si="18"/>
        <v>459.11090639807372</v>
      </c>
      <c r="F33" s="458">
        <f t="shared" ca="1" si="18"/>
        <v>10968.014560440704</v>
      </c>
      <c r="G33" s="458">
        <f t="shared" si="18"/>
        <v>7514.0360207728199</v>
      </c>
      <c r="H33" s="458">
        <f t="shared" si="18"/>
        <v>1452.0678961750104</v>
      </c>
      <c r="I33" s="458">
        <f t="shared" si="18"/>
        <v>0</v>
      </c>
      <c r="J33" s="458">
        <f t="shared" si="18"/>
        <v>297.01185135262659</v>
      </c>
      <c r="K33" s="458">
        <f t="shared" si="18"/>
        <v>0</v>
      </c>
      <c r="L33" s="458">
        <f t="shared" ca="1" si="18"/>
        <v>0</v>
      </c>
      <c r="M33" s="458">
        <f t="shared" si="18"/>
        <v>0</v>
      </c>
      <c r="N33" s="458">
        <f t="shared" ca="1" si="18"/>
        <v>0</v>
      </c>
      <c r="O33" s="458">
        <f t="shared" si="18"/>
        <v>0</v>
      </c>
      <c r="P33" s="458">
        <f t="shared" si="18"/>
        <v>0</v>
      </c>
      <c r="Q33" s="458">
        <f t="shared" ca="1" si="18"/>
        <v>27921.370174630334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2976.4617807236855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43.649999999999991</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51.35294117647058</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3020.1117807236856</v>
      </c>
      <c r="C10" s="1024">
        <f>SUM(C4:C9)</f>
        <v>0</v>
      </c>
      <c r="D10" s="1024">
        <f t="shared" ref="D10:H10" si="0">SUM(D8:D9)</f>
        <v>0</v>
      </c>
      <c r="E10" s="1024">
        <f t="shared" si="0"/>
        <v>0</v>
      </c>
      <c r="F10" s="1024">
        <f t="shared" si="0"/>
        <v>0</v>
      </c>
      <c r="G10" s="1024">
        <f t="shared" si="0"/>
        <v>0</v>
      </c>
      <c r="H10" s="1024">
        <f t="shared" si="0"/>
        <v>0</v>
      </c>
      <c r="I10" s="1024">
        <f>SUM(I8:I9)</f>
        <v>0</v>
      </c>
      <c r="J10" s="1024">
        <f>SUM(J8:J9)</f>
        <v>51.35294117647058</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0.19514136600715903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62.357142857142847</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73.361344537815114</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62.357142857142847</v>
      </c>
      <c r="C20" s="1024">
        <f>SUM(C17:C19)</f>
        <v>0</v>
      </c>
      <c r="D20" s="1024">
        <f t="shared" ref="D20:H20" si="2">SUM(D17:D19)</f>
        <v>0</v>
      </c>
      <c r="E20" s="1024">
        <f t="shared" si="2"/>
        <v>0</v>
      </c>
      <c r="F20" s="1024">
        <f t="shared" si="2"/>
        <v>0</v>
      </c>
      <c r="G20" s="1024">
        <f t="shared" si="2"/>
        <v>0</v>
      </c>
      <c r="H20" s="1024">
        <f t="shared" si="2"/>
        <v>0</v>
      </c>
      <c r="I20" s="1024">
        <f>SUM(I17:I19)</f>
        <v>0</v>
      </c>
      <c r="J20" s="1024">
        <f>SUM(J17:J19)</f>
        <v>73.361344537815114</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0.19514136600715903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0.19514136600715903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0.19514136600715903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2474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2877</v>
      </c>
      <c r="C14" s="327"/>
      <c r="D14" s="327"/>
      <c r="E14" s="327"/>
      <c r="F14" s="327"/>
    </row>
    <row r="15" spans="1:6">
      <c r="A15" s="1296" t="s">
        <v>177</v>
      </c>
      <c r="B15" s="1297">
        <v>27</v>
      </c>
      <c r="C15" s="327"/>
      <c r="D15" s="327"/>
      <c r="E15" s="327"/>
      <c r="F15" s="327"/>
    </row>
    <row r="16" spans="1:6">
      <c r="A16" s="1296" t="s">
        <v>6</v>
      </c>
      <c r="B16" s="1297">
        <v>827</v>
      </c>
      <c r="C16" s="327"/>
      <c r="D16" s="327"/>
      <c r="E16" s="327"/>
      <c r="F16" s="327"/>
    </row>
    <row r="17" spans="1:6">
      <c r="A17" s="1296" t="s">
        <v>7</v>
      </c>
      <c r="B17" s="1297">
        <v>867</v>
      </c>
      <c r="C17" s="327"/>
      <c r="D17" s="327"/>
      <c r="E17" s="327"/>
      <c r="F17" s="327"/>
    </row>
    <row r="18" spans="1:6">
      <c r="A18" s="1296" t="s">
        <v>8</v>
      </c>
      <c r="B18" s="1297">
        <v>1128</v>
      </c>
      <c r="C18" s="327"/>
      <c r="D18" s="327"/>
      <c r="E18" s="327"/>
      <c r="F18" s="327"/>
    </row>
    <row r="19" spans="1:6">
      <c r="A19" s="1296" t="s">
        <v>9</v>
      </c>
      <c r="B19" s="1297">
        <v>1048</v>
      </c>
      <c r="C19" s="327"/>
      <c r="D19" s="327"/>
      <c r="E19" s="327"/>
      <c r="F19" s="327"/>
    </row>
    <row r="20" spans="1:6">
      <c r="A20" s="1296" t="s">
        <v>10</v>
      </c>
      <c r="B20" s="1297">
        <v>687</v>
      </c>
      <c r="C20" s="327"/>
      <c r="D20" s="327"/>
      <c r="E20" s="327"/>
      <c r="F20" s="327"/>
    </row>
    <row r="21" spans="1:6">
      <c r="A21" s="1296" t="s">
        <v>11</v>
      </c>
      <c r="B21" s="1297">
        <v>3521</v>
      </c>
      <c r="C21" s="327"/>
      <c r="D21" s="327"/>
      <c r="E21" s="327"/>
      <c r="F21" s="327"/>
    </row>
    <row r="22" spans="1:6">
      <c r="A22" s="1296" t="s">
        <v>12</v>
      </c>
      <c r="B22" s="1297">
        <v>13380</v>
      </c>
      <c r="C22" s="327"/>
      <c r="D22" s="327"/>
      <c r="E22" s="327"/>
      <c r="F22" s="327"/>
    </row>
    <row r="23" spans="1:6">
      <c r="A23" s="1296" t="s">
        <v>13</v>
      </c>
      <c r="B23" s="1297">
        <v>69</v>
      </c>
      <c r="C23" s="327"/>
      <c r="D23" s="327"/>
      <c r="E23" s="327"/>
      <c r="F23" s="327"/>
    </row>
    <row r="24" spans="1:6">
      <c r="A24" s="1296" t="s">
        <v>14</v>
      </c>
      <c r="B24" s="1297">
        <v>9</v>
      </c>
      <c r="C24" s="327"/>
      <c r="D24" s="327"/>
      <c r="E24" s="327"/>
      <c r="F24" s="327"/>
    </row>
    <row r="25" spans="1:6">
      <c r="A25" s="1296" t="s">
        <v>15</v>
      </c>
      <c r="B25" s="1297">
        <v>960</v>
      </c>
      <c r="C25" s="327"/>
      <c r="D25" s="327"/>
      <c r="E25" s="327"/>
      <c r="F25" s="327"/>
    </row>
    <row r="26" spans="1:6">
      <c r="A26" s="1296" t="s">
        <v>16</v>
      </c>
      <c r="B26" s="1297">
        <v>176</v>
      </c>
      <c r="C26" s="327"/>
      <c r="D26" s="327"/>
      <c r="E26" s="327"/>
      <c r="F26" s="327"/>
    </row>
    <row r="27" spans="1:6">
      <c r="A27" s="1296" t="s">
        <v>17</v>
      </c>
      <c r="B27" s="1297">
        <v>6</v>
      </c>
      <c r="C27" s="327"/>
      <c r="D27" s="327"/>
      <c r="E27" s="327"/>
      <c r="F27" s="327"/>
    </row>
    <row r="28" spans="1:6">
      <c r="A28" s="1296" t="s">
        <v>18</v>
      </c>
      <c r="B28" s="1298">
        <v>13366</v>
      </c>
      <c r="C28" s="327"/>
      <c r="D28" s="327"/>
      <c r="E28" s="327"/>
      <c r="F28" s="327"/>
    </row>
    <row r="29" spans="1:6">
      <c r="A29" s="1296" t="s">
        <v>922</v>
      </c>
      <c r="B29" s="1298">
        <v>97</v>
      </c>
      <c r="C29" s="327"/>
      <c r="D29" s="327"/>
      <c r="E29" s="327"/>
      <c r="F29" s="327"/>
    </row>
    <row r="30" spans="1:6">
      <c r="A30" s="1291" t="s">
        <v>923</v>
      </c>
      <c r="B30" s="1299">
        <v>21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773.16168533760003</v>
      </c>
    </row>
    <row r="39" spans="1:6">
      <c r="A39" s="1296" t="s">
        <v>29</v>
      </c>
      <c r="B39" s="1296" t="s">
        <v>30</v>
      </c>
      <c r="C39" s="1297">
        <v>599</v>
      </c>
      <c r="D39" s="1297">
        <v>10068459.138418701</v>
      </c>
      <c r="E39" s="1297">
        <v>2243</v>
      </c>
      <c r="F39" s="1297">
        <v>11723054.410585901</v>
      </c>
    </row>
    <row r="40" spans="1:6">
      <c r="A40" s="1296" t="s">
        <v>29</v>
      </c>
      <c r="B40" s="1296" t="s">
        <v>28</v>
      </c>
      <c r="C40" s="1297">
        <v>0</v>
      </c>
      <c r="D40" s="1297">
        <v>0</v>
      </c>
      <c r="E40" s="1297">
        <v>0</v>
      </c>
      <c r="F40" s="1297">
        <v>0</v>
      </c>
    </row>
    <row r="41" spans="1:6">
      <c r="A41" s="1296" t="s">
        <v>31</v>
      </c>
      <c r="B41" s="1296" t="s">
        <v>32</v>
      </c>
      <c r="C41" s="1297">
        <v>3</v>
      </c>
      <c r="D41" s="1297">
        <v>96329.336844642196</v>
      </c>
      <c r="E41" s="1297">
        <v>82</v>
      </c>
      <c r="F41" s="1297">
        <v>2142122.2757435599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11</v>
      </c>
      <c r="D48" s="1297">
        <v>294169.44070056902</v>
      </c>
      <c r="E48" s="1297">
        <v>32</v>
      </c>
      <c r="F48" s="1297">
        <v>2428328.1096696998</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4</v>
      </c>
      <c r="D51" s="1297">
        <v>48602.429532307702</v>
      </c>
      <c r="E51" s="1297">
        <v>101</v>
      </c>
      <c r="F51" s="1297">
        <v>1263657.44099513</v>
      </c>
    </row>
    <row r="52" spans="1:6">
      <c r="A52" s="1296" t="s">
        <v>41</v>
      </c>
      <c r="B52" s="1296" t="s">
        <v>28</v>
      </c>
      <c r="C52" s="1297">
        <v>0</v>
      </c>
      <c r="D52" s="1297">
        <v>0</v>
      </c>
      <c r="E52" s="1297">
        <v>7</v>
      </c>
      <c r="F52" s="1297">
        <v>87975.730644454394</v>
      </c>
    </row>
    <row r="53" spans="1:6">
      <c r="A53" s="1296" t="s">
        <v>43</v>
      </c>
      <c r="B53" s="1296" t="s">
        <v>44</v>
      </c>
      <c r="C53" s="1297">
        <v>11</v>
      </c>
      <c r="D53" s="1297">
        <v>178173.07473776399</v>
      </c>
      <c r="E53" s="1297">
        <v>83</v>
      </c>
      <c r="F53" s="1297">
        <v>425320.82187705202</v>
      </c>
    </row>
    <row r="54" spans="1:6">
      <c r="A54" s="1296" t="s">
        <v>45</v>
      </c>
      <c r="B54" s="1296" t="s">
        <v>46</v>
      </c>
      <c r="C54" s="1297">
        <v>0</v>
      </c>
      <c r="D54" s="1297">
        <v>0</v>
      </c>
      <c r="E54" s="1297">
        <v>1</v>
      </c>
      <c r="F54" s="1297">
        <v>568958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0</v>
      </c>
      <c r="D57" s="1297">
        <v>0</v>
      </c>
      <c r="E57" s="1297">
        <v>13</v>
      </c>
      <c r="F57" s="1297">
        <v>81009.466348358299</v>
      </c>
    </row>
    <row r="58" spans="1:6">
      <c r="A58" s="1296" t="s">
        <v>48</v>
      </c>
      <c r="B58" s="1296" t="s">
        <v>50</v>
      </c>
      <c r="C58" s="1297">
        <v>0</v>
      </c>
      <c r="D58" s="1297">
        <v>0</v>
      </c>
      <c r="E58" s="1297">
        <v>9</v>
      </c>
      <c r="F58" s="1297">
        <v>112357.67121875301</v>
      </c>
    </row>
    <row r="59" spans="1:6">
      <c r="A59" s="1296" t="s">
        <v>48</v>
      </c>
      <c r="B59" s="1296" t="s">
        <v>51</v>
      </c>
      <c r="C59" s="1297">
        <v>0</v>
      </c>
      <c r="D59" s="1297">
        <v>0</v>
      </c>
      <c r="E59" s="1297">
        <v>43</v>
      </c>
      <c r="F59" s="1297">
        <v>482014.03139207698</v>
      </c>
    </row>
    <row r="60" spans="1:6">
      <c r="A60" s="1296" t="s">
        <v>48</v>
      </c>
      <c r="B60" s="1296" t="s">
        <v>52</v>
      </c>
      <c r="C60" s="1297">
        <v>0</v>
      </c>
      <c r="D60" s="1297">
        <v>0</v>
      </c>
      <c r="E60" s="1297">
        <v>17</v>
      </c>
      <c r="F60" s="1297">
        <v>542197.891184874</v>
      </c>
    </row>
    <row r="61" spans="1:6">
      <c r="A61" s="1296" t="s">
        <v>48</v>
      </c>
      <c r="B61" s="1296" t="s">
        <v>53</v>
      </c>
      <c r="C61" s="1297">
        <v>11</v>
      </c>
      <c r="D61" s="1297">
        <v>412205.05723020597</v>
      </c>
      <c r="E61" s="1297">
        <v>106</v>
      </c>
      <c r="F61" s="1297">
        <v>1449632.7317317</v>
      </c>
    </row>
    <row r="62" spans="1:6">
      <c r="A62" s="1296" t="s">
        <v>48</v>
      </c>
      <c r="B62" s="1296" t="s">
        <v>54</v>
      </c>
      <c r="C62" s="1297">
        <v>0</v>
      </c>
      <c r="D62" s="1297">
        <v>0</v>
      </c>
      <c r="E62" s="1297">
        <v>0</v>
      </c>
      <c r="F62" s="1297">
        <v>0</v>
      </c>
    </row>
    <row r="63" spans="1:6">
      <c r="A63" s="1296" t="s">
        <v>48</v>
      </c>
      <c r="B63" s="1296" t="s">
        <v>28</v>
      </c>
      <c r="C63" s="1297">
        <v>30</v>
      </c>
      <c r="D63" s="1297">
        <v>921830.99167526804</v>
      </c>
      <c r="E63" s="1297">
        <v>87</v>
      </c>
      <c r="F63" s="1297">
        <v>3401701.2046757801</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155216.96804556201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15011977</v>
      </c>
      <c r="E73" s="446"/>
      <c r="F73" s="327"/>
    </row>
    <row r="74" spans="1:6">
      <c r="A74" s="1296" t="s">
        <v>63</v>
      </c>
      <c r="B74" s="1296" t="s">
        <v>706</v>
      </c>
      <c r="C74" s="1309" t="s">
        <v>707</v>
      </c>
      <c r="D74" s="1297">
        <v>891167.86167574441</v>
      </c>
      <c r="E74" s="446"/>
      <c r="F74" s="327"/>
    </row>
    <row r="75" spans="1:6">
      <c r="A75" s="1296" t="s">
        <v>64</v>
      </c>
      <c r="B75" s="1296" t="s">
        <v>704</v>
      </c>
      <c r="C75" s="1309" t="s">
        <v>708</v>
      </c>
      <c r="D75" s="1297">
        <v>22755235</v>
      </c>
      <c r="E75" s="446"/>
      <c r="F75" s="327"/>
    </row>
    <row r="76" spans="1:6">
      <c r="A76" s="1296" t="s">
        <v>64</v>
      </c>
      <c r="B76" s="1296" t="s">
        <v>706</v>
      </c>
      <c r="C76" s="1309" t="s">
        <v>709</v>
      </c>
      <c r="D76" s="1297">
        <v>788851.86167574441</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142814.27664851118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1097.422434810404</v>
      </c>
      <c r="C91" s="327"/>
      <c r="D91" s="327"/>
      <c r="E91" s="327"/>
      <c r="F91" s="327"/>
    </row>
    <row r="92" spans="1:6">
      <c r="A92" s="1291" t="s">
        <v>68</v>
      </c>
      <c r="B92" s="1292">
        <v>1879.0393459132813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7</v>
      </c>
      <c r="C97" s="327"/>
      <c r="D97" s="327"/>
      <c r="E97" s="327"/>
      <c r="F97" s="327"/>
    </row>
    <row r="98" spans="1:6">
      <c r="A98" s="1296" t="s">
        <v>71</v>
      </c>
      <c r="B98" s="1297">
        <v>1</v>
      </c>
      <c r="C98" s="327"/>
      <c r="D98" s="327"/>
      <c r="E98" s="327"/>
      <c r="F98" s="327"/>
    </row>
    <row r="99" spans="1:6">
      <c r="A99" s="1296" t="s">
        <v>72</v>
      </c>
      <c r="B99" s="1297">
        <v>72</v>
      </c>
      <c r="C99" s="327"/>
      <c r="D99" s="327"/>
      <c r="E99" s="327"/>
      <c r="F99" s="327"/>
    </row>
    <row r="100" spans="1:6">
      <c r="A100" s="1296" t="s">
        <v>73</v>
      </c>
      <c r="B100" s="1297">
        <v>217</v>
      </c>
      <c r="C100" s="327"/>
      <c r="D100" s="327"/>
      <c r="E100" s="327"/>
      <c r="F100" s="327"/>
    </row>
    <row r="101" spans="1:6">
      <c r="A101" s="1296" t="s">
        <v>74</v>
      </c>
      <c r="B101" s="1297">
        <v>54</v>
      </c>
      <c r="C101" s="327"/>
      <c r="D101" s="327"/>
      <c r="E101" s="327"/>
      <c r="F101" s="327"/>
    </row>
    <row r="102" spans="1:6">
      <c r="A102" s="1296" t="s">
        <v>75</v>
      </c>
      <c r="B102" s="1297">
        <v>37</v>
      </c>
      <c r="C102" s="327"/>
      <c r="D102" s="327"/>
      <c r="E102" s="327"/>
      <c r="F102" s="327"/>
    </row>
    <row r="103" spans="1:6">
      <c r="A103" s="1296" t="s">
        <v>76</v>
      </c>
      <c r="B103" s="1297">
        <v>154</v>
      </c>
      <c r="C103" s="327"/>
      <c r="D103" s="327"/>
      <c r="E103" s="327"/>
      <c r="F103" s="327"/>
    </row>
    <row r="104" spans="1:6">
      <c r="A104" s="1296" t="s">
        <v>77</v>
      </c>
      <c r="B104" s="1297">
        <v>1613</v>
      </c>
      <c r="C104" s="327"/>
      <c r="D104" s="327"/>
      <c r="E104" s="327"/>
      <c r="F104" s="327"/>
    </row>
    <row r="105" spans="1:6">
      <c r="A105" s="1291"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9</v>
      </c>
      <c r="C123" s="1297">
        <v>11</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58</v>
      </c>
      <c r="C129" s="327"/>
      <c r="D129" s="327"/>
      <c r="E129" s="327"/>
      <c r="F129" s="327"/>
    </row>
    <row r="130" spans="1:6">
      <c r="A130" s="1296" t="s">
        <v>284</v>
      </c>
      <c r="B130" s="1297">
        <v>0</v>
      </c>
      <c r="C130" s="327"/>
      <c r="D130" s="327"/>
      <c r="E130" s="327"/>
      <c r="F130" s="327"/>
    </row>
    <row r="131" spans="1:6">
      <c r="A131" s="1296" t="s">
        <v>285</v>
      </c>
      <c r="B131" s="1297">
        <v>1</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25811.290098491598</v>
      </c>
      <c r="C3" s="43" t="s">
        <v>163</v>
      </c>
      <c r="D3" s="43"/>
      <c r="E3" s="156"/>
      <c r="F3" s="43"/>
      <c r="G3" s="43"/>
      <c r="H3" s="43"/>
      <c r="I3" s="43"/>
      <c r="J3" s="43"/>
      <c r="K3" s="96"/>
    </row>
    <row r="4" spans="1:11">
      <c r="A4" s="353" t="s">
        <v>164</v>
      </c>
      <c r="B4" s="49">
        <f>IF(ISERROR('SEAP template'!B78+'SEAP template'!C78),0,'SEAP template'!B78+'SEAP template'!C78)</f>
        <v>3020.1117807236856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0.19514136600715903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62.357142857142847</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568.95799999999997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568.95799999999997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0.19514136600715903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111.02724132070118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11723.054410585901</v>
      </c>
      <c r="C5" s="17">
        <f>IF(ISERROR('Eigen informatie GS &amp; warmtenet'!B57),0,'Eigen informatie GS &amp; warmtenet'!B57)</f>
        <v>0</v>
      </c>
      <c r="D5" s="30">
        <f>(SUM(HH_hh_gas_kWh,HH_rest_gas_kWh)/1000)*0.902</f>
        <v>9081.7501428536689</v>
      </c>
      <c r="E5" s="17">
        <f>B32*B41</f>
        <v>1084.7021077985405</v>
      </c>
      <c r="F5" s="17">
        <f>B36*B45</f>
        <v>33241.208893558585</v>
      </c>
      <c r="G5" s="18"/>
      <c r="H5" s="17"/>
      <c r="I5" s="17"/>
      <c r="J5" s="17">
        <f>B35*B44+C35*C44</f>
        <v>629.52230740025482</v>
      </c>
      <c r="K5" s="17"/>
      <c r="L5" s="17"/>
      <c r="M5" s="17"/>
      <c r="N5" s="17">
        <f>B34*B43+C34*C43</f>
        <v>4313.7840123575097</v>
      </c>
      <c r="O5" s="17">
        <f>B52*B53*B54</f>
        <v>107.87</v>
      </c>
      <c r="P5" s="17">
        <f>B60*B61*B62/1000-B60*B61*B62/1000/B63</f>
        <v>305.06666666666666</v>
      </c>
    </row>
    <row r="6" spans="1:16">
      <c r="A6" s="16" t="s">
        <v>617</v>
      </c>
      <c r="B6" s="769">
        <f>kWh_PV_kleiner_dan_10kW</f>
        <v>1097.422434810404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12820.476845396304</v>
      </c>
      <c r="C8" s="21">
        <f>C5</f>
        <v>0</v>
      </c>
      <c r="D8" s="21">
        <f>D5</f>
        <v>9081.7501428536689</v>
      </c>
      <c r="E8" s="21">
        <f>E5</f>
        <v>1084.7021077985405</v>
      </c>
      <c r="F8" s="21">
        <f>F5</f>
        <v>33241.208893558585</v>
      </c>
      <c r="G8" s="21"/>
      <c r="H8" s="21"/>
      <c r="I8" s="21"/>
      <c r="J8" s="21">
        <f>J5</f>
        <v>629.52230740025482</v>
      </c>
      <c r="K8" s="21"/>
      <c r="L8" s="21">
        <f>L5</f>
        <v>0</v>
      </c>
      <c r="M8" s="21">
        <f>M5</f>
        <v>0</v>
      </c>
      <c r="N8" s="21">
        <f>N5</f>
        <v>4313.7840123575097</v>
      </c>
      <c r="O8" s="21">
        <f>O5</f>
        <v>107.87</v>
      </c>
      <c r="P8" s="21">
        <f>P5</f>
        <v>305.06666666666666</v>
      </c>
    </row>
    <row r="9" spans="1:16">
      <c r="B9" s="19"/>
      <c r="C9" s="19"/>
      <c r="D9" s="257"/>
      <c r="E9" s="19"/>
      <c r="F9" s="19"/>
      <c r="G9" s="19"/>
      <c r="H9" s="19"/>
      <c r="I9" s="19"/>
      <c r="J9" s="19"/>
      <c r="K9" s="19"/>
      <c r="L9" s="19"/>
      <c r="M9" s="19"/>
      <c r="N9" s="19"/>
      <c r="O9" s="19"/>
      <c r="P9" s="19"/>
    </row>
    <row r="10" spans="1:16">
      <c r="A10" s="24" t="s">
        <v>207</v>
      </c>
      <c r="B10" s="25">
        <f ca="1">'EF ele_warmte'!B12</f>
        <v>0.19514136600715903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2501.8053644737879</v>
      </c>
      <c r="C12" s="23">
        <f ca="1">C10*C8</f>
        <v>0</v>
      </c>
      <c r="D12" s="23">
        <f>D8*D10</f>
        <v>1834.5135288564413</v>
      </c>
      <c r="E12" s="23">
        <f>E10*E8</f>
        <v>246.22737847026869</v>
      </c>
      <c r="F12" s="23">
        <f>F10*F8</f>
        <v>8875.4027745801432</v>
      </c>
      <c r="G12" s="23"/>
      <c r="H12" s="23"/>
      <c r="I12" s="23"/>
      <c r="J12" s="23">
        <f>J10*J8</f>
        <v>222.85089681969021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2474</v>
      </c>
      <c r="C26" s="36"/>
      <c r="D26" s="227"/>
    </row>
    <row r="27" spans="1:5" s="15" customFormat="1">
      <c r="A27" s="229" t="s">
        <v>722</v>
      </c>
      <c r="B27" s="37">
        <f>SUM(HH_hh_gas_aantal,HH_rest_gas_aantal)</f>
        <v>599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569.04999999999995</v>
      </c>
      <c r="C31" s="34" t="s">
        <v>104</v>
      </c>
      <c r="D31" s="173"/>
    </row>
    <row r="32" spans="1:5">
      <c r="A32" s="170" t="s">
        <v>72</v>
      </c>
      <c r="B32" s="33">
        <f>IF((B21*($B$26-($B$27-0.05*$B$27)-$B$60))&lt;0,0,B21*($B$26-($B$27-0.05*$B$27)-$B$60))</f>
        <v>47.302258646827809</v>
      </c>
      <c r="C32" s="34" t="s">
        <v>104</v>
      </c>
      <c r="D32" s="173"/>
    </row>
    <row r="33" spans="1:6">
      <c r="A33" s="170" t="s">
        <v>73</v>
      </c>
      <c r="B33" s="33">
        <f>IF((B22*($B$26-($B$27-0.05*$B$27)-$B$60))&lt;0,0,B22*($B$26-($B$27-0.05*$B$27)-$B$60))</f>
        <v>318.39967865082343</v>
      </c>
      <c r="C33" s="34" t="s">
        <v>104</v>
      </c>
      <c r="D33" s="173"/>
    </row>
    <row r="34" spans="1:6">
      <c r="A34" s="170" t="s">
        <v>74</v>
      </c>
      <c r="B34" s="33">
        <f>IF((B24*($B$26-($B$27-0.05*$B$27)-$B$60))&lt;0,0,B24*($B$26-($B$27-0.05*$B$27)-$B$60))</f>
        <v>80.782314227835784</v>
      </c>
      <c r="C34" s="33">
        <f>B26*C24</f>
        <v>506.08160731359891</v>
      </c>
      <c r="D34" s="232"/>
    </row>
    <row r="35" spans="1:6">
      <c r="A35" s="170" t="s">
        <v>76</v>
      </c>
      <c r="B35" s="33">
        <f>IF((B19*($B$26-($B$27-0.05*$B$27)-$B$60))&lt;0,0,B19*($B$26-($B$27-0.05*$B$27)-$B$60))</f>
        <v>30.021361480687322</v>
      </c>
      <c r="C35" s="33">
        <f>B35/2</f>
        <v>15.010680740343661</v>
      </c>
      <c r="D35" s="232"/>
    </row>
    <row r="36" spans="1:6">
      <c r="A36" s="170" t="s">
        <v>77</v>
      </c>
      <c r="B36" s="33">
        <f>IF((B18*($B$26-($B$27-0.05*$B$27)-$B$60))&lt;0,0,B18*($B$26-($B$27-0.05*$B$27)-$B$60))</f>
        <v>1412.4443869938259</v>
      </c>
      <c r="C36" s="34" t="s">
        <v>104</v>
      </c>
      <c r="D36" s="173"/>
    </row>
    <row r="37" spans="1:6">
      <c r="A37" s="170" t="s">
        <v>78</v>
      </c>
      <c r="B37" s="33">
        <f>B60</f>
        <v>16</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16</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6068.9129965515422</v>
      </c>
      <c r="C5" s="17">
        <f>IF(ISERROR('Eigen informatie GS &amp; warmtenet'!B58),0,'Eigen informatie GS &amp; warmtenet'!B58)</f>
        <v>0</v>
      </c>
      <c r="D5" s="30">
        <f>SUM(D6:D12)</f>
        <v>1203.3005161127376</v>
      </c>
      <c r="E5" s="17">
        <f>SUM(E6:E12)</f>
        <v>84.875261542854076</v>
      </c>
      <c r="F5" s="17">
        <f>SUM(F6:F12)</f>
        <v>1176.2937027432133</v>
      </c>
      <c r="G5" s="18"/>
      <c r="H5" s="17"/>
      <c r="I5" s="17"/>
      <c r="J5" s="17">
        <f>SUM(J6:J12)</f>
        <v>0</v>
      </c>
      <c r="K5" s="17"/>
      <c r="L5" s="17"/>
      <c r="M5" s="17"/>
      <c r="N5" s="17">
        <f>SUM(N6:N12)</f>
        <v>329.96523789654344</v>
      </c>
      <c r="O5" s="17">
        <f>B38*B39*B40</f>
        <v>0</v>
      </c>
      <c r="P5" s="17">
        <f>B46*B47*B48/1000-B46*B47*B48/1000/B49</f>
        <v>19.066666666666666</v>
      </c>
      <c r="R5" s="32"/>
    </row>
    <row r="6" spans="1:18">
      <c r="A6" s="32" t="s">
        <v>53</v>
      </c>
      <c r="B6" s="37">
        <f>B26</f>
        <v>1449.6327317317</v>
      </c>
      <c r="C6" s="33"/>
      <c r="D6" s="37">
        <f>IF(ISERROR(TER_kantoor_gas_kWh/1000),0,TER_kantoor_gas_kWh/1000)*0.902</f>
        <v>371.80896162164578</v>
      </c>
      <c r="E6" s="33">
        <f>$C$26*'E Balans VL '!I12/100/3.6*1000000</f>
        <v>5.6321300679087418</v>
      </c>
      <c r="F6" s="33">
        <f>$C$26*('E Balans VL '!L12+'E Balans VL '!N12)/100/3.6*1000000</f>
        <v>220.47594789017921</v>
      </c>
      <c r="G6" s="34"/>
      <c r="H6" s="33"/>
      <c r="I6" s="33"/>
      <c r="J6" s="33">
        <f>$C$26*('E Balans VL '!D12+'E Balans VL '!E12)/100/3.6*1000000</f>
        <v>0</v>
      </c>
      <c r="K6" s="33"/>
      <c r="L6" s="33"/>
      <c r="M6" s="33"/>
      <c r="N6" s="33">
        <f>$C$26*'E Balans VL '!Y12/100/3.6*1000000</f>
        <v>0.79892129690867097</v>
      </c>
      <c r="O6" s="33"/>
      <c r="P6" s="33"/>
      <c r="R6" s="32"/>
    </row>
    <row r="7" spans="1:18">
      <c r="A7" s="32" t="s">
        <v>52</v>
      </c>
      <c r="B7" s="37">
        <f t="shared" ref="B7:B12" si="0">B27</f>
        <v>542.19789118487404</v>
      </c>
      <c r="C7" s="33"/>
      <c r="D7" s="37">
        <f>IF(ISERROR(TER_horeca_gas_kWh/1000),0,TER_horeca_gas_kWh/1000)*0.902</f>
        <v>0</v>
      </c>
      <c r="E7" s="33">
        <f>$C$27*'E Balans VL '!I9/100/3.6*1000000</f>
        <v>30.542152170142771</v>
      </c>
      <c r="F7" s="33">
        <f>$C$27*('E Balans VL '!L9+'E Balans VL '!N9)/100/3.6*1000000</f>
        <v>156.33741109262556</v>
      </c>
      <c r="G7" s="34"/>
      <c r="H7" s="33"/>
      <c r="I7" s="33"/>
      <c r="J7" s="33">
        <f>$C$27*('E Balans VL '!D9+'E Balans VL '!E9)/100/3.6*1000000</f>
        <v>0</v>
      </c>
      <c r="K7" s="33"/>
      <c r="L7" s="33"/>
      <c r="M7" s="33"/>
      <c r="N7" s="33">
        <f>$C$27*'E Balans VL '!Y9/100/3.6*1000000</f>
        <v>0.1496980202308088</v>
      </c>
      <c r="O7" s="33"/>
      <c r="P7" s="33"/>
      <c r="R7" s="32"/>
    </row>
    <row r="8" spans="1:18">
      <c r="A8" s="6" t="s">
        <v>51</v>
      </c>
      <c r="B8" s="37">
        <f t="shared" si="0"/>
        <v>482.01403139207696</v>
      </c>
      <c r="C8" s="33"/>
      <c r="D8" s="37">
        <f>IF(ISERROR(TER_handel_gas_kWh/1000),0,TER_handel_gas_kWh/1000)*0.902</f>
        <v>0</v>
      </c>
      <c r="E8" s="33">
        <f>$C$28*'E Balans VL '!I13/100/3.6*1000000</f>
        <v>6.9474575032946824</v>
      </c>
      <c r="F8" s="33">
        <f>$C$28*('E Balans VL '!L13+'E Balans VL '!N13)/100/3.6*1000000</f>
        <v>83.737062602121199</v>
      </c>
      <c r="G8" s="34"/>
      <c r="H8" s="33"/>
      <c r="I8" s="33"/>
      <c r="J8" s="33">
        <f>$C$28*('E Balans VL '!D13+'E Balans VL '!E13)/100/3.6*1000000</f>
        <v>0</v>
      </c>
      <c r="K8" s="33"/>
      <c r="L8" s="33"/>
      <c r="M8" s="33"/>
      <c r="N8" s="33">
        <f>$C$28*'E Balans VL '!Y13/100/3.6*1000000</f>
        <v>1.4441676969580188</v>
      </c>
      <c r="O8" s="33"/>
      <c r="P8" s="33"/>
      <c r="R8" s="32"/>
    </row>
    <row r="9" spans="1:18">
      <c r="A9" s="32" t="s">
        <v>50</v>
      </c>
      <c r="B9" s="37">
        <f t="shared" si="0"/>
        <v>112.35767121875301</v>
      </c>
      <c r="C9" s="33"/>
      <c r="D9" s="37">
        <f>IF(ISERROR(TER_gezond_gas_kWh/1000),0,TER_gezond_gas_kWh/1000)*0.902</f>
        <v>0</v>
      </c>
      <c r="E9" s="33">
        <f>$C$29*'E Balans VL '!I10/100/3.6*1000000</f>
        <v>0.12002711490053514</v>
      </c>
      <c r="F9" s="33">
        <f>$C$29*('E Balans VL '!L10+'E Balans VL '!N10)/100/3.6*1000000</f>
        <v>18.328950853543553</v>
      </c>
      <c r="G9" s="34"/>
      <c r="H9" s="33"/>
      <c r="I9" s="33"/>
      <c r="J9" s="33">
        <f>$C$29*('E Balans VL '!D10+'E Balans VL '!E10)/100/3.6*1000000</f>
        <v>0</v>
      </c>
      <c r="K9" s="33"/>
      <c r="L9" s="33"/>
      <c r="M9" s="33"/>
      <c r="N9" s="33">
        <f>$C$29*'E Balans VL '!Y10/100/3.6*1000000</f>
        <v>1.1566581151888791</v>
      </c>
      <c r="O9" s="33"/>
      <c r="P9" s="33"/>
      <c r="R9" s="32"/>
    </row>
    <row r="10" spans="1:18">
      <c r="A10" s="32" t="s">
        <v>49</v>
      </c>
      <c r="B10" s="37">
        <f t="shared" si="0"/>
        <v>81.009466348358302</v>
      </c>
      <c r="C10" s="33"/>
      <c r="D10" s="37">
        <f>IF(ISERROR(TER_ander_gas_kWh/1000),0,TER_ander_gas_kWh/1000)*0.902</f>
        <v>0</v>
      </c>
      <c r="E10" s="33">
        <f>$C$30*'E Balans VL '!I14/100/3.6*1000000</f>
        <v>0.3725502132815276</v>
      </c>
      <c r="F10" s="33">
        <f>$C$30*('E Balans VL '!L14+'E Balans VL '!N14)/100/3.6*1000000</f>
        <v>24.281092332834771</v>
      </c>
      <c r="G10" s="34"/>
      <c r="H10" s="33"/>
      <c r="I10" s="33"/>
      <c r="J10" s="33">
        <f>$C$30*('E Balans VL '!D14+'E Balans VL '!E14)/100/3.6*1000000</f>
        <v>0</v>
      </c>
      <c r="K10" s="33"/>
      <c r="L10" s="33"/>
      <c r="M10" s="33"/>
      <c r="N10" s="33">
        <f>$C$30*'E Balans VL '!Y14/100/3.6*1000000</f>
        <v>56.387936075601836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3401.70120467578</v>
      </c>
      <c r="C12" s="33"/>
      <c r="D12" s="37">
        <f>IF(ISERROR(TER_rest_gas_kWh/1000),0,TER_rest_gas_kWh/1000)*0.902</f>
        <v>831.49155449109173</v>
      </c>
      <c r="E12" s="33">
        <f>$C$32*'E Balans VL '!I8/100/3.6*1000000</f>
        <v>41.260944473325829</v>
      </c>
      <c r="F12" s="33">
        <f>$C$32*('E Balans VL '!L8+'E Balans VL '!N8)/100/3.6*1000000</f>
        <v>673.13323797190901</v>
      </c>
      <c r="G12" s="34"/>
      <c r="H12" s="33"/>
      <c r="I12" s="33"/>
      <c r="J12" s="33">
        <f>$C$32*('E Balans VL '!D8+'E Balans VL '!E8)/100/3.6*1000000</f>
        <v>0</v>
      </c>
      <c r="K12" s="33"/>
      <c r="L12" s="33"/>
      <c r="M12" s="33"/>
      <c r="N12" s="33">
        <f>$C$32*'E Balans VL '!Y8/100/3.6*1000000</f>
        <v>270.02785669165524</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6068.9129965515422</v>
      </c>
      <c r="C16" s="21">
        <f t="shared" ca="1" si="1"/>
        <v>0</v>
      </c>
      <c r="D16" s="21">
        <f t="shared" ca="1" si="1"/>
        <v>1203.3005161127376</v>
      </c>
      <c r="E16" s="21">
        <f t="shared" si="1"/>
        <v>84.875261542854076</v>
      </c>
      <c r="F16" s="21">
        <f t="shared" ca="1" si="1"/>
        <v>1176.2937027432133</v>
      </c>
      <c r="G16" s="21">
        <f t="shared" si="1"/>
        <v>0</v>
      </c>
      <c r="H16" s="21">
        <f t="shared" si="1"/>
        <v>0</v>
      </c>
      <c r="I16" s="21">
        <f t="shared" si="1"/>
        <v>0</v>
      </c>
      <c r="J16" s="21">
        <f t="shared" si="1"/>
        <v>0</v>
      </c>
      <c r="K16" s="21">
        <f t="shared" si="1"/>
        <v>0</v>
      </c>
      <c r="L16" s="21">
        <f t="shared" ca="1" si="1"/>
        <v>0</v>
      </c>
      <c r="M16" s="21">
        <f t="shared" si="1"/>
        <v>0</v>
      </c>
      <c r="N16" s="21">
        <f t="shared" ca="1" si="1"/>
        <v>329.96523789654344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0.19514136600715903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1184.2959723256688</v>
      </c>
      <c r="C20" s="23">
        <f t="shared" ref="C20:P20" ca="1" si="2">C16*C18</f>
        <v>0</v>
      </c>
      <c r="D20" s="23">
        <f t="shared" ca="1" si="2"/>
        <v>243.06670425477301</v>
      </c>
      <c r="E20" s="23">
        <f t="shared" si="2"/>
        <v>19.266684370227875</v>
      </c>
      <c r="F20" s="23">
        <f t="shared" ca="1" si="2"/>
        <v>314.07041863243796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1449.6327317317</v>
      </c>
      <c r="C26" s="39">
        <f>IF(ISERROR(B26*3.6/1000000/'E Balans VL '!Z12*100),0,B26*3.6/1000000/'E Balans VL '!Z12*100)</f>
        <v>3.0790917276690775E-2</v>
      </c>
      <c r="D26" s="235" t="s">
        <v>672</v>
      </c>
      <c r="F26" s="6"/>
    </row>
    <row r="27" spans="1:18">
      <c r="A27" s="230" t="s">
        <v>52</v>
      </c>
      <c r="B27" s="33">
        <f>IF(ISERROR(TER_horeca_ele_kWh/1000),0,TER_horeca_ele_kWh/1000)</f>
        <v>542.19789118487404</v>
      </c>
      <c r="C27" s="39">
        <f>IF(ISERROR(B27*3.6/1000000/'E Balans VL '!Z9*100),0,B27*3.6/1000000/'E Balans VL '!Z9*100)</f>
        <v>4.215918806723308E-2</v>
      </c>
      <c r="D27" s="235" t="s">
        <v>672</v>
      </c>
      <c r="F27" s="6"/>
    </row>
    <row r="28" spans="1:18">
      <c r="A28" s="170" t="s">
        <v>51</v>
      </c>
      <c r="B28" s="33">
        <f>IF(ISERROR(TER_handel_ele_kWh/1000),0,TER_handel_ele_kWh/1000)</f>
        <v>482.01403139207696</v>
      </c>
      <c r="C28" s="39">
        <f>IF(ISERROR(B28*3.6/1000000/'E Balans VL '!Z13*100),0,B28*3.6/1000000/'E Balans VL '!Z13*100)</f>
        <v>1.3790988711894993E-2</v>
      </c>
      <c r="D28" s="235" t="s">
        <v>672</v>
      </c>
      <c r="F28" s="6"/>
    </row>
    <row r="29" spans="1:18">
      <c r="A29" s="230" t="s">
        <v>50</v>
      </c>
      <c r="B29" s="33">
        <f>IF(ISERROR(TER_gezond_ele_kWh/1000),0,TER_gezond_ele_kWh/1000)</f>
        <v>112.35767121875301</v>
      </c>
      <c r="C29" s="39">
        <f>IF(ISERROR(B29*3.6/1000000/'E Balans VL '!Z10*100),0,B29*3.6/1000000/'E Balans VL '!Z10*100)</f>
        <v>1.2249597041995698E-2</v>
      </c>
      <c r="D29" s="235" t="s">
        <v>672</v>
      </c>
      <c r="F29" s="6"/>
    </row>
    <row r="30" spans="1:18">
      <c r="A30" s="230" t="s">
        <v>49</v>
      </c>
      <c r="B30" s="33">
        <f>IF(ISERROR(TER_ander_ele_kWh/1000),0,TER_ander_ele_kWh/1000)</f>
        <v>81.009466348358302</v>
      </c>
      <c r="C30" s="39">
        <f>IF(ISERROR(B30*3.6/1000000/'E Balans VL '!Z14*100),0,B30*3.6/1000000/'E Balans VL '!Z14*100)</f>
        <v>5.9280889817546955E-3</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3401.70120467578</v>
      </c>
      <c r="C32" s="39">
        <f>IF(ISERROR(B32*3.6/1000000/'E Balans VL '!Z8*100),0,B32*3.6/1000000/'E Balans VL '!Z8*100)</f>
        <v>2.7721800430536354E-2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4570.4503854132599</v>
      </c>
      <c r="C5" s="17">
        <f>IF(ISERROR('Eigen informatie GS &amp; warmtenet'!B59),0,'Eigen informatie GS &amp; warmtenet'!B59)</f>
        <v>0</v>
      </c>
      <c r="D5" s="30">
        <f>SUM(D6:D15)</f>
        <v>352.2298973457805</v>
      </c>
      <c r="E5" s="17">
        <f>SUM(E6:E15)</f>
        <v>715.29180108208755</v>
      </c>
      <c r="F5" s="17">
        <f>SUM(F6:F15)</f>
        <v>1997.7305760787324</v>
      </c>
      <c r="G5" s="18"/>
      <c r="H5" s="17"/>
      <c r="I5" s="17"/>
      <c r="J5" s="17">
        <f>SUM(J6:J15)</f>
        <v>6.2239576534796663</v>
      </c>
      <c r="K5" s="17"/>
      <c r="L5" s="17"/>
      <c r="M5" s="17"/>
      <c r="N5" s="17">
        <f>SUM(N6:N15)</f>
        <v>293.80047041121446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2142.1222757435598</v>
      </c>
      <c r="C9" s="33"/>
      <c r="D9" s="37">
        <f>IF( ISERROR(IND_andere_gas_kWh/1000),0,IND_andere_gas_kWh/1000)*0.902</f>
        <v>86.88906183386726</v>
      </c>
      <c r="E9" s="33">
        <f>C31*'E Balans VL '!I19/100/3.6*1000000</f>
        <v>579.81983159674814</v>
      </c>
      <c r="F9" s="33">
        <f>C31*'E Balans VL '!L19/100/3.6*1000000+C31*'E Balans VL '!N19/100/3.6*1000000</f>
        <v>1426.8801195340386</v>
      </c>
      <c r="G9" s="34"/>
      <c r="H9" s="33"/>
      <c r="I9" s="33"/>
      <c r="J9" s="40">
        <f>C31*'E Balans VL '!D19/100/3.6*1000000+C31*'E Balans VL '!E19/100/3.6*1000000</f>
        <v>0</v>
      </c>
      <c r="K9" s="33"/>
      <c r="L9" s="33"/>
      <c r="M9" s="33"/>
      <c r="N9" s="33">
        <f>C31*'E Balans VL '!Y19/100/3.6*1000000</f>
        <v>181.102248474444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2428.3281096696996</v>
      </c>
      <c r="C15" s="33"/>
      <c r="D15" s="37">
        <f>IF( ISERROR(IND_rest_gas_kWh/1000),0,IND_rest_gas_kWh/1000)*0.902</f>
        <v>265.34083551191327</v>
      </c>
      <c r="E15" s="33">
        <f>C37*'E Balans VL '!I15/100/3.6*1000000</f>
        <v>135.47196948533937</v>
      </c>
      <c r="F15" s="33">
        <f>C37*'E Balans VL '!L15/100/3.6*1000000+C37*'E Balans VL '!N15/100/3.6*1000000</f>
        <v>570.85045654469377</v>
      </c>
      <c r="G15" s="34"/>
      <c r="H15" s="33"/>
      <c r="I15" s="33"/>
      <c r="J15" s="40">
        <f>C37*'E Balans VL '!D15/100/3.6*1000000+C37*'E Balans VL '!E15/100/3.6*1000000</f>
        <v>6.2239576534796663</v>
      </c>
      <c r="K15" s="33"/>
      <c r="L15" s="33"/>
      <c r="M15" s="33"/>
      <c r="N15" s="33">
        <f>C37*'E Balans VL '!Y15/100/3.6*1000000</f>
        <v>112.69822193677045</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4570.4503854132599</v>
      </c>
      <c r="C18" s="21">
        <f>C5+C16</f>
        <v>0</v>
      </c>
      <c r="D18" s="21">
        <f>MAX((D5+D16),0)</f>
        <v>352.2298973457805</v>
      </c>
      <c r="E18" s="21">
        <f>MAX((E5+E16),0)</f>
        <v>715.29180108208755</v>
      </c>
      <c r="F18" s="21">
        <f>MAX((F5+F16),0)</f>
        <v>1997.7305760787324</v>
      </c>
      <c r="G18" s="21"/>
      <c r="H18" s="21"/>
      <c r="I18" s="21"/>
      <c r="J18" s="21">
        <f>MAX((J5+J16),0)</f>
        <v>6.2239576534796663</v>
      </c>
      <c r="K18" s="21"/>
      <c r="L18" s="21">
        <f>MAX((L5+L16),0)</f>
        <v>0</v>
      </c>
      <c r="M18" s="21"/>
      <c r="N18" s="21">
        <f>MAX((N5+N16),0)</f>
        <v>293.80047041121446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0.19514136600715903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891.88393147749002</v>
      </c>
      <c r="C22" s="23">
        <f ca="1">C18*C20</f>
        <v>0</v>
      </c>
      <c r="D22" s="23">
        <f>D18*D20</f>
        <v>71.150439263847659</v>
      </c>
      <c r="E22" s="23">
        <f>E18*E20</f>
        <v>162.37123884563388</v>
      </c>
      <c r="F22" s="23">
        <f>F18*F20</f>
        <v>533.3940638130216</v>
      </c>
      <c r="G22" s="23"/>
      <c r="H22" s="23"/>
      <c r="I22" s="23"/>
      <c r="J22" s="23">
        <f>J18*J20</f>
        <v>2.2032810093318016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2142.1222757435598</v>
      </c>
      <c r="C31" s="39">
        <f>IF(ISERROR(B31*3.6/1000000/'E Balans VL '!Z19*100),0,B31*3.6/1000000/'E Balans VL '!Z19*100)</f>
        <v>9.3287716354525013E-2</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2428.3281096696996</v>
      </c>
      <c r="C37" s="39">
        <f>IF(ISERROR(B37*3.6/1000000/'E Balans VL '!Z15*100),0,B37*3.6/1000000/'E Balans VL '!Z15*100)</f>
        <v>1.8713250686723068E-2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1351.6331716395844</v>
      </c>
      <c r="C5" s="17">
        <f>'Eigen informatie GS &amp; warmtenet'!B60</f>
        <v>0</v>
      </c>
      <c r="D5" s="30">
        <f>IF(ISERROR(SUM(LB_lb_gas_kWh,LB_rest_gas_kWh)/1000),0,SUM(LB_lb_gas_kWh,LB_rest_gas_kWh)/1000)*0.902</f>
        <v>43.839391438141547</v>
      </c>
      <c r="E5" s="17">
        <f>B17*'E Balans VL '!I25/3.6*1000000/100</f>
        <v>17.032319220217325</v>
      </c>
      <c r="F5" s="17">
        <f>B17*('E Balans VL '!L25/3.6*1000000+'E Balans VL '!N25/3.6*1000000)/100</f>
        <v>4663.4730464985014</v>
      </c>
      <c r="G5" s="18"/>
      <c r="H5" s="17"/>
      <c r="I5" s="17"/>
      <c r="J5" s="17">
        <f>('E Balans VL '!D25+'E Balans VL '!E25)/3.6*1000000*landbouw!B17/100</f>
        <v>203.27026419097339</v>
      </c>
      <c r="K5" s="17"/>
      <c r="L5" s="17">
        <f>L6*(-1)</f>
        <v>0</v>
      </c>
      <c r="M5" s="17"/>
      <c r="N5" s="17">
        <f>N6*(-1)</f>
        <v>124.71428571428569</v>
      </c>
      <c r="O5" s="17"/>
      <c r="P5" s="17"/>
      <c r="R5" s="32"/>
    </row>
    <row r="6" spans="1:18">
      <c r="A6" s="16" t="s">
        <v>484</v>
      </c>
      <c r="B6" s="17" t="s">
        <v>204</v>
      </c>
      <c r="C6" s="17">
        <f>'lokale energieproductie'!O39+'lokale energieproductie'!O32</f>
        <v>62.357142857142847</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1351.6331716395844</v>
      </c>
      <c r="C8" s="21">
        <f>C5+C6</f>
        <v>62.357142857142847</v>
      </c>
      <c r="D8" s="21">
        <f>MAX((D5+D6),0)</f>
        <v>43.839391438141547</v>
      </c>
      <c r="E8" s="21">
        <f>MAX((E5+E6),0)</f>
        <v>17.032319220217325</v>
      </c>
      <c r="F8" s="21">
        <f>MAX((F5+F6),0)</f>
        <v>4663.4730464985014</v>
      </c>
      <c r="G8" s="21"/>
      <c r="H8" s="21"/>
      <c r="I8" s="21"/>
      <c r="J8" s="21">
        <f>MAX((J5+J6),0)</f>
        <v>203.27026419097339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0.19514136600715903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263.75954345433735</v>
      </c>
      <c r="C12" s="23">
        <f ca="1">C8*C10</f>
        <v>0</v>
      </c>
      <c r="D12" s="23">
        <f>D8*D10</f>
        <v>8.8555570705045934</v>
      </c>
      <c r="E12" s="23">
        <f>E8*E10</f>
        <v>3.8663364629893326</v>
      </c>
      <c r="F12" s="23">
        <f>F8*F10</f>
        <v>1245.1473034150999</v>
      </c>
      <c r="G12" s="23"/>
      <c r="H12" s="23"/>
      <c r="I12" s="23"/>
      <c r="J12" s="23">
        <f>J8*J10</f>
        <v>71.957673523604583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0.18851022643898266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305.97744649683102</v>
      </c>
      <c r="C26" s="245">
        <f>B26*'GWP N2O_CH4'!B5</f>
        <v>6425.5263764334513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118.6629636921635</v>
      </c>
      <c r="C27" s="245">
        <f>B27*'GWP N2O_CH4'!B5</f>
        <v>2491.9222375354334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4.8161443308938008</v>
      </c>
      <c r="C28" s="245">
        <f>B28*'GWP N2O_CH4'!B4</f>
        <v>1493.0047425770783</v>
      </c>
      <c r="D28" s="50"/>
    </row>
    <row r="29" spans="1:4">
      <c r="A29" s="41" t="s">
        <v>266</v>
      </c>
      <c r="B29" s="245">
        <f>B34*'ha_N2O bodem landbouw'!B4</f>
        <v>17.13720769588701</v>
      </c>
      <c r="C29" s="245">
        <f>B29*'GWP N2O_CH4'!B4</f>
        <v>5312.5343857249736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4.2789895219043509E-3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1.0431480806639732E-5</v>
      </c>
      <c r="C5" s="434" t="s">
        <v>204</v>
      </c>
      <c r="D5" s="419">
        <f>SUM(D6:D11)</f>
        <v>1.2499141576628561E-5</v>
      </c>
      <c r="E5" s="419">
        <f>SUM(E6:E11)</f>
        <v>4.3420865945477589E-4</v>
      </c>
      <c r="F5" s="432" t="s">
        <v>204</v>
      </c>
      <c r="G5" s="419">
        <f>SUM(G6:G11)</f>
        <v>9.946277443091385E-2</v>
      </c>
      <c r="H5" s="419">
        <f>SUM(H6:H11)</f>
        <v>2.0993752715783284E-2</v>
      </c>
      <c r="I5" s="434" t="s">
        <v>204</v>
      </c>
      <c r="J5" s="434" t="s">
        <v>204</v>
      </c>
      <c r="K5" s="434" t="s">
        <v>204</v>
      </c>
      <c r="L5" s="434" t="s">
        <v>204</v>
      </c>
      <c r="M5" s="419">
        <f>SUM(M6:M11)</f>
        <v>5.4478493895423691E-3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3.9138654212161193E-6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3.4867896365691455E-6</v>
      </c>
      <c r="E6" s="873">
        <f>vkm_GW_PW*SUMIFS(TableVerdeelsleutelVkm[LPG],TableVerdeelsleutelVkm[Voertuigtype],"Lichte voertuigen")*SUMIFS(TableECFTransport[EnergieConsumptieFactor (PJ per km)],TableECFTransport[Index],CONCATENATE($A6,"_LPG_LPG"))</f>
        <v>1.2549769447271848E-4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2.4598225594822224E-2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6.0304611062427411E-3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1.3855365966521983E-3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5.3900299765801593E-8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8.4346416373424424E-3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1.9226539312535556E-7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3.8083706627330946E-4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6.4160031408675447E-6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9.012351940059416E-6</v>
      </c>
      <c r="E8" s="422">
        <f>vkm_NGW_PW*SUMIFS(TableVerdeelsleutelVkm[LPG],TableVerdeelsleutelVkm[Voertuigtype],"Lichte voertuigen")*SUMIFS(TableECFTransport[EnergieConsumptieFactor (PJ per km)],TableECFTransport[Index],CONCATENATE($A8,"_LPG_LPG"))</f>
        <v>3.0871096498205744E-4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5.683937683265311E-2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1.4962893919048278E-2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3.2484491044433572E-3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4.7711944790266843E-8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9.5905303660960648E-3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2.054250991398739E-7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4.3302662217350449E-4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2.8976335573999257</v>
      </c>
      <c r="C14" s="21"/>
      <c r="D14" s="21">
        <f t="shared" ref="D14:M14" si="0">((D5)*10^9/3600)+D12</f>
        <v>3.4719837712857116</v>
      </c>
      <c r="E14" s="21">
        <f t="shared" si="0"/>
        <v>120.61351651521554</v>
      </c>
      <c r="F14" s="21"/>
      <c r="G14" s="21">
        <f t="shared" si="0"/>
        <v>27628.548453031624</v>
      </c>
      <c r="H14" s="21">
        <f t="shared" si="0"/>
        <v>5831.5979766064675</v>
      </c>
      <c r="I14" s="21"/>
      <c r="J14" s="21"/>
      <c r="K14" s="21"/>
      <c r="L14" s="21"/>
      <c r="M14" s="21">
        <f t="shared" si="0"/>
        <v>1513.2914970951026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0.19514136600715903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0.56544817057920516</v>
      </c>
      <c r="C18" s="23"/>
      <c r="D18" s="23">
        <f t="shared" ref="D18:M18" si="1">D14*D16</f>
        <v>0.70134072179971374</v>
      </c>
      <c r="E18" s="23">
        <f t="shared" si="1"/>
        <v>27.379268248953927</v>
      </c>
      <c r="F18" s="23"/>
      <c r="G18" s="23">
        <f t="shared" si="1"/>
        <v>7376.8224369594445</v>
      </c>
      <c r="H18" s="23">
        <f t="shared" si="1"/>
        <v>1452.0678961750104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9.5048786032489513E-6</v>
      </c>
      <c r="C50" s="316">
        <f t="shared" ref="C50:P50" si="2">SUM(C51:C52)</f>
        <v>0</v>
      </c>
      <c r="D50" s="316">
        <f t="shared" si="2"/>
        <v>0</v>
      </c>
      <c r="E50" s="316">
        <f t="shared" si="2"/>
        <v>0</v>
      </c>
      <c r="F50" s="316">
        <f t="shared" si="2"/>
        <v>0</v>
      </c>
      <c r="G50" s="316">
        <f t="shared" si="2"/>
        <v>1.8500707929893292E-3</v>
      </c>
      <c r="H50" s="316">
        <f t="shared" si="2"/>
        <v>0</v>
      </c>
      <c r="I50" s="316">
        <f t="shared" si="2"/>
        <v>0</v>
      </c>
      <c r="J50" s="316">
        <f t="shared" si="2"/>
        <v>0</v>
      </c>
      <c r="K50" s="316">
        <f t="shared" si="2"/>
        <v>0</v>
      </c>
      <c r="L50" s="316">
        <f t="shared" si="2"/>
        <v>0</v>
      </c>
      <c r="M50" s="316">
        <f t="shared" si="2"/>
        <v>8.2958728879595746E-5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9.5048786032489513E-6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1.8500707929893292E-3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8.2958728879595746E-5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2.6402440564580423</v>
      </c>
      <c r="C54" s="21">
        <f t="shared" ref="C54:P54" si="3">(C50)*10^9/3600</f>
        <v>0</v>
      </c>
      <c r="D54" s="21">
        <f t="shared" si="3"/>
        <v>0</v>
      </c>
      <c r="E54" s="21">
        <f t="shared" si="3"/>
        <v>0</v>
      </c>
      <c r="F54" s="21">
        <f t="shared" si="3"/>
        <v>0</v>
      </c>
      <c r="G54" s="21">
        <f t="shared" si="3"/>
        <v>513.90855360814703</v>
      </c>
      <c r="H54" s="21">
        <f t="shared" si="3"/>
        <v>0</v>
      </c>
      <c r="I54" s="21">
        <f t="shared" si="3"/>
        <v>0</v>
      </c>
      <c r="J54" s="21">
        <f t="shared" si="3"/>
        <v>0</v>
      </c>
      <c r="K54" s="21">
        <f t="shared" si="3"/>
        <v>0</v>
      </c>
      <c r="L54" s="21">
        <f t="shared" si="3"/>
        <v>0</v>
      </c>
      <c r="M54" s="21">
        <f t="shared" si="3"/>
        <v>23.04409135544326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0.19514136600715903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0.51522083176950506</v>
      </c>
      <c r="C58" s="23">
        <f t="shared" ref="C58:P58" ca="1" si="4">C54*C56</f>
        <v>0</v>
      </c>
      <c r="D58" s="23">
        <f t="shared" si="4"/>
        <v>0</v>
      </c>
      <c r="E58" s="23">
        <f t="shared" si="4"/>
        <v>0</v>
      </c>
      <c r="F58" s="23">
        <f t="shared" si="4"/>
        <v>0</v>
      </c>
      <c r="G58" s="23">
        <f t="shared" si="4"/>
        <v>137.21358381337527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2976.4617807236855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43.649999999999991</v>
      </c>
      <c r="C8" s="546">
        <f>B48</f>
        <v>0</v>
      </c>
      <c r="D8" s="1001"/>
      <c r="E8" s="1001">
        <f>E48</f>
        <v>0</v>
      </c>
      <c r="F8" s="1002"/>
      <c r="G8" s="547"/>
      <c r="H8" s="1001">
        <f>I48</f>
        <v>0</v>
      </c>
      <c r="I8" s="1001">
        <f>G48+F48</f>
        <v>0</v>
      </c>
      <c r="J8" s="1001">
        <f>H48+D48+C48</f>
        <v>51.35294117647058</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3020.1117807236856</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62.357142857142847</v>
      </c>
      <c r="C17" s="571">
        <f>B49</f>
        <v>0</v>
      </c>
      <c r="D17" s="572"/>
      <c r="E17" s="572">
        <f>E49</f>
        <v>0</v>
      </c>
      <c r="F17" s="1007"/>
      <c r="G17" s="573"/>
      <c r="H17" s="571">
        <f>I49</f>
        <v>0</v>
      </c>
      <c r="I17" s="572">
        <f>G49+F49</f>
        <v>0</v>
      </c>
      <c r="J17" s="572">
        <f>H49+D49+C49</f>
        <v>73.361344537815114</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45061</v>
      </c>
      <c r="C28" s="777">
        <v>9790</v>
      </c>
      <c r="D28" s="630"/>
      <c r="E28" s="629"/>
      <c r="F28" s="629"/>
      <c r="G28" s="629" t="s">
        <v>926</v>
      </c>
      <c r="H28" s="629" t="s">
        <v>927</v>
      </c>
      <c r="I28" s="629"/>
      <c r="J28" s="776"/>
      <c r="K28" s="776"/>
      <c r="L28" s="629" t="s">
        <v>928</v>
      </c>
      <c r="M28" s="629">
        <v>9.6999999999999993</v>
      </c>
      <c r="N28" s="629">
        <v>43.649999999999991</v>
      </c>
      <c r="O28" s="629">
        <v>62.357142857142847</v>
      </c>
      <c r="P28" s="629">
        <v>0</v>
      </c>
      <c r="Q28" s="629">
        <v>124.71428571428569</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9.6999999999999993</v>
      </c>
      <c r="N29" s="587">
        <f>SUM(N28:N28)</f>
        <v>43.649999999999991</v>
      </c>
      <c r="O29" s="587">
        <f>SUM(O28:O28)</f>
        <v>62.357142857142847</v>
      </c>
      <c r="P29" s="587">
        <f>SUM(P28:P28)</f>
        <v>0</v>
      </c>
      <c r="Q29" s="587">
        <f>SUM(Q28:Q28)</f>
        <v>124.71428571428569</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9.6999999999999993</v>
      </c>
      <c r="N32" s="592">
        <f>SUMIF($Z$28:$Z$28,"landbouw",N28:N28)</f>
        <v>43.649999999999991</v>
      </c>
      <c r="O32" s="592">
        <f>SUMIF($Z$28:$Z$28,"landbouw",O28:O28)</f>
        <v>62.357142857142847</v>
      </c>
      <c r="P32" s="592">
        <f>SUMIF($Z$28:$Z$28,"landbouw",P28:P28)</f>
        <v>0</v>
      </c>
      <c r="Q32" s="592">
        <f>SUMIF($Z$28:$Z$28,"landbouw",Q28:Q28)</f>
        <v>124.71428571428569</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51.35294117647058</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73.361344537815114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2021-11-11T13:26:43Z</dcterms:modified>
</cp:coreProperties>
</file>