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A00DEE3E-DE8C-42BA-9B47-092A88A1D90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47" i="18" s="1"/>
  <c r="N31" i="18"/>
  <c r="B8" i="18" s="1"/>
  <c r="M31" i="18"/>
  <c r="G22" i="18"/>
  <c r="F22" i="18"/>
  <c r="E22" i="18"/>
  <c r="D22" i="18"/>
  <c r="C22" i="18"/>
  <c r="L20" i="18"/>
  <c r="D20" i="18"/>
  <c r="G12" i="18"/>
  <c r="F12" i="18"/>
  <c r="E12" i="18"/>
  <c r="D12" i="18"/>
  <c r="C12" i="18"/>
  <c r="L10" i="18"/>
  <c r="K10" i="18"/>
  <c r="G10" i="18"/>
  <c r="D10" i="18"/>
  <c r="B6" i="18"/>
  <c r="B5" i="18"/>
  <c r="B4" i="18"/>
  <c r="B17" i="18" l="1"/>
  <c r="J9" i="18"/>
  <c r="F20" i="18"/>
  <c r="I51" i="18"/>
  <c r="H17" i="18" s="1"/>
  <c r="G51" i="18"/>
  <c r="I17" i="18" s="1"/>
  <c r="I20" i="18" s="1"/>
  <c r="F51" i="18"/>
  <c r="C51" i="18"/>
  <c r="B51" i="18"/>
  <c r="C17" i="18" s="1"/>
  <c r="C20" i="18" s="1"/>
  <c r="B20" i="18"/>
  <c r="C47" i="18"/>
  <c r="O18" i="18"/>
  <c r="H20" i="18"/>
  <c r="G20" i="18"/>
  <c r="K20" i="18"/>
  <c r="B10" i="18"/>
  <c r="O19" i="18"/>
  <c r="O9" i="18"/>
  <c r="D51" i="18"/>
  <c r="H51" i="18"/>
  <c r="E50" i="18"/>
  <c r="E8" i="18" s="1"/>
  <c r="E10" i="18" s="1"/>
  <c r="E51" i="18"/>
  <c r="E17" i="18" s="1"/>
  <c r="E20" i="18" s="1"/>
  <c r="N6" i="17"/>
  <c r="I50" i="18" l="1"/>
  <c r="H8" i="18" s="1"/>
  <c r="H10" i="18" s="1"/>
  <c r="G50" i="18"/>
  <c r="F50" i="18"/>
  <c r="D50" i="18"/>
  <c r="C50" i="18"/>
  <c r="B50" i="18"/>
  <c r="C8" i="18" s="1"/>
  <c r="C10" i="18" s="1"/>
  <c r="H50" i="18"/>
  <c r="J17" i="18"/>
  <c r="J20" i="18" s="1"/>
  <c r="L6" i="17"/>
  <c r="F6" i="17"/>
  <c r="D6" i="17"/>
  <c r="C6" i="17"/>
  <c r="N16" i="16"/>
  <c r="L16" i="16"/>
  <c r="F16" i="16"/>
  <c r="D16" i="16"/>
  <c r="C16" i="16"/>
  <c r="B16" i="16"/>
  <c r="B13" i="15"/>
  <c r="J8" i="18" l="1"/>
  <c r="J10" i="18" s="1"/>
  <c r="I8" i="18"/>
  <c r="I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8" i="18" l="1"/>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6" i="22"/>
  <c r="D8"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5" i="13" l="1"/>
  <c r="C35" i="13" s="1"/>
  <c r="B33" i="13"/>
  <c r="B36" i="13"/>
  <c r="B32" i="13"/>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O33" i="48" l="1"/>
  <c r="H22" i="14"/>
  <c r="H27" i="14" s="1"/>
  <c r="M9" i="48"/>
  <c r="M27" i="48" s="1"/>
  <c r="M33" i="48" s="1"/>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<sst xmlns="http://schemas.openxmlformats.org/spreadsheetml/2006/main" count="2526" uniqueCount="929">
  <si>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</si>
  <si>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</si>
  <si>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</si>
  <si>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</si>
  <si>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</si>
  <si>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</si>
  <si>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</si>
  <si>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</si>
  <si>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</si>
  <si>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</si>
  <si>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</si>
  <si>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</si>
  <si>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</si>
  <si>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</si>
  <si>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</si>
  <si>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</si>
  <si>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</si>
  <si>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</si>
  <si>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</si>
  <si>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</si>
  <si>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</si>
  <si>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</si>
  <si>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</si>
  <si>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</si>
  <si>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</si>
  <si>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</si>
  <si>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</si>
  <si>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</si>
  <si>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</si>
  <si>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</si>
  <si>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</si>
  <si>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</si>
  <si>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</si>
  <si>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</si>
  <si>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</si>
  <si>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</si>
  <si>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</si>
  <si>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</si>
  <si>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</si>
  <si>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</si>
  <si>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</si>
  <si>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</si>
  <si>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</si>
  <si>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</si>
  <si>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</si>
  <si>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</si>
  <si>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</si>
  <si>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</si>
  <si>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</si>
  <si>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</si>
  <si>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</si>
  <si>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</si>
  <si>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</si>
  <si>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</si>
  <si>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</si>
  <si>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</si>
  <si>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</si>
  <si>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</si>
  <si>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</si>
  <si>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</si>
  <si>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</si>
  <si>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</si>
  <si>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</si>
  <si>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</si>
  <si>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</si>
  <si>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</si>
  <si>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</si>
  <si>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</si>
  <si>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</si>
  <si>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</si>
  <si>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</si>
  <si>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</si>
  <si>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</si>
  <si>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</si>
  <si>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</si>
  <si>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</si>
  <si>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</si>
  <si>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</si>
  <si>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</si>
  <si>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</si>
  <si>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</si>
  <si>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</si>
  <si>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</si>
  <si>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</si>
  <si>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</si>
  <si>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</si>
  <si>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</si>
  <si>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</si>
  <si>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</si>
  <si>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</si>
  <si>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</si>
  <si>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</si>
  <si>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</si>
  <si>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</si>
  <si>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</si>
  <si>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</si>
  <si>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</si>
  <si>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</si>
  <si>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</si>
  <si>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</si>
  <si>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</si>
  <si>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</si>
  <si>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</si>
  <si>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</si>
  <si>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</si>
  <si>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</si>
  <si>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</si>
  <si>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</si>
  <si>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</si>
  <si>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</si>
  <si>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</si>
  <si>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</si>
  <si>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</si>
  <si>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</si>
  <si>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</si>
  <si>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</si>
  <si>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</si>
  <si>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</si>
  <si>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</si>
  <si>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</si>
  <si>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</si>
  <si>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</si>
  <si>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</si>
  <si>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</si>
  <si>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</si>
  <si>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</si>
  <si>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</si>
  <si>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</si>
  <si>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</si>
  <si>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</si>
  <si>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</si>
  <si>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</si>
  <si>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</si>
  <si>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</si>
  <si>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</si>
  <si>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</si>
  <si>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</si>
  <si>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</si>
  <si>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</si>
  <si>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</si>
  <si>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</si>
  <si>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</si>
  <si>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</si>
  <si>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</si>
  <si>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</si>
  <si>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</si>
  <si>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</si>
  <si>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</si>
  <si>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</si>
  <si>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</si>
  <si>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</si>
  <si>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</si>
  <si>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</si>
  <si>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</si>
  <si>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</si>
  <si>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</si>
  <si>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</si>
  <si>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</si>
  <si>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</si>
  <si>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</si>
  <si>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</si>
  <si>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</si>
  <si>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</si>
  <si>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</si>
  <si>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</si>
  <si>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</si>
  <si>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</si>
  <si>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</si>
  <si>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</si>
  <si>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</si>
  <si>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</si>
  <si>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</si>
  <si>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</si>
  <si>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</si>
  <si>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</si>
  <si>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</si>
  <si>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</si>
  <si>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</si>
  <si>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</si>
  <si>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</si>
  <si>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</si>
  <si>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</si>
  <si>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</si>
  <si>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</si>
  <si>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</si>
  <si>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</si>
  <si>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</si>
  <si>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</si>
  <si>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</si>
  <si>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</si>
  <si>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</si>
  <si>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</si>
  <si>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</si>
  <si>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</si>
  <si>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</si>
  <si>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</si>
  <si>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</si>
  <si>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</si>
  <si>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</si>
  <si>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</si>
  <si>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</si>
  <si>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</si>
  <si>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</si>
  <si>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</si>
  <si>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</si>
  <si>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</si>
  <si>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</si>
  <si>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</si>
  <si>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</si>
  <si>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</si>
  <si>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</si>
  <si>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</si>
  <si>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</si>
  <si>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</si>
  <si>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</si>
  <si>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</si>
  <si>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</si>
  <si>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</si>
  <si>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</si>
  <si>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</si>
  <si>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</si>
  <si>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</si>
  <si>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</si>
  <si>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</si>
  <si>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</si>
  <si>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</si>
  <si>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</si>
  <si>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</si>
  <si>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</si>
  <si>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</si>
  <si>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</si>
  <si>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</si>
  <si>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</si>
  <si>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</si>
  <si>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</si>
  <si>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</si>
  <si>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</si>
  <si>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</si>
  <si>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</si>
  <si>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</si>
  <si>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</si>
  <si>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</si>
  <si>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</si>
  <si>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</si>
  <si>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</si>
  <si>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</si>
  <si>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</si>
  <si>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</si>
  <si>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</si>
  <si>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</si>
  <si>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</si>
  <si>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</si>
  <si>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</si>
  <si>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</si>
  <si>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</si>
  <si>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</si>
  <si>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</si>
  <si>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</si>
  <si>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</si>
  <si>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</si>
  <si>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</si>
  <si>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</si>
  <si>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</si>
  <si>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</si>
  <si>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</si>
  <si>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</si>
  <si>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</si>
  <si>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</si>
  <si>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</si>
  <si>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</si>
  <si>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</si>
  <si>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</si>
  <si>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</si>
  <si>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</si>
  <si>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</si>
  <si>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</si>
  <si>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</si>
  <si>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</si>
  <si>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</si>
  <si>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</si>
  <si>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</si>
  <si>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</si>
  <si>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</si>
  <si>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</si>
  <si>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</si>
  <si>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</si>
  <si>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</si>
  <si>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</si>
  <si>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</si>
  <si>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</si>
  <si>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</si>
  <si>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</si>
  <si>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</si>
  <si>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</si>
  <si>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</si>
  <si>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</si>
  <si>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</si>
  <si>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</si>
  <si>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</si>
  <si>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</si>
  <si>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</si>
  <si>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</si>
  <si>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</si>
  <si>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</si>
  <si>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</si>
  <si>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</si>
  <si>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</si>
  <si>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</si>
  <si>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</si>
  <si>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</si>
  <si>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</si>
  <si>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</si>
  <si>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</si>
  <si>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</si>
  <si>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</si>
  <si>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</si>
  <si>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</si>
  <si>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</si>
  <si>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</si>
  <si>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</si>
  <si>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</si>
  <si>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</si>
  <si>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</si>
  <si>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</si>
  <si>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</si>
  <si>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</si>
  <si>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</si>
  <si>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</si>
  <si>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</si>
  <si>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</si>
  <si>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</si>
  <si>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</si>
  <si>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</si>
  <si>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</si>
  <si>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</si>
  <si>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</si>
  <si>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</si>
  <si>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</si>
  <si>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</si>
  <si>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</si>
  <si>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</si>
  <si>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</si>
  <si>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</si>
  <si>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</si>
  <si>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</si>
  <si>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</si>
  <si>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</si>
  <si>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</si>
  <si>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</si>
  <si>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</si>
  <si>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</si>
  <si>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</si>
  <si>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</si>
  <si>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</si>
  <si>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</si>
  <si>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</si>
  <si>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</si>
  <si>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</si>
  <si>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</si>
  <si>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</si>
  <si>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</si>
  <si>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</si>
  <si>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</si>
  <si>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</si>
  <si>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</si>
  <si>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</si>
  <si>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</si>
  <si>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</si>
  <si>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</si>
  <si>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</si>
  <si>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</si>
  <si>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</si>
  <si>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</si>
  <si>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</si>
  <si>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</si>
  <si>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</si>
  <si>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</si>
  <si>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</si>
  <si>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</si>
  <si>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</si>
  <si>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</si>
  <si>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</si>
  <si>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</si>
  <si>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</si>
  <si>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</si>
  <si>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</si>
  <si>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</si>
  <si>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</si>
  <si>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</si>
  <si>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</si>
  <si>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</si>
  <si>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</si>
  <si>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</si>
  <si>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</si>
  <si>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</si>
  <si>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</si>
  <si>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</si>
  <si>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</si>
  <si>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</si>
  <si>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</si>
  <si>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</si>
  <si>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</si>
  <si>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</si>
  <si>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</si>
  <si>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</si>
  <si>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</si>
  <si>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</si>
  <si>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</si>
  <si>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</si>
  <si>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</si>
  <si>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</si>
  <si>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</si>
  <si>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</si>
  <si>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</si>
  <si>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</si>
  <si>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</si>
  <si>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</si>
  <si>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</si>
  <si>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</si>
  <si>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</si>
  <si>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</si>
  <si>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</si>
  <si>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</si>
  <si>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</si>
  <si>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</si>
  <si>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</si>
  <si>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</si>
  <si>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</si>
  <si>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</si>
  <si>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</si>
  <si>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</si>
  <si>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</si>
  <si>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</si>
  <si>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</si>
  <si>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</si>
  <si>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</si>
  <si>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</si>
  <si>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</si>
  <si>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</si>
  <si>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</si>
  <si>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</si>
  <si>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</si>
  <si>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</si>
  <si>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</si>
  <si>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</si>
  <si>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</si>
  <si>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</si>
  <si>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</si>
  <si>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</si>
  <si>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</si>
  <si>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</si>
  <si>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</si>
  <si>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</si>
  <si>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</si>
  <si>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</si>
  <si>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</si>
  <si>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</si>
  <si>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</si>
  <si>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</si>
  <si>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</si>
  <si>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</si>
  <si>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</si>
  <si>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</si>
  <si>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</si>
  <si>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</si>
  <si>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</si>
  <si>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</si>
  <si>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</si>
  <si>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</si>
  <si>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</si>
  <si>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</si>
  <si>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</si>
  <si>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</si>
  <si>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</si>
  <si>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</si>
  <si>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</si>
  <si>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</si>
  <si>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</si>
  <si>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</si>
  <si>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</si>
  <si>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</si>
  <si>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</si>
  <si>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</si>
  <si>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</si>
  <si>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</si>
  <si>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</si>
  <si>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</si>
  <si>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</si>
  <si>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</si>
  <si>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</si>
  <si>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</si>
  <si>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</si>
  <si>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</si>
  <si>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</si>
  <si>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</si>
  <si>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</si>
  <si>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</si>
  <si>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</si>
  <si>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</si>
  <si>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</si>
  <si>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</si>
  <si>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</si>
  <si>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</si>
  <si>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</si>
  <si>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</si>
  <si>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</si>
  <si>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</si>
  <si>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</si>
  <si>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</si>
  <si>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</si>
  <si>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</si>
  <si>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</si>
  <si>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</si>
  <si>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</si>
  <si>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</si>
  <si>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</si>
  <si>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</si>
  <si>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</si>
  <si>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</si>
  <si>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</si>
  <si>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</si>
  <si>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</si>
  <si>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</si>
  <si>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</si>
  <si>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</si>
  <si>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</si>
  <si>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</si>
  <si>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</si>
  <si>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</si>
  <si>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</si>
  <si>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</si>
  <si>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</si>
  <si>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</si>
  <si>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</si>
  <si>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</si>
  <si>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</si>
  <si>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</si>
  <si>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</si>
  <si>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</si>
  <si>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</si>
  <si>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</si>
  <si>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</si>
  <si>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</si>
  <si>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</si>
  <si>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</si>
  <si>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</si>
  <si>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</si>
  <si>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</si>
  <si>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</si>
  <si>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</si>
  <si>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</si>
  <si>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</si>
  <si>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</si>
  <si>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</si>
  <si>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</si>
  <si>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</si>
  <si>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</si>
  <si>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</si>
  <si>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</si>
  <si>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</si>
  <si>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</si>
  <si>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</si>
  <si>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</si>
  <si>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</si>
  <si>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</si>
  <si>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</si>
  <si>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</si>
  <si>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</si>
  <si>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</si>
  <si>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</si>
  <si>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</si>
  <si>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</si>
  <si>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</si>
  <si>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</si>
  <si>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</si>
  <si>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</si>
  <si>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</si>
  <si>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</si>
  <si>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</si>
  <si>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</si>
  <si>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</si>
  <si>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</si>
  <si>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</si>
  <si>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</si>
  <si>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</si>
  <si>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</si>
  <si>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</si>
  <si>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</si>
  <si>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</si>
  <si>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</si>
  <si>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</si>
  <si>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</si>
  <si>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</si>
  <si>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</si>
  <si>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</si>
  <si>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</si>
  <si>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</si>
  <si>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</si>
  <si>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</si>
  <si>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</si>
  <si>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</si>
  <si>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</si>
  <si>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</si>
  <si>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</si>
  <si>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</si>
  <si>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</si>
  <si>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</si>
  <si>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</si>
  <si>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</si>
  <si>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</si>
  <si>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</si>
  <si>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</si>
  <si>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</si>
  <si>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</si>
  <si>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</si>
  <si>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</si>
  <si>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</si>
  <si>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</si>
  <si>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</si>
  <si>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</si>
  <si>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</si>
  <si>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</si>
  <si>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</si>
  <si>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</si>
  <si>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</si>
  <si>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</si>
  <si>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</si>
  <si>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</si>
  <si>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</si>
  <si>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</si>
  <si>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</si>
  <si>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</si>
  <si>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</si>
  <si>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</si>
  <si>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</si>
  <si>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</si>
  <si>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</si>
  <si>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</si>
  <si>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</si>
  <si>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</si>
  <si>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</si>
  <si>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</si>
  <si>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</si>
  <si>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</si>
  <si>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</si>
  <si>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</si>
  <si>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</si>
  <si>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</si>
  <si>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</si>
  <si>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</si>
  <si>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</si>
  <si>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</si>
  <si>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</si>
  <si>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</si>
  <si>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</si>
  <si>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</si>
  <si>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</si>
  <si>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</si>
  <si>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</si>
  <si>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</si>
  <si>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</si>
  <si>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</si>
  <si>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</si>
  <si>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</si>
  <si>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</si>
  <si>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</si>
  <si>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</si>
  <si>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</si>
  <si>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</si>
  <si>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</si>
  <si>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</si>
  <si>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</si>
  <si>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</si>
  <si>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</si>
  <si>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</si>
  <si>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</si>
  <si>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</si>
  <si>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</si>
  <si>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</si>
  <si>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</si>
  <si>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</si>
  <si>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</si>
  <si>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</si>
  <si>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</si>
  <si>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</si>
  <si>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</si>
  <si>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</si>
  <si>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</si>
  <si>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</si>
  <si>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</si>
  <si>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</si>
  <si>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</si>
  <si>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</si>
  <si>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</si>
  <si>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</si>
  <si>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</si>
  <si>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</si>
  <si>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</si>
  <si>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</si>
  <si>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</si>
  <si>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</si>
  <si>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</si>
  <si>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</si>
  <si>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</si>
  <si>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</si>
  <si>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</si>
  <si>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</si>
  <si>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</si>
  <si>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</si>
  <si>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</si>
  <si>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</si>
  <si>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</si>
  <si>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</si>
  <si>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</si>
  <si>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</si>
  <si>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</si>
  <si>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</si>
  <si>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</si>
  <si>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</si>
  <si>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</si>
  <si>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</si>
  <si>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</si>
  <si>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</si>
  <si>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</si>
  <si>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</si>
  <si>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</si>
  <si>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</si>
  <si>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</si>
  <si>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</si>
  <si>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</si>
  <si>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</si>
  <si>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</si>
  <si>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</si>
  <si>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</si>
  <si>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</si>
  <si>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</si>
  <si>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</si>
  <si>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</si>
  <si>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</si>
  <si>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</si>
  <si>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</si>
  <si>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</si>
  <si>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</si>
  <si>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</si>
  <si>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</si>
  <si>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</si>
  <si>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</si>
  <si>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</si>
  <si>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</si>
  <si>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</si>
  <si>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</si>
  <si>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</si>
  <si>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</si>
  <si>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</si>
  <si>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</si>
  <si>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</si>
  <si>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</si>
  <si>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</si>
  <si>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</si>
  <si>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</si>
  <si>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</si>
  <si>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</si>
  <si>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</si>
  <si>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</si>
  <si>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</si>
  <si>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</si>
  <si>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</si>
  <si>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</si>
  <si>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</si>
  <si>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</si>
  <si>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</si>
  <si>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</si>
  <si>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</si>
  <si>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</si>
  <si>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</si>
  <si>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</si>
  <si>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</si>
  <si>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</si>
  <si>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</si>
  <si>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</si>
  <si>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</si>
  <si>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</si>
  <si>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</si>
  <si>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</si>
  <si>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</si>
  <si>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</si>
  <si>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</si>
  <si>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</si>
  <si>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</si>
  <si>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</si>
  <si>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</si>
  <si>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</si>
  <si>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</si>
  <si>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</si>
  <si>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</si>
  <si>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</si>
  <si>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</si>
  <si>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</si>
  <si>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</si>
  <si>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</si>
  <si>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</si>
  <si>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</si>
  <si>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</si>
  <si>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</si>
  <si>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</si>
  <si>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</si>
  <si>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</si>
  <si>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</si>
  <si>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</si>
  <si>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</si>
  <si>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</si>
  <si>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</si>
  <si>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</si>
  <si>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</si>
  <si>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</si>
  <si>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</si>
  <si>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</si>
  <si>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</si>
  <si>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</si>
  <si>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</si>
  <si>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</si>
  <si>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</si>
  <si>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</si>
  <si>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</si>
  <si>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</si>
  <si>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</si>
  <si>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</si>
  <si>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</si>
  <si>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</si>
  <si>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</si>
  <si>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</si>
  <si>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</si>
  <si>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</si>
  <si>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</si>
  <si>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</si>
  <si>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</si>
  <si>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</si>
  <si>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</si>
  <si>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</si>
  <si>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</si>
  <si>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</si>
  <si>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</si>
  <si>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</si>
  <si>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</si>
  <si>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</si>
  <si>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</si>
  <si>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</si>
  <si>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</si>
  <si>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</si>
  <si>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</si>
  <si>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</si>
  <si>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</si>
  <si>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</si>
  <si>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</si>
  <si>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</si>
  <si>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</si>
  <si>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</si>
  <si>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</si>
  <si>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</si>
  <si>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</si>
  <si>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</si>
  <si>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</si>
  <si>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</si>
  <si>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</si>
  <si>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</si>
  <si>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</si>
  <si>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</si>
  <si>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</si>
  <si>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</si>
  <si>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</si>
  <si>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</si>
  <si>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</si>
  <si>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</si>
  <si>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</si>
  <si>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</si>
  <si>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</si>
  <si>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</si>
  <si>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</si>
  <si>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</si>
  <si>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</si>
  <si>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</si>
  <si>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</si>
  <si>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</si>
  <si>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</si>
  <si>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</si>
  <si>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</si>
  <si>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</si>
  <si>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</si>
  <si>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</si>
  <si>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</si>
  <si>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</si>
  <si>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</si>
  <si>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</si>
  <si>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</si>
  <si>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</si>
  <si>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</si>
  <si>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</si>
  <si>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</si>
  <si>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</si>
  <si>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</si>
  <si>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</si>
  <si>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</si>
  <si>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</si>
  <si>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</si>
  <si>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</si>
  <si>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</si>
  <si>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</si>
  <si>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</si>
  <si>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</si>
  <si>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</si>
  <si>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</si>
  <si>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</si>
  <si>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</si>
  <si>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</si>
  <si>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</si>
  <si>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</si>
  <si>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</si>
  <si>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</si>
  <si>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</si>
  <si>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44049</t>
  </si>
  <si>
    <t>NEVELE</t>
  </si>
  <si>
    <t>Cultuurgrond (ha)</t>
  </si>
  <si>
    <t>Paarden&amp;pony's 200 - 600 kg</t>
  </si>
  <si>
    <t>Paarden&amp;pony's &lt; 200 kg</t>
  </si>
  <si>
    <t>Fluvius</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</si>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</sst>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A342DEA1-030A-4D58-AB43-7BD024533AB8}"/>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118150.45413689358</c:v>
                </c:pt>
                <c:pt idx="1">
                  <c:v>36675.176219601344</c:v>
                </c:pt>
                <c:pt idx="2">
                  <c:v>1185.2619999999999</c:v>
                </c:pt>
                <c:pt idx="3">
                  <c:v>64464.502275470215</c:v>
                </c:pt>
                <c:pt idx="4">
                  <c:v>9530.7302118246716</c:v>
                </c:pt>
                <c:pt idx="5">
                  <c:v>261006.03478732012</c:v>
                </c:pt>
                <c:pt idx="6">
                  <c:v>359.48296866550174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118150.45413689358</c:v>
                </c:pt>
                <c:pt idx="1">
                  <c:v>36675.176219601344</c:v>
                </c:pt>
                <c:pt idx="2">
                  <c:v>1185.2619999999999</c:v>
                </c:pt>
                <c:pt idx="3">
                  <c:v>64464.502275470215</c:v>
                </c:pt>
                <c:pt idx="4">
                  <c:v>9530.7302118246716</c:v>
                </c:pt>
                <c:pt idx="5">
                  <c:v>261006.03478732012</c:v>
                </c:pt>
                <c:pt idx="6">
                  <c:v>359.48296866550174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25940.54320328802</c:v>
                </c:pt>
                <c:pt idx="2">
                  <c:v>7455.7087948980397</c:v>
                </c:pt>
                <c:pt idx="3">
                  <c:v>253.56619025878743</c:v>
                </c:pt>
                <c:pt idx="4">
                  <c:v>15245.522463237165</c:v>
                </c:pt>
                <c:pt idx="5">
                  <c:v>2064.798079519453</c:v>
                </c:pt>
                <c:pt idx="6">
                  <c:v>66111.374125631264</c:v>
                </c:pt>
                <c:pt idx="7">
                  <c:v>91.789561663356039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25940.54320328802</c:v>
                </c:pt>
                <c:pt idx="2">
                  <c:v>7455.7087948980397</c:v>
                </c:pt>
                <c:pt idx="3">
                  <c:v>253.56619025878743</c:v>
                </c:pt>
                <c:pt idx="4">
                  <c:v>15245.522463237165</c:v>
                </c:pt>
                <c:pt idx="5">
                  <c:v>2064.798079519453</c:v>
                </c:pt>
                <c:pt idx="6">
                  <c:v>66111.374125631264</c:v>
                </c:pt>
                <c:pt idx="7">
                  <c:v>91.789561663356039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44049</v>
      </c>
      <c r="B6" s="385"/>
      <c r="C6" s="386"/>
    </row>
    <row r="7" spans="1:7" s="383" customFormat="1" ht="15.75" customHeight="1">
      <c r="A7" s="387" t="str">
        <f>txtMunicipality</f>
        <v>NEVELE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13976.280178345418</v>
      </c>
      <c r="D10" s="676">
        <f ca="1">tertiair!C16</f>
        <v>0</v>
      </c>
      <c r="E10" s="676">
        <f ca="1">tertiair!D16</f>
        <v>19857.005560964277</v>
      </c>
      <c r="F10" s="676">
        <f>tertiair!E16</f>
        <v>159.38914951482658</v>
      </c>
      <c r="G10" s="676">
        <f ca="1">tertiair!F16</f>
        <v>2516.8406848934997</v>
      </c>
      <c r="H10" s="676">
        <f>tertiair!G16</f>
        <v>0</v>
      </c>
      <c r="I10" s="676">
        <f>tertiair!H16</f>
        <v>0</v>
      </c>
      <c r="J10" s="676">
        <f>tertiair!I16</f>
        <v>0</v>
      </c>
      <c r="K10" s="676">
        <f>tertiair!J16</f>
        <v>0</v>
      </c>
      <c r="L10" s="676">
        <f>tertiair!K16</f>
        <v>0</v>
      </c>
      <c r="M10" s="676">
        <f ca="1">tertiair!L16</f>
        <v>0</v>
      </c>
      <c r="N10" s="676">
        <f>tertiair!M16</f>
        <v>0</v>
      </c>
      <c r="O10" s="676">
        <f ca="1">tertiair!N16</f>
        <v>1287.469312549995</v>
      </c>
      <c r="P10" s="676">
        <f>tertiair!O16</f>
        <v>6.2533333333333339</v>
      </c>
      <c r="Q10" s="677">
        <f>tertiair!P16</f>
        <v>57.2</v>
      </c>
      <c r="R10" s="679">
        <f ca="1">SUM(C10:Q10)</f>
        <v>37860.438219601347</v>
      </c>
      <c r="S10" s="67"/>
    </row>
    <row r="11" spans="1:19" s="444" customFormat="1">
      <c r="A11" s="791" t="s">
        <v>214</v>
      </c>
      <c r="B11" s="796"/>
      <c r="C11" s="676">
        <f>huishoudens!B8</f>
        <v>25069.519517655172</v>
      </c>
      <c r="D11" s="676">
        <f>huishoudens!C8</f>
        <v>0</v>
      </c>
      <c r="E11" s="676">
        <f>huishoudens!D8</f>
        <v>30632.475211542536</v>
      </c>
      <c r="F11" s="676">
        <f>huishoudens!E8</f>
        <v>1670.3361609171204</v>
      </c>
      <c r="G11" s="676">
        <f>huishoudens!F8</f>
        <v>51188.241313736842</v>
      </c>
      <c r="H11" s="676">
        <f>huishoudens!G8</f>
        <v>0</v>
      </c>
      <c r="I11" s="676">
        <f>huishoudens!H8</f>
        <v>0</v>
      </c>
      <c r="J11" s="676">
        <f>huishoudens!I8</f>
        <v>0</v>
      </c>
      <c r="K11" s="676">
        <f>huishoudens!J8</f>
        <v>969.40336576715174</v>
      </c>
      <c r="L11" s="676">
        <f>huishoudens!K8</f>
        <v>0</v>
      </c>
      <c r="M11" s="676">
        <f>huishoudens!L8</f>
        <v>0</v>
      </c>
      <c r="N11" s="676">
        <f>huishoudens!M8</f>
        <v>0</v>
      </c>
      <c r="O11" s="676">
        <f>huishoudens!N8</f>
        <v>7941.8352339414114</v>
      </c>
      <c r="P11" s="676">
        <f>huishoudens!O8</f>
        <v>182.91000000000003</v>
      </c>
      <c r="Q11" s="677">
        <f>huishoudens!P8</f>
        <v>495.73333333333335</v>
      </c>
      <c r="R11" s="679">
        <f>SUM(C11:Q11)</f>
        <v>118150.45413689358</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3564.9379204637571</v>
      </c>
      <c r="D13" s="676">
        <f>industrie!C18</f>
        <v>0</v>
      </c>
      <c r="E13" s="676">
        <f>industrie!D18</f>
        <v>2370.540414418705</v>
      </c>
      <c r="F13" s="676">
        <f>industrie!E18</f>
        <v>594.98026210788703</v>
      </c>
      <c r="G13" s="676">
        <f>industrie!F18</f>
        <v>2574.3896434525923</v>
      </c>
      <c r="H13" s="676">
        <f>industrie!G18</f>
        <v>0</v>
      </c>
      <c r="I13" s="676">
        <f>industrie!H18</f>
        <v>0</v>
      </c>
      <c r="J13" s="676">
        <f>industrie!I18</f>
        <v>0</v>
      </c>
      <c r="K13" s="676">
        <f>industrie!J18</f>
        <v>2.4573348065491705</v>
      </c>
      <c r="L13" s="676">
        <f>industrie!K18</f>
        <v>0</v>
      </c>
      <c r="M13" s="676">
        <f>industrie!L18</f>
        <v>0</v>
      </c>
      <c r="N13" s="676">
        <f>industrie!M18</f>
        <v>0</v>
      </c>
      <c r="O13" s="676">
        <f>industrie!N18</f>
        <v>423.42463657518039</v>
      </c>
      <c r="P13" s="676">
        <f>industrie!O18</f>
        <v>0</v>
      </c>
      <c r="Q13" s="677">
        <f>industrie!P18</f>
        <v>0</v>
      </c>
      <c r="R13" s="679">
        <f>SUM(C13:Q13)</f>
        <v>9530.7302118246716</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42610.73761646435</v>
      </c>
      <c r="D16" s="711">
        <f t="shared" ref="D16:R16" ca="1" si="0">SUM(D9:D15)</f>
        <v>0</v>
      </c>
      <c r="E16" s="711">
        <f t="shared" ca="1" si="0"/>
        <v>52860.021186925514</v>
      </c>
      <c r="F16" s="711">
        <f t="shared" si="0"/>
        <v>2424.7055725398341</v>
      </c>
      <c r="G16" s="711">
        <f t="shared" ca="1" si="0"/>
        <v>56279.471642082935</v>
      </c>
      <c r="H16" s="711">
        <f t="shared" si="0"/>
        <v>0</v>
      </c>
      <c r="I16" s="711">
        <f t="shared" si="0"/>
        <v>0</v>
      </c>
      <c r="J16" s="711">
        <f t="shared" si="0"/>
        <v>0</v>
      </c>
      <c r="K16" s="711">
        <f t="shared" si="0"/>
        <v>971.86070057370091</v>
      </c>
      <c r="L16" s="711">
        <f t="shared" si="0"/>
        <v>0</v>
      </c>
      <c r="M16" s="711">
        <f t="shared" ca="1" si="0"/>
        <v>0</v>
      </c>
      <c r="N16" s="711">
        <f t="shared" si="0"/>
        <v>0</v>
      </c>
      <c r="O16" s="711">
        <f t="shared" ca="1" si="0"/>
        <v>9652.7291830665872</v>
      </c>
      <c r="P16" s="711">
        <f t="shared" si="0"/>
        <v>189.16333333333336</v>
      </c>
      <c r="Q16" s="711">
        <f t="shared" si="0"/>
        <v>552.93333333333339</v>
      </c>
      <c r="R16" s="711">
        <f t="shared" ca="1" si="0"/>
        <v>165541.62256831958</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1.7589608586960443</v>
      </c>
      <c r="D19" s="676">
        <f>transport!C54</f>
        <v>0</v>
      </c>
      <c r="E19" s="676">
        <f>transport!D54</f>
        <v>0</v>
      </c>
      <c r="F19" s="676">
        <f>transport!E54</f>
        <v>0</v>
      </c>
      <c r="G19" s="676">
        <f>transport!F54</f>
        <v>0</v>
      </c>
      <c r="H19" s="676">
        <f>transport!G54</f>
        <v>342.37176996375661</v>
      </c>
      <c r="I19" s="676">
        <f>transport!H54</f>
        <v>0</v>
      </c>
      <c r="J19" s="676">
        <f>transport!I54</f>
        <v>0</v>
      </c>
      <c r="K19" s="676">
        <f>transport!J54</f>
        <v>0</v>
      </c>
      <c r="L19" s="676">
        <f>transport!K54</f>
        <v>0</v>
      </c>
      <c r="M19" s="676">
        <f>transport!L54</f>
        <v>0</v>
      </c>
      <c r="N19" s="676">
        <f>transport!M54</f>
        <v>15.352237843049085</v>
      </c>
      <c r="O19" s="676">
        <f>transport!N54</f>
        <v>0</v>
      </c>
      <c r="P19" s="676">
        <f>transport!O54</f>
        <v>0</v>
      </c>
      <c r="Q19" s="677">
        <f>transport!P54</f>
        <v>0</v>
      </c>
      <c r="R19" s="679">
        <f>SUM(C19:Q19)</f>
        <v>359.48296866550174</v>
      </c>
      <c r="S19" s="67"/>
    </row>
    <row r="20" spans="1:19" s="444" customFormat="1">
      <c r="A20" s="791" t="s">
        <v>296</v>
      </c>
      <c r="B20" s="796"/>
      <c r="C20" s="676">
        <f>transport!B14</f>
        <v>18.906524672706468</v>
      </c>
      <c r="D20" s="676">
        <f>transport!C14</f>
        <v>0</v>
      </c>
      <c r="E20" s="676">
        <f>transport!D14</f>
        <v>16.981011290482005</v>
      </c>
      <c r="F20" s="676">
        <f>transport!E14</f>
        <v>696.66979191869916</v>
      </c>
      <c r="G20" s="676">
        <f>transport!F14</f>
        <v>0</v>
      </c>
      <c r="H20" s="676">
        <f>transport!G14</f>
        <v>218916.87234936975</v>
      </c>
      <c r="I20" s="676">
        <f>transport!H14</f>
        <v>30100.20192442117</v>
      </c>
      <c r="J20" s="676">
        <f>transport!I14</f>
        <v>0</v>
      </c>
      <c r="K20" s="676">
        <f>transport!J14</f>
        <v>0</v>
      </c>
      <c r="L20" s="676">
        <f>transport!K14</f>
        <v>0</v>
      </c>
      <c r="M20" s="676">
        <f>transport!L14</f>
        <v>0</v>
      </c>
      <c r="N20" s="676">
        <f>transport!M14</f>
        <v>11256.403185647325</v>
      </c>
      <c r="O20" s="676">
        <f>transport!N14</f>
        <v>0</v>
      </c>
      <c r="P20" s="676">
        <f>transport!O14</f>
        <v>0</v>
      </c>
      <c r="Q20" s="677">
        <f>transport!P14</f>
        <v>0</v>
      </c>
      <c r="R20" s="679">
        <f>SUM(C20:Q20)</f>
        <v>261006.03478732012</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20.665485531402513</v>
      </c>
      <c r="D22" s="794">
        <f t="shared" ref="D22:R22" si="1">SUM(D18:D21)</f>
        <v>0</v>
      </c>
      <c r="E22" s="794">
        <f t="shared" si="1"/>
        <v>16.981011290482005</v>
      </c>
      <c r="F22" s="794">
        <f t="shared" si="1"/>
        <v>696.66979191869916</v>
      </c>
      <c r="G22" s="794">
        <f t="shared" si="1"/>
        <v>0</v>
      </c>
      <c r="H22" s="794">
        <f t="shared" si="1"/>
        <v>219259.24411933351</v>
      </c>
      <c r="I22" s="794">
        <f t="shared" si="1"/>
        <v>30100.20192442117</v>
      </c>
      <c r="J22" s="794">
        <f t="shared" si="1"/>
        <v>0</v>
      </c>
      <c r="K22" s="794">
        <f t="shared" si="1"/>
        <v>0</v>
      </c>
      <c r="L22" s="794">
        <f t="shared" si="1"/>
        <v>0</v>
      </c>
      <c r="M22" s="794">
        <f t="shared" si="1"/>
        <v>0</v>
      </c>
      <c r="N22" s="794">
        <f t="shared" si="1"/>
        <v>11271.755423490375</v>
      </c>
      <c r="O22" s="794">
        <f t="shared" si="1"/>
        <v>0</v>
      </c>
      <c r="P22" s="794">
        <f t="shared" si="1"/>
        <v>0</v>
      </c>
      <c r="Q22" s="794">
        <f t="shared" si="1"/>
        <v>0</v>
      </c>
      <c r="R22" s="794">
        <f t="shared" si="1"/>
        <v>261365.51775598564</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4332.47345436053</v>
      </c>
      <c r="D24" s="676">
        <f>+landbouw!C8</f>
        <v>30857.142857142855</v>
      </c>
      <c r="E24" s="676">
        <f>+landbouw!D8</f>
        <v>13620.617692369051</v>
      </c>
      <c r="F24" s="676">
        <f>+landbouw!E8</f>
        <v>54.594746885557349</v>
      </c>
      <c r="G24" s="676">
        <f>+landbouw!F8</f>
        <v>14948.118766996437</v>
      </c>
      <c r="H24" s="676">
        <f>+landbouw!G8</f>
        <v>0</v>
      </c>
      <c r="I24" s="676">
        <f>+landbouw!H8</f>
        <v>0</v>
      </c>
      <c r="J24" s="676">
        <f>+landbouw!I8</f>
        <v>0</v>
      </c>
      <c r="K24" s="676">
        <f>+landbouw!J8</f>
        <v>651.55475771578244</v>
      </c>
      <c r="L24" s="676">
        <f>+landbouw!K8</f>
        <v>0</v>
      </c>
      <c r="M24" s="676">
        <f>+landbouw!L8</f>
        <v>0</v>
      </c>
      <c r="N24" s="676">
        <f>+landbouw!M8</f>
        <v>0</v>
      </c>
      <c r="O24" s="676">
        <f>+landbouw!N8</f>
        <v>0</v>
      </c>
      <c r="P24" s="676">
        <f>+landbouw!O8</f>
        <v>0</v>
      </c>
      <c r="Q24" s="677">
        <f>+landbouw!P8</f>
        <v>0</v>
      </c>
      <c r="R24" s="679">
        <f>SUM(C24:Q24)</f>
        <v>64464.502275470215</v>
      </c>
      <c r="S24" s="67"/>
    </row>
    <row r="25" spans="1:19" s="444" customFormat="1" ht="15" thickBot="1">
      <c r="A25" s="813" t="s">
        <v>833</v>
      </c>
      <c r="B25" s="977"/>
      <c r="C25" s="978">
        <f>IF(Onbekend_ele_kWh="---",0,Onbekend_ele_kWh)/1000+IF(REST_rest_ele_kWh="---",0,REST_rest_ele_kWh)/1000</f>
        <v>968.63966467441003</v>
      </c>
      <c r="D25" s="978"/>
      <c r="E25" s="978">
        <f>IF(onbekend_gas_kWh="---",0,onbekend_gas_kWh)/1000+IF(REST_rest_gas_kWh="---",0,REST_rest_gas_kWh)/1000</f>
        <v>1424.16085375438</v>
      </c>
      <c r="F25" s="978"/>
      <c r="G25" s="978"/>
      <c r="H25" s="978"/>
      <c r="I25" s="978"/>
      <c r="J25" s="978"/>
      <c r="K25" s="978"/>
      <c r="L25" s="978"/>
      <c r="M25" s="978"/>
      <c r="N25" s="978"/>
      <c r="O25" s="978"/>
      <c r="P25" s="978"/>
      <c r="Q25" s="979"/>
      <c r="R25" s="679">
        <f>SUM(C25:Q25)</f>
        <v>2392.8005184287899</v>
      </c>
      <c r="S25" s="67"/>
    </row>
    <row r="26" spans="1:19" s="444" customFormat="1" ht="15.75" thickBot="1">
      <c r="A26" s="684" t="s">
        <v>834</v>
      </c>
      <c r="B26" s="799"/>
      <c r="C26" s="794">
        <f>SUM(C24:C25)</f>
        <v>5301.1131190349397</v>
      </c>
      <c r="D26" s="794">
        <f t="shared" ref="D26:R26" si="2">SUM(D24:D25)</f>
        <v>30857.142857142855</v>
      </c>
      <c r="E26" s="794">
        <f t="shared" si="2"/>
        <v>15044.778546123431</v>
      </c>
      <c r="F26" s="794">
        <f t="shared" si="2"/>
        <v>54.594746885557349</v>
      </c>
      <c r="G26" s="794">
        <f t="shared" si="2"/>
        <v>14948.118766996437</v>
      </c>
      <c r="H26" s="794">
        <f t="shared" si="2"/>
        <v>0</v>
      </c>
      <c r="I26" s="794">
        <f t="shared" si="2"/>
        <v>0</v>
      </c>
      <c r="J26" s="794">
        <f t="shared" si="2"/>
        <v>0</v>
      </c>
      <c r="K26" s="794">
        <f t="shared" si="2"/>
        <v>651.55475771578244</v>
      </c>
      <c r="L26" s="794">
        <f t="shared" si="2"/>
        <v>0</v>
      </c>
      <c r="M26" s="794">
        <f t="shared" si="2"/>
        <v>0</v>
      </c>
      <c r="N26" s="794">
        <f t="shared" si="2"/>
        <v>0</v>
      </c>
      <c r="O26" s="794">
        <f t="shared" si="2"/>
        <v>0</v>
      </c>
      <c r="P26" s="794">
        <f t="shared" si="2"/>
        <v>0</v>
      </c>
      <c r="Q26" s="794">
        <f t="shared" si="2"/>
        <v>0</v>
      </c>
      <c r="R26" s="794">
        <f t="shared" si="2"/>
        <v>66857.302793898998</v>
      </c>
      <c r="S26" s="67"/>
    </row>
    <row r="27" spans="1:19" s="444" customFormat="1" ht="17.25" thickTop="1" thickBot="1">
      <c r="A27" s="685" t="s">
        <v>109</v>
      </c>
      <c r="B27" s="786"/>
      <c r="C27" s="686">
        <f ca="1">C22+C16+C26</f>
        <v>47932.516221030695</v>
      </c>
      <c r="D27" s="686">
        <f t="shared" ref="D27:R27" ca="1" si="3">D22+D16+D26</f>
        <v>30857.142857142855</v>
      </c>
      <c r="E27" s="686">
        <f t="shared" ca="1" si="3"/>
        <v>67921.780744339427</v>
      </c>
      <c r="F27" s="686">
        <f t="shared" si="3"/>
        <v>3175.9701113440906</v>
      </c>
      <c r="G27" s="686">
        <f t="shared" ca="1" si="3"/>
        <v>71227.590409079377</v>
      </c>
      <c r="H27" s="686">
        <f t="shared" si="3"/>
        <v>219259.24411933351</v>
      </c>
      <c r="I27" s="686">
        <f t="shared" si="3"/>
        <v>30100.20192442117</v>
      </c>
      <c r="J27" s="686">
        <f t="shared" si="3"/>
        <v>0</v>
      </c>
      <c r="K27" s="686">
        <f t="shared" si="3"/>
        <v>1623.4154582894835</v>
      </c>
      <c r="L27" s="686">
        <f t="shared" si="3"/>
        <v>0</v>
      </c>
      <c r="M27" s="686">
        <f t="shared" ca="1" si="3"/>
        <v>0</v>
      </c>
      <c r="N27" s="686">
        <f t="shared" si="3"/>
        <v>11271.755423490375</v>
      </c>
      <c r="O27" s="686">
        <f t="shared" ca="1" si="3"/>
        <v>9652.7291830665872</v>
      </c>
      <c r="P27" s="686">
        <f t="shared" si="3"/>
        <v>189.16333333333336</v>
      </c>
      <c r="Q27" s="686">
        <f t="shared" si="3"/>
        <v>552.93333333333339</v>
      </c>
      <c r="R27" s="686">
        <f t="shared" ca="1" si="3"/>
        <v>493764.44311820425</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2989.9820620356127</v>
      </c>
      <c r="D40" s="676">
        <f ca="1">tertiair!C20</f>
        <v>0</v>
      </c>
      <c r="E40" s="676">
        <f ca="1">tertiair!D20</f>
        <v>4011.1151233147843</v>
      </c>
      <c r="F40" s="676">
        <f>tertiair!E20</f>
        <v>36.181336939865638</v>
      </c>
      <c r="G40" s="676">
        <f ca="1">tertiair!F20</f>
        <v>671.99646286656446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7709.2749851568278</v>
      </c>
    </row>
    <row r="41" spans="1:18">
      <c r="A41" s="804" t="s">
        <v>214</v>
      </c>
      <c r="B41" s="811"/>
      <c r="C41" s="676">
        <f ca="1">huishoudens!B12</f>
        <v>5363.1876797789319</v>
      </c>
      <c r="D41" s="676">
        <f ca="1">huishoudens!C12</f>
        <v>0</v>
      </c>
      <c r="E41" s="676">
        <f>huishoudens!D12</f>
        <v>6187.7599927315923</v>
      </c>
      <c r="F41" s="676">
        <f>huishoudens!E12</f>
        <v>379.16630852818633</v>
      </c>
      <c r="G41" s="676">
        <f>huishoudens!F12</f>
        <v>13667.260430767737</v>
      </c>
      <c r="H41" s="676">
        <f>huishoudens!G12</f>
        <v>0</v>
      </c>
      <c r="I41" s="676">
        <f>huishoudens!H12</f>
        <v>0</v>
      </c>
      <c r="J41" s="676">
        <f>huishoudens!I12</f>
        <v>0</v>
      </c>
      <c r="K41" s="676">
        <f>huishoudens!J12</f>
        <v>343.1687914815717</v>
      </c>
      <c r="L41" s="676">
        <f>huishoudens!K12</f>
        <v>0</v>
      </c>
      <c r="M41" s="676">
        <f>huishoudens!L12</f>
        <v>0</v>
      </c>
      <c r="N41" s="676">
        <f>huishoudens!M12</f>
        <v>0</v>
      </c>
      <c r="O41" s="676">
        <f>huishoudens!N12</f>
        <v>0</v>
      </c>
      <c r="P41" s="676">
        <f>huishoudens!O12</f>
        <v>0</v>
      </c>
      <c r="Q41" s="753">
        <f>huishoudens!P12</f>
        <v>0</v>
      </c>
      <c r="R41" s="832">
        <f t="shared" ca="1" si="4"/>
        <v>25940.54320328802</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762.65646498502372</v>
      </c>
      <c r="D43" s="676">
        <f ca="1">industrie!C22</f>
        <v>0</v>
      </c>
      <c r="E43" s="676">
        <f>industrie!D22</f>
        <v>478.84916371257845</v>
      </c>
      <c r="F43" s="676">
        <f>industrie!E22</f>
        <v>135.06051949849035</v>
      </c>
      <c r="G43" s="676">
        <f>industrie!F22</f>
        <v>687.36203480184213</v>
      </c>
      <c r="H43" s="676">
        <f>industrie!G22</f>
        <v>0</v>
      </c>
      <c r="I43" s="676">
        <f>industrie!H22</f>
        <v>0</v>
      </c>
      <c r="J43" s="676">
        <f>industrie!I22</f>
        <v>0</v>
      </c>
      <c r="K43" s="676">
        <f>industrie!J22</f>
        <v>0.86989652151840635</v>
      </c>
      <c r="L43" s="676">
        <f>industrie!K22</f>
        <v>0</v>
      </c>
      <c r="M43" s="676">
        <f>industrie!L22</f>
        <v>0</v>
      </c>
      <c r="N43" s="676">
        <f>industrie!M22</f>
        <v>0</v>
      </c>
      <c r="O43" s="676">
        <f>industrie!N22</f>
        <v>0</v>
      </c>
      <c r="P43" s="676">
        <f>industrie!O22</f>
        <v>0</v>
      </c>
      <c r="Q43" s="753">
        <f>industrie!P22</f>
        <v>0</v>
      </c>
      <c r="R43" s="831">
        <f t="shared" ca="1" si="4"/>
        <v>2064.798079519453</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9115.8262067995693</v>
      </c>
      <c r="D46" s="711">
        <f t="shared" ref="D46:Q46" ca="1" si="5">SUM(D39:D45)</f>
        <v>0</v>
      </c>
      <c r="E46" s="711">
        <f t="shared" ca="1" si="5"/>
        <v>10677.724279758955</v>
      </c>
      <c r="F46" s="711">
        <f t="shared" si="5"/>
        <v>550.40816496654224</v>
      </c>
      <c r="G46" s="711">
        <f t="shared" ca="1" si="5"/>
        <v>15026.618928436143</v>
      </c>
      <c r="H46" s="711">
        <f t="shared" si="5"/>
        <v>0</v>
      </c>
      <c r="I46" s="711">
        <f t="shared" si="5"/>
        <v>0</v>
      </c>
      <c r="J46" s="711">
        <f t="shared" si="5"/>
        <v>0</v>
      </c>
      <c r="K46" s="711">
        <f t="shared" si="5"/>
        <v>344.0386880030901</v>
      </c>
      <c r="L46" s="711">
        <f t="shared" si="5"/>
        <v>0</v>
      </c>
      <c r="M46" s="711">
        <f t="shared" ca="1" si="5"/>
        <v>0</v>
      </c>
      <c r="N46" s="711">
        <f t="shared" si="5"/>
        <v>0</v>
      </c>
      <c r="O46" s="711">
        <f t="shared" ca="1" si="5"/>
        <v>0</v>
      </c>
      <c r="P46" s="711">
        <f t="shared" si="5"/>
        <v>0</v>
      </c>
      <c r="Q46" s="711">
        <f t="shared" si="5"/>
        <v>0</v>
      </c>
      <c r="R46" s="711">
        <f ca="1">SUM(R39:R45)</f>
        <v>35714.616267964302</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0.37629908303301829</v>
      </c>
      <c r="D49" s="676">
        <f ca="1">transport!C58</f>
        <v>0</v>
      </c>
      <c r="E49" s="676">
        <f>transport!D58</f>
        <v>0</v>
      </c>
      <c r="F49" s="676">
        <f>transport!E58</f>
        <v>0</v>
      </c>
      <c r="G49" s="676">
        <f>transport!F58</f>
        <v>0</v>
      </c>
      <c r="H49" s="676">
        <f>transport!G58</f>
        <v>91.413262580323021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91.789561663356039</v>
      </c>
    </row>
    <row r="50" spans="1:18">
      <c r="A50" s="807" t="s">
        <v>296</v>
      </c>
      <c r="B50" s="817"/>
      <c r="C50" s="682">
        <f ca="1">transport!B18</f>
        <v>4.0447221224437699</v>
      </c>
      <c r="D50" s="682">
        <f>transport!C18</f>
        <v>0</v>
      </c>
      <c r="E50" s="682">
        <f>transport!D18</f>
        <v>3.4301642806773653</v>
      </c>
      <c r="F50" s="682">
        <f>transport!E18</f>
        <v>158.14404276554473</v>
      </c>
      <c r="G50" s="682">
        <f>transport!F18</f>
        <v>0</v>
      </c>
      <c r="H50" s="682">
        <f>transport!G18</f>
        <v>58450.804917281726</v>
      </c>
      <c r="I50" s="682">
        <f>transport!H18</f>
        <v>7494.9502791808709</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66111.374125631264</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4.4210212054767881</v>
      </c>
      <c r="D52" s="711">
        <f t="shared" ref="D52:Q52" ca="1" si="6">SUM(D48:D51)</f>
        <v>0</v>
      </c>
      <c r="E52" s="711">
        <f t="shared" si="6"/>
        <v>3.4301642806773653</v>
      </c>
      <c r="F52" s="711">
        <f t="shared" si="6"/>
        <v>158.14404276554473</v>
      </c>
      <c r="G52" s="711">
        <f t="shared" si="6"/>
        <v>0</v>
      </c>
      <c r="H52" s="711">
        <f t="shared" si="6"/>
        <v>58542.218179862051</v>
      </c>
      <c r="I52" s="711">
        <f t="shared" si="6"/>
        <v>7494.9502791808709</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66203.163687294626</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926.85734311867611</v>
      </c>
      <c r="D54" s="682">
        <f ca="1">+landbouw!C12</f>
        <v>7333.1092436974805</v>
      </c>
      <c r="E54" s="682">
        <f>+landbouw!D12</f>
        <v>2751.3647738585487</v>
      </c>
      <c r="F54" s="682">
        <f>+landbouw!E12</f>
        <v>12.393007543021518</v>
      </c>
      <c r="G54" s="682">
        <f>+landbouw!F12</f>
        <v>3991.1477107880487</v>
      </c>
      <c r="H54" s="682">
        <f>+landbouw!G12</f>
        <v>0</v>
      </c>
      <c r="I54" s="682">
        <f>+landbouw!H12</f>
        <v>0</v>
      </c>
      <c r="J54" s="682">
        <f>+landbouw!I12</f>
        <v>0</v>
      </c>
      <c r="K54" s="682">
        <f>+landbouw!J12</f>
        <v>230.65038423138697</v>
      </c>
      <c r="L54" s="682">
        <f>+landbouw!K12</f>
        <v>0</v>
      </c>
      <c r="M54" s="682">
        <f>+landbouw!L12</f>
        <v>0</v>
      </c>
      <c r="N54" s="682">
        <f>+landbouw!M12</f>
        <v>0</v>
      </c>
      <c r="O54" s="682">
        <f>+landbouw!N12</f>
        <v>0</v>
      </c>
      <c r="P54" s="682">
        <f>+landbouw!O12</f>
        <v>0</v>
      </c>
      <c r="Q54" s="683">
        <f>+landbouw!P12</f>
        <v>0</v>
      </c>
      <c r="R54" s="710">
        <f ca="1">SUM(C54:Q54)</f>
        <v>15245.522463237165</v>
      </c>
    </row>
    <row r="55" spans="1:18" ht="15" thickBot="1">
      <c r="A55" s="807" t="s">
        <v>833</v>
      </c>
      <c r="B55" s="817"/>
      <c r="C55" s="682">
        <f ca="1">C25*'EF ele_warmte'!B12</f>
        <v>207.22360921470488</v>
      </c>
      <c r="D55" s="682"/>
      <c r="E55" s="682">
        <f>E25*EF_CO2_aardgas</f>
        <v>287.68049245838478</v>
      </c>
      <c r="F55" s="682"/>
      <c r="G55" s="682"/>
      <c r="H55" s="682"/>
      <c r="I55" s="682"/>
      <c r="J55" s="682"/>
      <c r="K55" s="682"/>
      <c r="L55" s="682"/>
      <c r="M55" s="682"/>
      <c r="N55" s="682"/>
      <c r="O55" s="682"/>
      <c r="P55" s="682"/>
      <c r="Q55" s="683"/>
      <c r="R55" s="710">
        <f ca="1">SUM(C55:Q55)</f>
        <v>494.90410167308966</v>
      </c>
    </row>
    <row r="56" spans="1:18" ht="15.75" thickBot="1">
      <c r="A56" s="805" t="s">
        <v>834</v>
      </c>
      <c r="B56" s="818"/>
      <c r="C56" s="711">
        <f ca="1">SUM(C54:C55)</f>
        <v>1134.080952333381</v>
      </c>
      <c r="D56" s="711">
        <f t="shared" ref="D56:Q56" ca="1" si="7">SUM(D54:D55)</f>
        <v>7333.1092436974805</v>
      </c>
      <c r="E56" s="711">
        <f t="shared" si="7"/>
        <v>3039.0452663169335</v>
      </c>
      <c r="F56" s="711">
        <f t="shared" si="7"/>
        <v>12.393007543021518</v>
      </c>
      <c r="G56" s="711">
        <f t="shared" si="7"/>
        <v>3991.1477107880487</v>
      </c>
      <c r="H56" s="711">
        <f t="shared" si="7"/>
        <v>0</v>
      </c>
      <c r="I56" s="711">
        <f t="shared" si="7"/>
        <v>0</v>
      </c>
      <c r="J56" s="711">
        <f t="shared" si="7"/>
        <v>0</v>
      </c>
      <c r="K56" s="711">
        <f t="shared" si="7"/>
        <v>230.65038423138697</v>
      </c>
      <c r="L56" s="711">
        <f t="shared" si="7"/>
        <v>0</v>
      </c>
      <c r="M56" s="711">
        <f t="shared" si="7"/>
        <v>0</v>
      </c>
      <c r="N56" s="711">
        <f t="shared" si="7"/>
        <v>0</v>
      </c>
      <c r="O56" s="711">
        <f t="shared" si="7"/>
        <v>0</v>
      </c>
      <c r="P56" s="711">
        <f t="shared" si="7"/>
        <v>0</v>
      </c>
      <c r="Q56" s="712">
        <f t="shared" si="7"/>
        <v>0</v>
      </c>
      <c r="R56" s="713">
        <f ca="1">SUM(R54:R55)</f>
        <v>15740.426564910254</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10254.328180338427</v>
      </c>
      <c r="D61" s="719">
        <f t="shared" ref="D61:Q61" ca="1" si="8">D46+D52+D56</f>
        <v>7333.1092436974805</v>
      </c>
      <c r="E61" s="719">
        <f t="shared" ca="1" si="8"/>
        <v>13720.199710356566</v>
      </c>
      <c r="F61" s="719">
        <f t="shared" si="8"/>
        <v>720.94521527510858</v>
      </c>
      <c r="G61" s="719">
        <f t="shared" ca="1" si="8"/>
        <v>19017.766639224192</v>
      </c>
      <c r="H61" s="719">
        <f t="shared" si="8"/>
        <v>58542.218179862051</v>
      </c>
      <c r="I61" s="719">
        <f t="shared" si="8"/>
        <v>7494.9502791808709</v>
      </c>
      <c r="J61" s="719">
        <f t="shared" si="8"/>
        <v>0</v>
      </c>
      <c r="K61" s="719">
        <f t="shared" si="8"/>
        <v>574.68907223447707</v>
      </c>
      <c r="L61" s="719">
        <f t="shared" si="8"/>
        <v>0</v>
      </c>
      <c r="M61" s="719">
        <f t="shared" ca="1" si="8"/>
        <v>0</v>
      </c>
      <c r="N61" s="719">
        <f t="shared" si="8"/>
        <v>0</v>
      </c>
      <c r="O61" s="719">
        <f t="shared" ca="1" si="8"/>
        <v>0</v>
      </c>
      <c r="P61" s="719">
        <f t="shared" si="8"/>
        <v>0</v>
      </c>
      <c r="Q61" s="719">
        <f t="shared" si="8"/>
        <v>0</v>
      </c>
      <c r="R61" s="719">
        <f ca="1">R46+R52+R56</f>
        <v>117658.20652016919</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0.21393260752372678</v>
      </c>
      <c r="D63" s="762">
        <f t="shared" ca="1" si="9"/>
        <v>0.23764705882352949</v>
      </c>
      <c r="E63" s="984">
        <f t="shared" ca="1" si="9"/>
        <v>0.20200000000000004</v>
      </c>
      <c r="F63" s="762">
        <f t="shared" si="9"/>
        <v>0.22700000000000001</v>
      </c>
      <c r="G63" s="762">
        <f t="shared" ca="1" si="9"/>
        <v>0.26699999999999996</v>
      </c>
      <c r="H63" s="762">
        <f t="shared" si="9"/>
        <v>0.26700000000000002</v>
      </c>
      <c r="I63" s="762">
        <f t="shared" si="9"/>
        <v>0.249</v>
      </c>
      <c r="J63" s="762">
        <f t="shared" si="9"/>
        <v>0</v>
      </c>
      <c r="K63" s="762">
        <f t="shared" si="9"/>
        <v>0.35399999999999993</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3159.8840502153535</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21600</v>
      </c>
      <c r="D76" s="994">
        <f>'lokale energieproductie'!C8</f>
        <v>25411.76470588236</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5133.176470588237</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3159.8840502153535</v>
      </c>
      <c r="C78" s="734">
        <f>SUM(C72:C77)</f>
        <v>21600</v>
      </c>
      <c r="D78" s="735">
        <f t="shared" ref="D78:H78" si="10">SUM(D76:D77)</f>
        <v>25411.76470588236</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5133.176470588237</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30857.142857142855</v>
      </c>
      <c r="D87" s="756">
        <f>'lokale energieproductie'!C17</f>
        <v>36302.521008403368</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7333.1092436974805</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30857.142857142855</v>
      </c>
      <c r="D90" s="734">
        <f t="shared" ref="D90:H90" si="12">SUM(D87:D89)</f>
        <v>36302.521008403368</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7333.1092436974805</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25069.519517655172</v>
      </c>
      <c r="C4" s="448">
        <f>huishoudens!C8</f>
        <v>0</v>
      </c>
      <c r="D4" s="448">
        <f>huishoudens!D8</f>
        <v>30632.475211542536</v>
      </c>
      <c r="E4" s="448">
        <f>huishoudens!E8</f>
        <v>1670.3361609171204</v>
      </c>
      <c r="F4" s="448">
        <f>huishoudens!F8</f>
        <v>51188.241313736842</v>
      </c>
      <c r="G4" s="448">
        <f>huishoudens!G8</f>
        <v>0</v>
      </c>
      <c r="H4" s="448">
        <f>huishoudens!H8</f>
        <v>0</v>
      </c>
      <c r="I4" s="448">
        <f>huishoudens!I8</f>
        <v>0</v>
      </c>
      <c r="J4" s="448">
        <f>huishoudens!J8</f>
        <v>969.40336576715174</v>
      </c>
      <c r="K4" s="448">
        <f>huishoudens!K8</f>
        <v>0</v>
      </c>
      <c r="L4" s="448">
        <f>huishoudens!L8</f>
        <v>0</v>
      </c>
      <c r="M4" s="448">
        <f>huishoudens!M8</f>
        <v>0</v>
      </c>
      <c r="N4" s="448">
        <f>huishoudens!N8</f>
        <v>7941.8352339414114</v>
      </c>
      <c r="O4" s="448">
        <f>huishoudens!O8</f>
        <v>182.91000000000003</v>
      </c>
      <c r="P4" s="449">
        <f>huishoudens!P8</f>
        <v>495.73333333333335</v>
      </c>
      <c r="Q4" s="450">
        <f>SUM(B4:P4)</f>
        <v>118150.45413689358</v>
      </c>
    </row>
    <row r="5" spans="1:17">
      <c r="A5" s="447" t="s">
        <v>149</v>
      </c>
      <c r="B5" s="448">
        <f ca="1">tertiair!B16</f>
        <v>12791.018178345417</v>
      </c>
      <c r="C5" s="448">
        <f ca="1">tertiair!C16</f>
        <v>0</v>
      </c>
      <c r="D5" s="448">
        <f ca="1">tertiair!D16</f>
        <v>19857.005560964277</v>
      </c>
      <c r="E5" s="448">
        <f>tertiair!E16</f>
        <v>159.38914951482658</v>
      </c>
      <c r="F5" s="448">
        <f ca="1">tertiair!F16</f>
        <v>2516.8406848934997</v>
      </c>
      <c r="G5" s="448">
        <f>tertiair!G16</f>
        <v>0</v>
      </c>
      <c r="H5" s="448">
        <f>tertiair!H16</f>
        <v>0</v>
      </c>
      <c r="I5" s="448">
        <f>tertiair!I16</f>
        <v>0</v>
      </c>
      <c r="J5" s="448">
        <f>tertiair!J16</f>
        <v>0</v>
      </c>
      <c r="K5" s="448">
        <f>tertiair!K16</f>
        <v>0</v>
      </c>
      <c r="L5" s="448">
        <f ca="1">tertiair!L16</f>
        <v>0</v>
      </c>
      <c r="M5" s="448">
        <f>tertiair!M16</f>
        <v>0</v>
      </c>
      <c r="N5" s="448">
        <f ca="1">tertiair!N16</f>
        <v>1287.469312549995</v>
      </c>
      <c r="O5" s="448">
        <f>tertiair!O16</f>
        <v>6.2533333333333339</v>
      </c>
      <c r="P5" s="449">
        <f>tertiair!P16</f>
        <v>57.2</v>
      </c>
      <c r="Q5" s="447">
        <f t="shared" ref="Q5:Q14" ca="1" si="0">SUM(B5:P5)</f>
        <v>36675.176219601344</v>
      </c>
    </row>
    <row r="6" spans="1:17">
      <c r="A6" s="447" t="s">
        <v>187</v>
      </c>
      <c r="B6" s="448">
        <f>'openbare verlichting'!B8</f>
        <v>1185.2619999999999</v>
      </c>
      <c r="C6" s="448"/>
      <c r="D6" s="448"/>
      <c r="E6" s="448"/>
      <c r="F6" s="448"/>
      <c r="G6" s="448"/>
      <c r="H6" s="448"/>
      <c r="I6" s="448"/>
      <c r="J6" s="448"/>
      <c r="K6" s="448"/>
      <c r="L6" s="448"/>
      <c r="M6" s="448"/>
      <c r="N6" s="448"/>
      <c r="O6" s="448"/>
      <c r="P6" s="449"/>
      <c r="Q6" s="447">
        <f t="shared" si="0"/>
        <v>1185.2619999999999</v>
      </c>
    </row>
    <row r="7" spans="1:17">
      <c r="A7" s="447" t="s">
        <v>105</v>
      </c>
      <c r="B7" s="448">
        <f>landbouw!B8</f>
        <v>4332.47345436053</v>
      </c>
      <c r="C7" s="448">
        <f>landbouw!C8</f>
        <v>30857.142857142855</v>
      </c>
      <c r="D7" s="448">
        <f>landbouw!D8</f>
        <v>13620.617692369051</v>
      </c>
      <c r="E7" s="448">
        <f>landbouw!E8</f>
        <v>54.594746885557349</v>
      </c>
      <c r="F7" s="448">
        <f>landbouw!F8</f>
        <v>14948.118766996437</v>
      </c>
      <c r="G7" s="448">
        <f>landbouw!G8</f>
        <v>0</v>
      </c>
      <c r="H7" s="448">
        <f>landbouw!H8</f>
        <v>0</v>
      </c>
      <c r="I7" s="448">
        <f>landbouw!I8</f>
        <v>0</v>
      </c>
      <c r="J7" s="448">
        <f>landbouw!J8</f>
        <v>651.55475771578244</v>
      </c>
      <c r="K7" s="448">
        <f>landbouw!K8</f>
        <v>0</v>
      </c>
      <c r="L7" s="448">
        <f>landbouw!L8</f>
        <v>0</v>
      </c>
      <c r="M7" s="448">
        <f>landbouw!M8</f>
        <v>0</v>
      </c>
      <c r="N7" s="448">
        <f>landbouw!N8</f>
        <v>0</v>
      </c>
      <c r="O7" s="448">
        <f>landbouw!O8</f>
        <v>0</v>
      </c>
      <c r="P7" s="449">
        <f>landbouw!P8</f>
        <v>0</v>
      </c>
      <c r="Q7" s="447">
        <f t="shared" si="0"/>
        <v>64464.502275470215</v>
      </c>
    </row>
    <row r="8" spans="1:17">
      <c r="A8" s="447" t="s">
        <v>639</v>
      </c>
      <c r="B8" s="448">
        <f>industrie!B18</f>
        <v>3564.9379204637571</v>
      </c>
      <c r="C8" s="448">
        <f>industrie!C18</f>
        <v>0</v>
      </c>
      <c r="D8" s="448">
        <f>industrie!D18</f>
        <v>2370.540414418705</v>
      </c>
      <c r="E8" s="448">
        <f>industrie!E18</f>
        <v>594.98026210788703</v>
      </c>
      <c r="F8" s="448">
        <f>industrie!F18</f>
        <v>2574.3896434525923</v>
      </c>
      <c r="G8" s="448">
        <f>industrie!G18</f>
        <v>0</v>
      </c>
      <c r="H8" s="448">
        <f>industrie!H18</f>
        <v>0</v>
      </c>
      <c r="I8" s="448">
        <f>industrie!I18</f>
        <v>0</v>
      </c>
      <c r="J8" s="448">
        <f>industrie!J18</f>
        <v>2.4573348065491705</v>
      </c>
      <c r="K8" s="448">
        <f>industrie!K18</f>
        <v>0</v>
      </c>
      <c r="L8" s="448">
        <f>industrie!L18</f>
        <v>0</v>
      </c>
      <c r="M8" s="448">
        <f>industrie!M18</f>
        <v>0</v>
      </c>
      <c r="N8" s="448">
        <f>industrie!N18</f>
        <v>423.42463657518039</v>
      </c>
      <c r="O8" s="448">
        <f>industrie!O18</f>
        <v>0</v>
      </c>
      <c r="P8" s="449">
        <f>industrie!P18</f>
        <v>0</v>
      </c>
      <c r="Q8" s="447">
        <f t="shared" si="0"/>
        <v>9530.7302118246716</v>
      </c>
    </row>
    <row r="9" spans="1:17" s="453" customFormat="1">
      <c r="A9" s="451" t="s">
        <v>557</v>
      </c>
      <c r="B9" s="452">
        <f>transport!B14</f>
        <v>18.906524672706468</v>
      </c>
      <c r="C9" s="452">
        <f>transport!C14</f>
        <v>0</v>
      </c>
      <c r="D9" s="452">
        <f>transport!D14</f>
        <v>16.981011290482005</v>
      </c>
      <c r="E9" s="452">
        <f>transport!E14</f>
        <v>696.66979191869916</v>
      </c>
      <c r="F9" s="452">
        <f>transport!F14</f>
        <v>0</v>
      </c>
      <c r="G9" s="452">
        <f>transport!G14</f>
        <v>218916.87234936975</v>
      </c>
      <c r="H9" s="452">
        <f>transport!H14</f>
        <v>30100.20192442117</v>
      </c>
      <c r="I9" s="452">
        <f>transport!I14</f>
        <v>0</v>
      </c>
      <c r="J9" s="452">
        <f>transport!J14</f>
        <v>0</v>
      </c>
      <c r="K9" s="452">
        <f>transport!K14</f>
        <v>0</v>
      </c>
      <c r="L9" s="452">
        <f>transport!L14</f>
        <v>0</v>
      </c>
      <c r="M9" s="452">
        <f>transport!M14</f>
        <v>11256.403185647325</v>
      </c>
      <c r="N9" s="452">
        <f>transport!N14</f>
        <v>0</v>
      </c>
      <c r="O9" s="452">
        <f>transport!O14</f>
        <v>0</v>
      </c>
      <c r="P9" s="452">
        <f>transport!P14</f>
        <v>0</v>
      </c>
      <c r="Q9" s="451">
        <f>SUM(B9:P9)</f>
        <v>261006.03478732012</v>
      </c>
    </row>
    <row r="10" spans="1:17">
      <c r="A10" s="447" t="s">
        <v>547</v>
      </c>
      <c r="B10" s="448">
        <f>transport!B54</f>
        <v>1.7589608586960443</v>
      </c>
      <c r="C10" s="448">
        <f>transport!C54</f>
        <v>0</v>
      </c>
      <c r="D10" s="448">
        <f>transport!D54</f>
        <v>0</v>
      </c>
      <c r="E10" s="448">
        <f>transport!E54</f>
        <v>0</v>
      </c>
      <c r="F10" s="448">
        <f>transport!F54</f>
        <v>0</v>
      </c>
      <c r="G10" s="448">
        <f>transport!G54</f>
        <v>342.37176996375661</v>
      </c>
      <c r="H10" s="448">
        <f>transport!H54</f>
        <v>0</v>
      </c>
      <c r="I10" s="448">
        <f>transport!I54</f>
        <v>0</v>
      </c>
      <c r="J10" s="448">
        <f>transport!J54</f>
        <v>0</v>
      </c>
      <c r="K10" s="448">
        <f>transport!K54</f>
        <v>0</v>
      </c>
      <c r="L10" s="448">
        <f>transport!L54</f>
        <v>0</v>
      </c>
      <c r="M10" s="448">
        <f>transport!M54</f>
        <v>15.352237843049085</v>
      </c>
      <c r="N10" s="448">
        <f>transport!N54</f>
        <v>0</v>
      </c>
      <c r="O10" s="448">
        <f>transport!O54</f>
        <v>0</v>
      </c>
      <c r="P10" s="449">
        <f>transport!P54</f>
        <v>0</v>
      </c>
      <c r="Q10" s="447">
        <f t="shared" si="0"/>
        <v>359.48296866550174</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968.63966467441003</v>
      </c>
      <c r="C14" s="455"/>
      <c r="D14" s="455">
        <f>'SEAP template'!E25</f>
        <v>1424.16085375438</v>
      </c>
      <c r="E14" s="455"/>
      <c r="F14" s="455"/>
      <c r="G14" s="455"/>
      <c r="H14" s="455"/>
      <c r="I14" s="455"/>
      <c r="J14" s="455"/>
      <c r="K14" s="455"/>
      <c r="L14" s="455"/>
      <c r="M14" s="455"/>
      <c r="N14" s="455"/>
      <c r="O14" s="455"/>
      <c r="P14" s="456"/>
      <c r="Q14" s="447">
        <f t="shared" si="0"/>
        <v>2392.8005184287899</v>
      </c>
    </row>
    <row r="15" spans="1:17" s="460" customFormat="1">
      <c r="A15" s="457" t="s">
        <v>551</v>
      </c>
      <c r="B15" s="458">
        <f ca="1">SUM(B4:B14)</f>
        <v>47932.516221030688</v>
      </c>
      <c r="C15" s="458">
        <f t="shared" ref="C15:Q15" ca="1" si="1">SUM(C4:C14)</f>
        <v>30857.142857142855</v>
      </c>
      <c r="D15" s="458">
        <f t="shared" ca="1" si="1"/>
        <v>67921.780744339427</v>
      </c>
      <c r="E15" s="458">
        <f t="shared" si="1"/>
        <v>3175.9701113440906</v>
      </c>
      <c r="F15" s="458">
        <f t="shared" ca="1" si="1"/>
        <v>71227.590409079377</v>
      </c>
      <c r="G15" s="458">
        <f t="shared" si="1"/>
        <v>219259.24411933351</v>
      </c>
      <c r="H15" s="458">
        <f t="shared" si="1"/>
        <v>30100.20192442117</v>
      </c>
      <c r="I15" s="458">
        <f t="shared" si="1"/>
        <v>0</v>
      </c>
      <c r="J15" s="458">
        <f t="shared" si="1"/>
        <v>1623.4154582894835</v>
      </c>
      <c r="K15" s="458">
        <f t="shared" si="1"/>
        <v>0</v>
      </c>
      <c r="L15" s="458">
        <f t="shared" ca="1" si="1"/>
        <v>0</v>
      </c>
      <c r="M15" s="458">
        <f t="shared" si="1"/>
        <v>11271.755423490375</v>
      </c>
      <c r="N15" s="458">
        <f t="shared" ca="1" si="1"/>
        <v>9652.7291830665872</v>
      </c>
      <c r="O15" s="458">
        <f t="shared" si="1"/>
        <v>189.16333333333336</v>
      </c>
      <c r="P15" s="458">
        <f t="shared" si="1"/>
        <v>552.93333333333339</v>
      </c>
      <c r="Q15" s="458">
        <f t="shared" ca="1" si="1"/>
        <v>493764.44311820419</v>
      </c>
    </row>
    <row r="17" spans="1:17">
      <c r="A17" s="461" t="s">
        <v>552</v>
      </c>
      <c r="B17" s="767">
        <f ca="1">huishoudens!B10</f>
        <v>0.21393260752372678</v>
      </c>
      <c r="C17" s="767">
        <f ca="1">huishoudens!C10</f>
        <v>0.23764705882352949</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5363.1876797789319</v>
      </c>
      <c r="C22" s="448">
        <f t="shared" ref="C22:C32" ca="1" si="3">C4*$C$17</f>
        <v>0</v>
      </c>
      <c r="D22" s="448">
        <f t="shared" ref="D22:D32" si="4">D4*$D$17</f>
        <v>6187.7599927315923</v>
      </c>
      <c r="E22" s="448">
        <f t="shared" ref="E22:E32" si="5">E4*$E$17</f>
        <v>379.16630852818633</v>
      </c>
      <c r="F22" s="448">
        <f t="shared" ref="F22:F32" si="6">F4*$F$17</f>
        <v>13667.260430767737</v>
      </c>
      <c r="G22" s="448">
        <f t="shared" ref="G22:G32" si="7">G4*$G$17</f>
        <v>0</v>
      </c>
      <c r="H22" s="448">
        <f t="shared" ref="H22:H32" si="8">H4*$H$17</f>
        <v>0</v>
      </c>
      <c r="I22" s="448">
        <f t="shared" ref="I22:I32" si="9">I4*$I$17</f>
        <v>0</v>
      </c>
      <c r="J22" s="448">
        <f t="shared" ref="J22:J32" si="10">J4*$J$17</f>
        <v>343.1687914815717</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25940.54320328802</v>
      </c>
    </row>
    <row r="23" spans="1:17">
      <c r="A23" s="447" t="s">
        <v>149</v>
      </c>
      <c r="B23" s="448">
        <f t="shared" ca="1" si="2"/>
        <v>2736.415871776825</v>
      </c>
      <c r="C23" s="448">
        <f t="shared" ca="1" si="3"/>
        <v>0</v>
      </c>
      <c r="D23" s="448">
        <f t="shared" ca="1" si="4"/>
        <v>4011.1151233147843</v>
      </c>
      <c r="E23" s="448">
        <f t="shared" si="5"/>
        <v>36.181336939865638</v>
      </c>
      <c r="F23" s="448">
        <f t="shared" ca="1" si="6"/>
        <v>671.99646286656446</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7455.7087948980397</v>
      </c>
    </row>
    <row r="24" spans="1:17">
      <c r="A24" s="447" t="s">
        <v>187</v>
      </c>
      <c r="B24" s="448">
        <f t="shared" ca="1" si="2"/>
        <v>253.56619025878743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253.56619025878743</v>
      </c>
    </row>
    <row r="25" spans="1:17">
      <c r="A25" s="447" t="s">
        <v>105</v>
      </c>
      <c r="B25" s="448">
        <f t="shared" ca="1" si="2"/>
        <v>926.85734311867611</v>
      </c>
      <c r="C25" s="448">
        <f t="shared" ca="1" si="3"/>
        <v>7333.1092436974805</v>
      </c>
      <c r="D25" s="448">
        <f t="shared" si="4"/>
        <v>2751.3647738585487</v>
      </c>
      <c r="E25" s="448">
        <f t="shared" si="5"/>
        <v>12.393007543021518</v>
      </c>
      <c r="F25" s="448">
        <f t="shared" si="6"/>
        <v>3991.1477107880487</v>
      </c>
      <c r="G25" s="448">
        <f t="shared" si="7"/>
        <v>0</v>
      </c>
      <c r="H25" s="448">
        <f t="shared" si="8"/>
        <v>0</v>
      </c>
      <c r="I25" s="448">
        <f t="shared" si="9"/>
        <v>0</v>
      </c>
      <c r="J25" s="448">
        <f t="shared" si="10"/>
        <v>230.65038423138697</v>
      </c>
      <c r="K25" s="448">
        <f t="shared" si="11"/>
        <v>0</v>
      </c>
      <c r="L25" s="448">
        <f t="shared" si="12"/>
        <v>0</v>
      </c>
      <c r="M25" s="448">
        <f t="shared" si="13"/>
        <v>0</v>
      </c>
      <c r="N25" s="448">
        <f t="shared" si="14"/>
        <v>0</v>
      </c>
      <c r="O25" s="448">
        <f t="shared" si="15"/>
        <v>0</v>
      </c>
      <c r="P25" s="449">
        <f t="shared" si="16"/>
        <v>0</v>
      </c>
      <c r="Q25" s="447">
        <f t="shared" ca="1" si="17"/>
        <v>15245.522463237165</v>
      </c>
    </row>
    <row r="26" spans="1:17">
      <c r="A26" s="447" t="s">
        <v>639</v>
      </c>
      <c r="B26" s="448">
        <f t="shared" ca="1" si="2"/>
        <v>762.65646498502372</v>
      </c>
      <c r="C26" s="448">
        <f t="shared" ca="1" si="3"/>
        <v>0</v>
      </c>
      <c r="D26" s="448">
        <f t="shared" si="4"/>
        <v>478.84916371257845</v>
      </c>
      <c r="E26" s="448">
        <f t="shared" si="5"/>
        <v>135.06051949849035</v>
      </c>
      <c r="F26" s="448">
        <f t="shared" si="6"/>
        <v>687.36203480184213</v>
      </c>
      <c r="G26" s="448">
        <f t="shared" si="7"/>
        <v>0</v>
      </c>
      <c r="H26" s="448">
        <f t="shared" si="8"/>
        <v>0</v>
      </c>
      <c r="I26" s="448">
        <f t="shared" si="9"/>
        <v>0</v>
      </c>
      <c r="J26" s="448">
        <f t="shared" si="10"/>
        <v>0.86989652151840635</v>
      </c>
      <c r="K26" s="448">
        <f t="shared" si="11"/>
        <v>0</v>
      </c>
      <c r="L26" s="448">
        <f t="shared" si="12"/>
        <v>0</v>
      </c>
      <c r="M26" s="448">
        <f t="shared" si="13"/>
        <v>0</v>
      </c>
      <c r="N26" s="448">
        <f t="shared" si="14"/>
        <v>0</v>
      </c>
      <c r="O26" s="448">
        <f t="shared" si="15"/>
        <v>0</v>
      </c>
      <c r="P26" s="449">
        <f t="shared" si="16"/>
        <v>0</v>
      </c>
      <c r="Q26" s="447">
        <f t="shared" ca="1" si="17"/>
        <v>2064.798079519453</v>
      </c>
    </row>
    <row r="27" spans="1:17" s="453" customFormat="1">
      <c r="A27" s="451" t="s">
        <v>557</v>
      </c>
      <c r="B27" s="761">
        <f t="shared" ca="1" si="2"/>
        <v>4.0447221224437699</v>
      </c>
      <c r="C27" s="452">
        <f t="shared" ca="1" si="3"/>
        <v>0</v>
      </c>
      <c r="D27" s="452">
        <f t="shared" si="4"/>
        <v>3.4301642806773653</v>
      </c>
      <c r="E27" s="452">
        <f t="shared" si="5"/>
        <v>158.14404276554473</v>
      </c>
      <c r="F27" s="452">
        <f t="shared" si="6"/>
        <v>0</v>
      </c>
      <c r="G27" s="452">
        <f t="shared" si="7"/>
        <v>58450.804917281726</v>
      </c>
      <c r="H27" s="452">
        <f t="shared" si="8"/>
        <v>7494.9502791808709</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66111.374125631264</v>
      </c>
    </row>
    <row r="28" spans="1:17">
      <c r="A28" s="447" t="s">
        <v>547</v>
      </c>
      <c r="B28" s="448">
        <f t="shared" ca="1" si="2"/>
        <v>0.37629908303301829</v>
      </c>
      <c r="C28" s="448">
        <f t="shared" ca="1" si="3"/>
        <v>0</v>
      </c>
      <c r="D28" s="448">
        <f t="shared" si="4"/>
        <v>0</v>
      </c>
      <c r="E28" s="448">
        <f t="shared" si="5"/>
        <v>0</v>
      </c>
      <c r="F28" s="448">
        <f t="shared" si="6"/>
        <v>0</v>
      </c>
      <c r="G28" s="448">
        <f t="shared" si="7"/>
        <v>91.413262580323021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91.789561663356039</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207.22360921470488</v>
      </c>
      <c r="C32" s="448">
        <f t="shared" ca="1" si="3"/>
        <v>0</v>
      </c>
      <c r="D32" s="448">
        <f t="shared" si="4"/>
        <v>287.68049245838478</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494.90410167308966</v>
      </c>
    </row>
    <row r="33" spans="1:17" s="460" customFormat="1">
      <c r="A33" s="457" t="s">
        <v>551</v>
      </c>
      <c r="B33" s="458">
        <f ca="1">SUM(B22:B32)</f>
        <v>10254.328180338427</v>
      </c>
      <c r="C33" s="458">
        <f t="shared" ref="C33:Q33" ca="1" si="18">SUM(C22:C32)</f>
        <v>7333.1092436974805</v>
      </c>
      <c r="D33" s="458">
        <f t="shared" ca="1" si="18"/>
        <v>13720.199710356566</v>
      </c>
      <c r="E33" s="458">
        <f t="shared" si="18"/>
        <v>720.94521527510847</v>
      </c>
      <c r="F33" s="458">
        <f t="shared" ca="1" si="18"/>
        <v>19017.766639224192</v>
      </c>
      <c r="G33" s="458">
        <f t="shared" si="18"/>
        <v>58542.218179862051</v>
      </c>
      <c r="H33" s="458">
        <f t="shared" si="18"/>
        <v>7494.9502791808709</v>
      </c>
      <c r="I33" s="458">
        <f t="shared" si="18"/>
        <v>0</v>
      </c>
      <c r="J33" s="458">
        <f t="shared" si="18"/>
        <v>574.68907223447707</v>
      </c>
      <c r="K33" s="458">
        <f t="shared" si="18"/>
        <v>0</v>
      </c>
      <c r="L33" s="458">
        <f t="shared" ca="1" si="18"/>
        <v>0</v>
      </c>
      <c r="M33" s="458">
        <f t="shared" si="18"/>
        <v>0</v>
      </c>
      <c r="N33" s="458">
        <f t="shared" ca="1" si="18"/>
        <v>0</v>
      </c>
      <c r="O33" s="458">
        <f t="shared" si="18"/>
        <v>0</v>
      </c>
      <c r="P33" s="458">
        <f t="shared" si="18"/>
        <v>0</v>
      </c>
      <c r="Q33" s="458">
        <f t="shared" ca="1" si="18"/>
        <v>117658.20652016919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3159.8840502153535</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21600</v>
      </c>
      <c r="D8" s="1020">
        <f>'SEAP template'!D76</f>
        <v>25411.76470588236</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5133.176470588237</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3159.8840502153535</v>
      </c>
      <c r="C10" s="1024">
        <f>SUM(C4:C9)</f>
        <v>21600</v>
      </c>
      <c r="D10" s="1024">
        <f t="shared" ref="D10:H10" si="0">SUM(D8:D9)</f>
        <v>25411.76470588236</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5133.176470588237</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0.21393260752372678</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30857.142857142855</v>
      </c>
      <c r="D17" s="1021">
        <f>'SEAP template'!D87</f>
        <v>36302.521008403368</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7333.1092436974805</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30857.142857142855</v>
      </c>
      <c r="D20" s="1024">
        <f t="shared" ref="D20:H20" si="2">SUM(D17:D19)</f>
        <v>36302.521008403368</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7333.1092436974805</v>
      </c>
    </row>
    <row r="22" spans="1:16">
      <c r="A22" s="461" t="s">
        <v>856</v>
      </c>
      <c r="B22" s="767" t="s">
        <v>850</v>
      </c>
      <c r="C22" s="767">
        <f ca="1">'EF ele_warmte'!B22</f>
        <v>0.23764705882352949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0.21393260752372678</v>
      </c>
      <c r="C17" s="498">
        <f ca="1">'EF ele_warmte'!B22</f>
        <v>0.23764705882352949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1</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1.5633333333333335</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0.21393260752372678</v>
      </c>
      <c r="C17" s="498">
        <f ca="1">'EF ele_warmte'!B22</f>
        <v>0.23764705882352949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0.21393260752372678</v>
      </c>
      <c r="C29" s="499">
        <f ca="1">'EF ele_warmte'!B22</f>
        <v>0.23764705882352949</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4755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3422</v>
      </c>
      <c r="C14" s="327"/>
      <c r="D14" s="327"/>
      <c r="E14" s="327"/>
      <c r="F14" s="327"/>
    </row>
    <row r="15" spans="1:6">
      <c r="A15" s="1296" t="s">
        <v>177</v>
      </c>
      <c r="B15" s="1297">
        <v>103</v>
      </c>
      <c r="C15" s="327"/>
      <c r="D15" s="327"/>
      <c r="E15" s="327"/>
      <c r="F15" s="327"/>
    </row>
    <row r="16" spans="1:6">
      <c r="A16" s="1296" t="s">
        <v>6</v>
      </c>
      <c r="B16" s="1297">
        <v>1588</v>
      </c>
      <c r="C16" s="327"/>
      <c r="D16" s="327"/>
      <c r="E16" s="327"/>
      <c r="F16" s="327"/>
    </row>
    <row r="17" spans="1:6">
      <c r="A17" s="1296" t="s">
        <v>7</v>
      </c>
      <c r="B17" s="1297">
        <v>1055</v>
      </c>
      <c r="C17" s="327"/>
      <c r="D17" s="327"/>
      <c r="E17" s="327"/>
      <c r="F17" s="327"/>
    </row>
    <row r="18" spans="1:6">
      <c r="A18" s="1296" t="s">
        <v>8</v>
      </c>
      <c r="B18" s="1297">
        <v>1733</v>
      </c>
      <c r="C18" s="327"/>
      <c r="D18" s="327"/>
      <c r="E18" s="327"/>
      <c r="F18" s="327"/>
    </row>
    <row r="19" spans="1:6">
      <c r="A19" s="1296" t="s">
        <v>9</v>
      </c>
      <c r="B19" s="1297">
        <v>1625</v>
      </c>
      <c r="C19" s="327"/>
      <c r="D19" s="327"/>
      <c r="E19" s="327"/>
      <c r="F19" s="327"/>
    </row>
    <row r="20" spans="1:6">
      <c r="A20" s="1296" t="s">
        <v>10</v>
      </c>
      <c r="B20" s="1297">
        <v>1068</v>
      </c>
      <c r="C20" s="327"/>
      <c r="D20" s="327"/>
      <c r="E20" s="327"/>
      <c r="F20" s="327"/>
    </row>
    <row r="21" spans="1:6">
      <c r="A21" s="1296" t="s">
        <v>11</v>
      </c>
      <c r="B21" s="1297">
        <v>10117</v>
      </c>
      <c r="C21" s="327"/>
      <c r="D21" s="327"/>
      <c r="E21" s="327"/>
      <c r="F21" s="327"/>
    </row>
    <row r="22" spans="1:6">
      <c r="A22" s="1296" t="s">
        <v>12</v>
      </c>
      <c r="B22" s="1297">
        <v>36445</v>
      </c>
      <c r="C22" s="327"/>
      <c r="D22" s="327"/>
      <c r="E22" s="327"/>
      <c r="F22" s="327"/>
    </row>
    <row r="23" spans="1:6">
      <c r="A23" s="1296" t="s">
        <v>13</v>
      </c>
      <c r="B23" s="1297">
        <v>340</v>
      </c>
      <c r="C23" s="327"/>
      <c r="D23" s="327"/>
      <c r="E23" s="327"/>
      <c r="F23" s="327"/>
    </row>
    <row r="24" spans="1:6">
      <c r="A24" s="1296" t="s">
        <v>14</v>
      </c>
      <c r="B24" s="1297">
        <v>30</v>
      </c>
      <c r="C24" s="327"/>
      <c r="D24" s="327"/>
      <c r="E24" s="327"/>
      <c r="F24" s="327"/>
    </row>
    <row r="25" spans="1:6">
      <c r="A25" s="1296" t="s">
        <v>15</v>
      </c>
      <c r="B25" s="1297">
        <v>2610</v>
      </c>
      <c r="C25" s="327"/>
      <c r="D25" s="327"/>
      <c r="E25" s="327"/>
      <c r="F25" s="327"/>
    </row>
    <row r="26" spans="1:6">
      <c r="A26" s="1296" t="s">
        <v>16</v>
      </c>
      <c r="B26" s="1297">
        <v>224</v>
      </c>
      <c r="C26" s="327"/>
      <c r="D26" s="327"/>
      <c r="E26" s="327"/>
      <c r="F26" s="327"/>
    </row>
    <row r="27" spans="1:6">
      <c r="A27" s="1296" t="s">
        <v>17</v>
      </c>
      <c r="B27" s="1297">
        <v>8</v>
      </c>
      <c r="C27" s="327"/>
      <c r="D27" s="327"/>
      <c r="E27" s="327"/>
      <c r="F27" s="327"/>
    </row>
    <row r="28" spans="1:6">
      <c r="A28" s="1296" t="s">
        <v>18</v>
      </c>
      <c r="B28" s="1298">
        <v>245861</v>
      </c>
      <c r="C28" s="327"/>
      <c r="D28" s="327"/>
      <c r="E28" s="327"/>
      <c r="F28" s="327"/>
    </row>
    <row r="29" spans="1:6">
      <c r="A29" s="1296" t="s">
        <v>922</v>
      </c>
      <c r="B29" s="1298">
        <v>299</v>
      </c>
      <c r="C29" s="327"/>
      <c r="D29" s="327"/>
      <c r="E29" s="327"/>
      <c r="F29" s="327"/>
    </row>
    <row r="30" spans="1:6">
      <c r="A30" s="1291" t="s">
        <v>923</v>
      </c>
      <c r="B30" s="1299">
        <v>68</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4</v>
      </c>
      <c r="F38" s="1297">
        <v>28286.1323188438</v>
      </c>
    </row>
    <row r="39" spans="1:6">
      <c r="A39" s="1296" t="s">
        <v>29</v>
      </c>
      <c r="B39" s="1296" t="s">
        <v>30</v>
      </c>
      <c r="C39" s="1297">
        <v>1916</v>
      </c>
      <c r="D39" s="1297">
        <v>33960615.5338609</v>
      </c>
      <c r="E39" s="1297">
        <v>4463</v>
      </c>
      <c r="F39" s="1297">
        <v>22684875.09951368</v>
      </c>
    </row>
    <row r="40" spans="1:6">
      <c r="A40" s="1296" t="s">
        <v>29</v>
      </c>
      <c r="B40" s="1296" t="s">
        <v>28</v>
      </c>
      <c r="C40" s="1297">
        <v>0</v>
      </c>
      <c r="D40" s="1297">
        <v>0</v>
      </c>
      <c r="E40" s="1297">
        <v>0</v>
      </c>
      <c r="F40" s="1297">
        <v>0</v>
      </c>
    </row>
    <row r="41" spans="1:6">
      <c r="A41" s="1296" t="s">
        <v>31</v>
      </c>
      <c r="B41" s="1296" t="s">
        <v>32</v>
      </c>
      <c r="C41" s="1297">
        <v>17</v>
      </c>
      <c r="D41" s="1297">
        <v>638545.17046534503</v>
      </c>
      <c r="E41" s="1297">
        <v>122</v>
      </c>
      <c r="F41" s="1297">
        <v>1759292.48977008</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7</v>
      </c>
      <c r="F44" s="1297">
        <v>73469.821460217398</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19</v>
      </c>
      <c r="D48" s="1297">
        <v>1558348.1959810799</v>
      </c>
      <c r="E48" s="1297">
        <v>23</v>
      </c>
      <c r="F48" s="1297">
        <v>954736.71238278097</v>
      </c>
    </row>
    <row r="49" spans="1:6">
      <c r="A49" s="1296" t="s">
        <v>31</v>
      </c>
      <c r="B49" s="1296" t="s">
        <v>39</v>
      </c>
      <c r="C49" s="1297">
        <v>0</v>
      </c>
      <c r="D49" s="1297">
        <v>0</v>
      </c>
      <c r="E49" s="1297">
        <v>0</v>
      </c>
      <c r="F49" s="1297">
        <v>0</v>
      </c>
    </row>
    <row r="50" spans="1:6">
      <c r="A50" s="1296" t="s">
        <v>31</v>
      </c>
      <c r="B50" s="1296" t="s">
        <v>40</v>
      </c>
      <c r="C50" s="1297">
        <v>5</v>
      </c>
      <c r="D50" s="1297">
        <v>431200.21938362502</v>
      </c>
      <c r="E50" s="1297">
        <v>11</v>
      </c>
      <c r="F50" s="1297">
        <v>777438.89685067895</v>
      </c>
    </row>
    <row r="51" spans="1:6">
      <c r="A51" s="1296" t="s">
        <v>41</v>
      </c>
      <c r="B51" s="1296" t="s">
        <v>42</v>
      </c>
      <c r="C51" s="1297">
        <v>27</v>
      </c>
      <c r="D51" s="1297">
        <v>83244629.262494206</v>
      </c>
      <c r="E51" s="1297">
        <v>202</v>
      </c>
      <c r="F51" s="1297">
        <v>4325912.4543605298</v>
      </c>
    </row>
    <row r="52" spans="1:6">
      <c r="A52" s="1296" t="s">
        <v>41</v>
      </c>
      <c r="B52" s="1296" t="s">
        <v>28</v>
      </c>
      <c r="C52" s="1297">
        <v>2</v>
      </c>
      <c r="D52" s="1297">
        <v>275219.30364191998</v>
      </c>
      <c r="E52" s="1297">
        <v>1</v>
      </c>
      <c r="F52" s="1297">
        <v>6561</v>
      </c>
    </row>
    <row r="53" spans="1:6">
      <c r="A53" s="1296" t="s">
        <v>43</v>
      </c>
      <c r="B53" s="1296" t="s">
        <v>44</v>
      </c>
      <c r="C53" s="1297">
        <v>66</v>
      </c>
      <c r="D53" s="1297">
        <v>1424160.85375438</v>
      </c>
      <c r="E53" s="1297">
        <v>170</v>
      </c>
      <c r="F53" s="1297">
        <v>968639.66467441001</v>
      </c>
    </row>
    <row r="54" spans="1:6">
      <c r="A54" s="1296" t="s">
        <v>45</v>
      </c>
      <c r="B54" s="1296" t="s">
        <v>46</v>
      </c>
      <c r="C54" s="1297">
        <v>0</v>
      </c>
      <c r="D54" s="1297">
        <v>0</v>
      </c>
      <c r="E54" s="1297">
        <v>6</v>
      </c>
      <c r="F54" s="1297">
        <v>1185262</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12</v>
      </c>
      <c r="D57" s="1297">
        <v>400560.15057002398</v>
      </c>
      <c r="E57" s="1297">
        <v>83</v>
      </c>
      <c r="F57" s="1297">
        <v>1357219.2967551399</v>
      </c>
    </row>
    <row r="58" spans="1:6">
      <c r="A58" s="1296" t="s">
        <v>48</v>
      </c>
      <c r="B58" s="1296" t="s">
        <v>50</v>
      </c>
      <c r="C58" s="1297">
        <v>12</v>
      </c>
      <c r="D58" s="1297">
        <v>1104119.86264379</v>
      </c>
      <c r="E58" s="1297">
        <v>28</v>
      </c>
      <c r="F58" s="1297">
        <v>367536.487638277</v>
      </c>
    </row>
    <row r="59" spans="1:6">
      <c r="A59" s="1296" t="s">
        <v>48</v>
      </c>
      <c r="B59" s="1296" t="s">
        <v>51</v>
      </c>
      <c r="C59" s="1297">
        <v>24</v>
      </c>
      <c r="D59" s="1297">
        <v>884042.34303944197</v>
      </c>
      <c r="E59" s="1297">
        <v>126</v>
      </c>
      <c r="F59" s="1297">
        <v>3263168.4215679602</v>
      </c>
    </row>
    <row r="60" spans="1:6">
      <c r="A60" s="1296" t="s">
        <v>48</v>
      </c>
      <c r="B60" s="1296" t="s">
        <v>52</v>
      </c>
      <c r="C60" s="1297">
        <v>26</v>
      </c>
      <c r="D60" s="1297">
        <v>1349154.608272</v>
      </c>
      <c r="E60" s="1297">
        <v>45</v>
      </c>
      <c r="F60" s="1297">
        <v>789460.93563694099</v>
      </c>
    </row>
    <row r="61" spans="1:6">
      <c r="A61" s="1296" t="s">
        <v>48</v>
      </c>
      <c r="B61" s="1296" t="s">
        <v>53</v>
      </c>
      <c r="C61" s="1297">
        <v>60</v>
      </c>
      <c r="D61" s="1297">
        <v>3642154.9608348501</v>
      </c>
      <c r="E61" s="1297">
        <v>201</v>
      </c>
      <c r="F61" s="1297">
        <v>2889378.20108015</v>
      </c>
    </row>
    <row r="62" spans="1:6">
      <c r="A62" s="1296" t="s">
        <v>48</v>
      </c>
      <c r="B62" s="1296" t="s">
        <v>54</v>
      </c>
      <c r="C62" s="1297">
        <v>0</v>
      </c>
      <c r="D62" s="1297">
        <v>0</v>
      </c>
      <c r="E62" s="1297">
        <v>0</v>
      </c>
      <c r="F62" s="1297">
        <v>0</v>
      </c>
    </row>
    <row r="63" spans="1:6">
      <c r="A63" s="1296" t="s">
        <v>48</v>
      </c>
      <c r="B63" s="1296" t="s">
        <v>28</v>
      </c>
      <c r="C63" s="1297">
        <v>72</v>
      </c>
      <c r="D63" s="1297">
        <v>14634386.6566402</v>
      </c>
      <c r="E63" s="1297">
        <v>102</v>
      </c>
      <c r="F63" s="1297">
        <v>4124254.8356669499</v>
      </c>
    </row>
    <row r="64" spans="1:6">
      <c r="A64" s="1296" t="s">
        <v>55</v>
      </c>
      <c r="B64" s="1296" t="s">
        <v>56</v>
      </c>
      <c r="C64" s="1297">
        <v>0</v>
      </c>
      <c r="D64" s="1297">
        <v>0</v>
      </c>
      <c r="E64" s="1297">
        <v>0</v>
      </c>
      <c r="F64" s="1297">
        <v>0</v>
      </c>
    </row>
    <row r="65" spans="1:6">
      <c r="A65" s="1296" t="s">
        <v>55</v>
      </c>
      <c r="B65" s="1296" t="s">
        <v>28</v>
      </c>
      <c r="C65" s="1297">
        <v>0</v>
      </c>
      <c r="D65" s="1297">
        <v>0</v>
      </c>
      <c r="E65" s="1297">
        <v>2</v>
      </c>
      <c r="F65" s="1297">
        <v>18556.528022620801</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5</v>
      </c>
      <c r="F68" s="1299">
        <v>150513.83632165499</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25216163</v>
      </c>
      <c r="E73" s="446"/>
      <c r="F73" s="327"/>
    </row>
    <row r="74" spans="1:6">
      <c r="A74" s="1296" t="s">
        <v>63</v>
      </c>
      <c r="B74" s="1296" t="s">
        <v>706</v>
      </c>
      <c r="C74" s="1309" t="s">
        <v>707</v>
      </c>
      <c r="D74" s="1297">
        <v>2370891.7458227258</v>
      </c>
      <c r="E74" s="446"/>
      <c r="F74" s="327"/>
    </row>
    <row r="75" spans="1:6">
      <c r="A75" s="1296" t="s">
        <v>64</v>
      </c>
      <c r="B75" s="1296" t="s">
        <v>704</v>
      </c>
      <c r="C75" s="1309" t="s">
        <v>708</v>
      </c>
      <c r="D75" s="1297">
        <v>37079723</v>
      </c>
      <c r="E75" s="446"/>
      <c r="F75" s="327"/>
    </row>
    <row r="76" spans="1:6">
      <c r="A76" s="1296" t="s">
        <v>64</v>
      </c>
      <c r="B76" s="1296" t="s">
        <v>706</v>
      </c>
      <c r="C76" s="1309" t="s">
        <v>709</v>
      </c>
      <c r="D76" s="1297">
        <v>2738080.7458227258</v>
      </c>
      <c r="E76" s="446"/>
      <c r="F76" s="327"/>
    </row>
    <row r="77" spans="1:6">
      <c r="A77" s="1296" t="s">
        <v>65</v>
      </c>
      <c r="B77" s="1296" t="s">
        <v>704</v>
      </c>
      <c r="C77" s="1309" t="s">
        <v>710</v>
      </c>
      <c r="D77" s="1297">
        <v>176080622</v>
      </c>
      <c r="E77" s="446"/>
      <c r="F77" s="327"/>
    </row>
    <row r="78" spans="1:6">
      <c r="A78" s="1291" t="s">
        <v>65</v>
      </c>
      <c r="B78" s="1291" t="s">
        <v>706</v>
      </c>
      <c r="C78" s="1291" t="s">
        <v>711</v>
      </c>
      <c r="D78" s="1299">
        <v>30216991</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95144.50835454867</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2384.6444181414913</v>
      </c>
      <c r="C91" s="327"/>
      <c r="D91" s="327"/>
      <c r="E91" s="327"/>
      <c r="F91" s="327"/>
    </row>
    <row r="92" spans="1:6">
      <c r="A92" s="1291" t="s">
        <v>68</v>
      </c>
      <c r="B92" s="1292">
        <v>775.23963207386225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418</v>
      </c>
      <c r="C97" s="327"/>
      <c r="D97" s="327"/>
      <c r="E97" s="327"/>
      <c r="F97" s="327"/>
    </row>
    <row r="98" spans="1:6">
      <c r="A98" s="1296" t="s">
        <v>71</v>
      </c>
      <c r="B98" s="1297">
        <v>0</v>
      </c>
      <c r="C98" s="327"/>
      <c r="D98" s="327"/>
      <c r="E98" s="327"/>
      <c r="F98" s="327"/>
    </row>
    <row r="99" spans="1:6">
      <c r="A99" s="1296" t="s">
        <v>72</v>
      </c>
      <c r="B99" s="1297">
        <v>183</v>
      </c>
      <c r="C99" s="327"/>
      <c r="D99" s="327"/>
      <c r="E99" s="327"/>
      <c r="F99" s="327"/>
    </row>
    <row r="100" spans="1:6">
      <c r="A100" s="1296" t="s">
        <v>73</v>
      </c>
      <c r="B100" s="1297">
        <v>540</v>
      </c>
      <c r="C100" s="327"/>
      <c r="D100" s="327"/>
      <c r="E100" s="327"/>
      <c r="F100" s="327"/>
    </row>
    <row r="101" spans="1:6">
      <c r="A101" s="1296" t="s">
        <v>74</v>
      </c>
      <c r="B101" s="1297">
        <v>124</v>
      </c>
      <c r="C101" s="327"/>
      <c r="D101" s="327"/>
      <c r="E101" s="327"/>
      <c r="F101" s="327"/>
    </row>
    <row r="102" spans="1:6">
      <c r="A102" s="1296" t="s">
        <v>75</v>
      </c>
      <c r="B102" s="1297">
        <v>87</v>
      </c>
      <c r="C102" s="327"/>
      <c r="D102" s="327"/>
      <c r="E102" s="327"/>
      <c r="F102" s="327"/>
    </row>
    <row r="103" spans="1:6">
      <c r="A103" s="1296" t="s">
        <v>76</v>
      </c>
      <c r="B103" s="1297">
        <v>228</v>
      </c>
      <c r="C103" s="327"/>
      <c r="D103" s="327"/>
      <c r="E103" s="327"/>
      <c r="F103" s="327"/>
    </row>
    <row r="104" spans="1:6">
      <c r="A104" s="1296" t="s">
        <v>77</v>
      </c>
      <c r="B104" s="1297">
        <v>2518</v>
      </c>
      <c r="C104" s="327"/>
      <c r="D104" s="327"/>
      <c r="E104" s="327"/>
      <c r="F104" s="327"/>
    </row>
    <row r="105" spans="1:6">
      <c r="A105" s="1291"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1</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22</v>
      </c>
      <c r="C123" s="1297">
        <v>14</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103</v>
      </c>
      <c r="C129" s="327"/>
      <c r="D129" s="327"/>
      <c r="E129" s="327"/>
      <c r="F129" s="327"/>
    </row>
    <row r="130" spans="1:6">
      <c r="A130" s="1296" t="s">
        <v>284</v>
      </c>
      <c r="B130" s="1297">
        <v>4</v>
      </c>
      <c r="C130" s="327"/>
      <c r="D130" s="327"/>
      <c r="E130" s="327"/>
      <c r="F130" s="327"/>
    </row>
    <row r="131" spans="1:6">
      <c r="A131" s="1296" t="s">
        <v>285</v>
      </c>
      <c r="B131" s="1297">
        <v>3</v>
      </c>
      <c r="C131" s="327"/>
      <c r="D131" s="327"/>
      <c r="E131" s="327"/>
      <c r="F131" s="327"/>
    </row>
    <row r="132" spans="1:6">
      <c r="A132" s="1291" t="s">
        <v>286</v>
      </c>
      <c r="B132" s="1292">
        <v>4</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47932.516221030695</v>
      </c>
      <c r="C3" s="43" t="s">
        <v>163</v>
      </c>
      <c r="D3" s="43"/>
      <c r="E3" s="156"/>
      <c r="F3" s="43"/>
      <c r="G3" s="43"/>
      <c r="H3" s="43"/>
      <c r="I3" s="43"/>
      <c r="J3" s="43"/>
      <c r="K3" s="96"/>
    </row>
    <row r="4" spans="1:11">
      <c r="A4" s="353" t="s">
        <v>164</v>
      </c>
      <c r="B4" s="49">
        <f>IF(ISERROR('SEAP template'!B78+'SEAP template'!C78),0,'SEAP template'!B78+'SEAP template'!C78)</f>
        <v>24759.884050215354</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5133.176470588237</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0.21393260752372678</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7333.1092436974805</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30857.142857142855</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0.23764705882352949</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1185.2619999999999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1185.2619999999999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0.21393260752372678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253.56619025878743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22684.87509951368</v>
      </c>
      <c r="C5" s="17">
        <f>IF(ISERROR('Eigen informatie GS &amp; warmtenet'!B57),0,'Eigen informatie GS &amp; warmtenet'!B57)</f>
        <v>0</v>
      </c>
      <c r="D5" s="30">
        <f>(SUM(HH_hh_gas_kWh,HH_rest_gas_kWh)/1000)*0.902</f>
        <v>30632.475211542536</v>
      </c>
      <c r="E5" s="17">
        <f>B32*B41</f>
        <v>1670.3361609171204</v>
      </c>
      <c r="F5" s="17">
        <f>B36*B45</f>
        <v>51188.241313736842</v>
      </c>
      <c r="G5" s="18"/>
      <c r="H5" s="17"/>
      <c r="I5" s="17"/>
      <c r="J5" s="17">
        <f>B35*B44+C35*C44</f>
        <v>969.40336576715174</v>
      </c>
      <c r="K5" s="17"/>
      <c r="L5" s="17"/>
      <c r="M5" s="17"/>
      <c r="N5" s="17">
        <f>B34*B43+C34*C43</f>
        <v>7941.8352339414114</v>
      </c>
      <c r="O5" s="17">
        <f>B52*B53*B54</f>
        <v>182.91000000000003</v>
      </c>
      <c r="P5" s="17">
        <f>B60*B61*B62/1000-B60*B61*B62/1000/B63</f>
        <v>495.73333333333335</v>
      </c>
    </row>
    <row r="6" spans="1:16">
      <c r="A6" s="16" t="s">
        <v>617</v>
      </c>
      <c r="B6" s="769">
        <f>kWh_PV_kleiner_dan_10kW</f>
        <v>2384.6444181414913</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25069.519517655172</v>
      </c>
      <c r="C8" s="21">
        <f>C5</f>
        <v>0</v>
      </c>
      <c r="D8" s="21">
        <f>D5</f>
        <v>30632.475211542536</v>
      </c>
      <c r="E8" s="21">
        <f>E5</f>
        <v>1670.3361609171204</v>
      </c>
      <c r="F8" s="21">
        <f>F5</f>
        <v>51188.241313736842</v>
      </c>
      <c r="G8" s="21"/>
      <c r="H8" s="21"/>
      <c r="I8" s="21"/>
      <c r="J8" s="21">
        <f>J5</f>
        <v>969.40336576715174</v>
      </c>
      <c r="K8" s="21"/>
      <c r="L8" s="21">
        <f>L5</f>
        <v>0</v>
      </c>
      <c r="M8" s="21">
        <f>M5</f>
        <v>0</v>
      </c>
      <c r="N8" s="21">
        <f>N5</f>
        <v>7941.8352339414114</v>
      </c>
      <c r="O8" s="21">
        <f>O5</f>
        <v>182.91000000000003</v>
      </c>
      <c r="P8" s="21">
        <f>P5</f>
        <v>495.73333333333335</v>
      </c>
    </row>
    <row r="9" spans="1:16">
      <c r="B9" s="19"/>
      <c r="C9" s="19"/>
      <c r="D9" s="257"/>
      <c r="E9" s="19"/>
      <c r="F9" s="19"/>
      <c r="G9" s="19"/>
      <c r="H9" s="19"/>
      <c r="I9" s="19"/>
      <c r="J9" s="19"/>
      <c r="K9" s="19"/>
      <c r="L9" s="19"/>
      <c r="M9" s="19"/>
      <c r="N9" s="19"/>
      <c r="O9" s="19"/>
      <c r="P9" s="19"/>
    </row>
    <row r="10" spans="1:16">
      <c r="A10" s="24" t="s">
        <v>207</v>
      </c>
      <c r="B10" s="25">
        <f ca="1">'EF ele_warmte'!B12</f>
        <v>0.21393260752372678</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5363.1876797789319</v>
      </c>
      <c r="C12" s="23">
        <f ca="1">C10*C8</f>
        <v>0</v>
      </c>
      <c r="D12" s="23">
        <f>D8*D10</f>
        <v>6187.7599927315923</v>
      </c>
      <c r="E12" s="23">
        <f>E10*E8</f>
        <v>379.16630852818633</v>
      </c>
      <c r="F12" s="23">
        <f>F10*F8</f>
        <v>13667.260430767737</v>
      </c>
      <c r="G12" s="23"/>
      <c r="H12" s="23"/>
      <c r="I12" s="23"/>
      <c r="J12" s="23">
        <f>J10*J8</f>
        <v>343.1687914815717</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4755</v>
      </c>
      <c r="C26" s="36"/>
      <c r="D26" s="227"/>
    </row>
    <row r="27" spans="1:5" s="15" customFormat="1">
      <c r="A27" s="229" t="s">
        <v>722</v>
      </c>
      <c r="B27" s="37">
        <f>SUM(HH_hh_gas_aantal,HH_rest_gas_aantal)</f>
        <v>1916</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1820.2</v>
      </c>
      <c r="C31" s="34" t="s">
        <v>104</v>
      </c>
      <c r="D31" s="173"/>
    </row>
    <row r="32" spans="1:5">
      <c r="A32" s="170" t="s">
        <v>72</v>
      </c>
      <c r="B32" s="33">
        <f>IF((B21*($B$26-($B$27-0.05*$B$27)-$B$60))&lt;0,0,B21*($B$26-($B$27-0.05*$B$27)-$B$60))</f>
        <v>72.840895710258465</v>
      </c>
      <c r="C32" s="34" t="s">
        <v>104</v>
      </c>
      <c r="D32" s="173"/>
    </row>
    <row r="33" spans="1:6">
      <c r="A33" s="170" t="s">
        <v>73</v>
      </c>
      <c r="B33" s="33">
        <f>IF((B22*($B$26-($B$27-0.05*$B$27)-$B$60))&lt;0,0,B22*($B$26-($B$27-0.05*$B$27)-$B$60))</f>
        <v>490.30465881019364</v>
      </c>
      <c r="C33" s="34" t="s">
        <v>104</v>
      </c>
      <c r="D33" s="173"/>
    </row>
    <row r="34" spans="1:6">
      <c r="A34" s="170" t="s">
        <v>74</v>
      </c>
      <c r="B34" s="33">
        <f>IF((B24*($B$26-($B$27-0.05*$B$27)-$B$60))&lt;0,0,B24*($B$26-($B$27-0.05*$B$27)-$B$60))</f>
        <v>124.39693778338693</v>
      </c>
      <c r="C34" s="33">
        <f>B26*C24</f>
        <v>972.68312157484354</v>
      </c>
      <c r="D34" s="232"/>
    </row>
    <row r="35" spans="1:6">
      <c r="A35" s="170" t="s">
        <v>76</v>
      </c>
      <c r="B35" s="33">
        <f>IF((B19*($B$26-($B$27-0.05*$B$27)-$B$60))&lt;0,0,B19*($B$26-($B$27-0.05*$B$27)-$B$60))</f>
        <v>46.229988234216513</v>
      </c>
      <c r="C35" s="33">
        <f>B35/2</f>
        <v>23.114994117108257</v>
      </c>
      <c r="D35" s="232"/>
    </row>
    <row r="36" spans="1:6">
      <c r="A36" s="170" t="s">
        <v>77</v>
      </c>
      <c r="B36" s="33">
        <f>IF((B18*($B$26-($B$27-0.05*$B$27)-$B$60))&lt;0,0,B18*($B$26-($B$27-0.05*$B$27)-$B$60))</f>
        <v>2175.0275194619448</v>
      </c>
      <c r="C36" s="34" t="s">
        <v>104</v>
      </c>
      <c r="D36" s="173"/>
    </row>
    <row r="37" spans="1:6">
      <c r="A37" s="170" t="s">
        <v>78</v>
      </c>
      <c r="B37" s="33">
        <f>B60</f>
        <v>26</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117</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26</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12791.018178345417</v>
      </c>
      <c r="C5" s="17">
        <f>IF(ISERROR('Eigen informatie GS &amp; warmtenet'!B58),0,'Eigen informatie GS &amp; warmtenet'!B58)</f>
        <v>0</v>
      </c>
      <c r="D5" s="30">
        <f>SUM(D6:D12)</f>
        <v>19857.005560964277</v>
      </c>
      <c r="E5" s="17">
        <f>SUM(E6:E12)</f>
        <v>159.38914951482658</v>
      </c>
      <c r="F5" s="17">
        <f>SUM(F6:F12)</f>
        <v>2516.8406848934997</v>
      </c>
      <c r="G5" s="18"/>
      <c r="H5" s="17"/>
      <c r="I5" s="17"/>
      <c r="J5" s="17">
        <f>SUM(J6:J12)</f>
        <v>0</v>
      </c>
      <c r="K5" s="17"/>
      <c r="L5" s="17"/>
      <c r="M5" s="17"/>
      <c r="N5" s="17">
        <f>SUM(N6:N12)</f>
        <v>1287.469312549995</v>
      </c>
      <c r="O5" s="17">
        <f>B38*B39*B40</f>
        <v>6.2533333333333339</v>
      </c>
      <c r="P5" s="17">
        <f>B46*B47*B48/1000-B46*B47*B48/1000/B49</f>
        <v>57.2</v>
      </c>
      <c r="R5" s="32"/>
    </row>
    <row r="6" spans="1:18">
      <c r="A6" s="32" t="s">
        <v>53</v>
      </c>
      <c r="B6" s="37">
        <f>B26</f>
        <v>2889.3782010801501</v>
      </c>
      <c r="C6" s="33"/>
      <c r="D6" s="37">
        <f>IF(ISERROR(TER_kantoor_gas_kWh/1000),0,TER_kantoor_gas_kWh/1000)*0.902</f>
        <v>3285.2237746730348</v>
      </c>
      <c r="E6" s="33">
        <f>$C$26*'E Balans VL '!I12/100/3.6*1000000</f>
        <v>11.225846028203147</v>
      </c>
      <c r="F6" s="33">
        <f>$C$26*('E Balans VL '!L12+'E Balans VL '!N12)/100/3.6*1000000</f>
        <v>439.44813313878092</v>
      </c>
      <c r="G6" s="34"/>
      <c r="H6" s="33"/>
      <c r="I6" s="33"/>
      <c r="J6" s="33">
        <f>$C$26*('E Balans VL '!D12+'E Balans VL '!E12)/100/3.6*1000000</f>
        <v>0</v>
      </c>
      <c r="K6" s="33"/>
      <c r="L6" s="33"/>
      <c r="M6" s="33"/>
      <c r="N6" s="33">
        <f>$C$26*'E Balans VL '!Y12/100/3.6*1000000</f>
        <v>1.5923935277793069</v>
      </c>
      <c r="O6" s="33"/>
      <c r="P6" s="33"/>
      <c r="R6" s="32"/>
    </row>
    <row r="7" spans="1:18">
      <c r="A7" s="32" t="s">
        <v>52</v>
      </c>
      <c r="B7" s="37">
        <f t="shared" ref="B7:B12" si="0">B27</f>
        <v>789.46093563694103</v>
      </c>
      <c r="C7" s="33"/>
      <c r="D7" s="37">
        <f>IF(ISERROR(TER_horeca_gas_kWh/1000),0,TER_horeca_gas_kWh/1000)*0.902</f>
        <v>1216.937456661344</v>
      </c>
      <c r="E7" s="33">
        <f>$C$27*'E Balans VL '!I9/100/3.6*1000000</f>
        <v>44.470545571312996</v>
      </c>
      <c r="F7" s="33">
        <f>$C$27*('E Balans VL '!L9+'E Balans VL '!N9)/100/3.6*1000000</f>
        <v>227.63326977632565</v>
      </c>
      <c r="G7" s="34"/>
      <c r="H7" s="33"/>
      <c r="I7" s="33"/>
      <c r="J7" s="33">
        <f>$C$27*('E Balans VL '!D9+'E Balans VL '!E9)/100/3.6*1000000</f>
        <v>0</v>
      </c>
      <c r="K7" s="33"/>
      <c r="L7" s="33"/>
      <c r="M7" s="33"/>
      <c r="N7" s="33">
        <f>$C$27*'E Balans VL '!Y9/100/3.6*1000000</f>
        <v>0.2179660619043533</v>
      </c>
      <c r="O7" s="33"/>
      <c r="P7" s="33"/>
      <c r="R7" s="32"/>
    </row>
    <row r="8" spans="1:18">
      <c r="A8" s="6" t="s">
        <v>51</v>
      </c>
      <c r="B8" s="37">
        <f t="shared" si="0"/>
        <v>3263.1684215679602</v>
      </c>
      <c r="C8" s="33"/>
      <c r="D8" s="37">
        <f>IF(ISERROR(TER_handel_gas_kWh/1000),0,TER_handel_gas_kWh/1000)*0.902</f>
        <v>797.40619342157675</v>
      </c>
      <c r="E8" s="33">
        <f>$C$28*'E Balans VL '!I13/100/3.6*1000000</f>
        <v>47.033327783970464</v>
      </c>
      <c r="F8" s="33">
        <f>$C$28*('E Balans VL '!L13+'E Balans VL '!N13)/100/3.6*1000000</f>
        <v>566.88834889090072</v>
      </c>
      <c r="G8" s="34"/>
      <c r="H8" s="33"/>
      <c r="I8" s="33"/>
      <c r="J8" s="33">
        <f>$C$28*('E Balans VL '!D13+'E Balans VL '!E13)/100/3.6*1000000</f>
        <v>0</v>
      </c>
      <c r="K8" s="33"/>
      <c r="L8" s="33"/>
      <c r="M8" s="33"/>
      <c r="N8" s="33">
        <f>$C$28*'E Balans VL '!Y13/100/3.6*1000000</f>
        <v>9.7768158544095787</v>
      </c>
      <c r="O8" s="33"/>
      <c r="P8" s="33"/>
      <c r="R8" s="32"/>
    </row>
    <row r="9" spans="1:18">
      <c r="A9" s="32" t="s">
        <v>50</v>
      </c>
      <c r="B9" s="37">
        <f t="shared" si="0"/>
        <v>367.53648763827698</v>
      </c>
      <c r="C9" s="33"/>
      <c r="D9" s="37">
        <f>IF(ISERROR(TER_gezond_gas_kWh/1000),0,TER_gezond_gas_kWh/1000)*0.902</f>
        <v>995.91611610469852</v>
      </c>
      <c r="E9" s="33">
        <f>$C$29*'E Balans VL '!I10/100/3.6*1000000</f>
        <v>0.39262423075689101</v>
      </c>
      <c r="F9" s="33">
        <f>$C$29*('E Balans VL '!L10+'E Balans VL '!N10)/100/3.6*1000000</f>
        <v>59.956370986813702</v>
      </c>
      <c r="G9" s="34"/>
      <c r="H9" s="33"/>
      <c r="I9" s="33"/>
      <c r="J9" s="33">
        <f>$C$29*('E Balans VL '!D10+'E Balans VL '!E10)/100/3.6*1000000</f>
        <v>0</v>
      </c>
      <c r="K9" s="33"/>
      <c r="L9" s="33"/>
      <c r="M9" s="33"/>
      <c r="N9" s="33">
        <f>$C$29*'E Balans VL '!Y10/100/3.6*1000000</f>
        <v>3.7835784281000362</v>
      </c>
      <c r="O9" s="33"/>
      <c r="P9" s="33"/>
      <c r="R9" s="32"/>
    </row>
    <row r="10" spans="1:18">
      <c r="A10" s="32" t="s">
        <v>49</v>
      </c>
      <c r="B10" s="37">
        <f t="shared" si="0"/>
        <v>1357.21929675514</v>
      </c>
      <c r="C10" s="33"/>
      <c r="D10" s="37">
        <f>IF(ISERROR(TER_ander_gas_kWh/1000),0,TER_ander_gas_kWh/1000)*0.902</f>
        <v>361.30525581416168</v>
      </c>
      <c r="E10" s="33">
        <f>$C$30*'E Balans VL '!I14/100/3.6*1000000</f>
        <v>6.2416450973964386</v>
      </c>
      <c r="F10" s="33">
        <f>$C$30*('E Balans VL '!L14+'E Balans VL '!N14)/100/3.6*1000000</f>
        <v>406.80143378187392</v>
      </c>
      <c r="G10" s="34"/>
      <c r="H10" s="33"/>
      <c r="I10" s="33"/>
      <c r="J10" s="33">
        <f>$C$30*('E Balans VL '!D14+'E Balans VL '!E14)/100/3.6*1000000</f>
        <v>0</v>
      </c>
      <c r="K10" s="33"/>
      <c r="L10" s="33"/>
      <c r="M10" s="33"/>
      <c r="N10" s="33">
        <f>$C$30*'E Balans VL '!Y14/100/3.6*1000000</f>
        <v>944.71422163063119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4124.2548356669495</v>
      </c>
      <c r="C12" s="33"/>
      <c r="D12" s="37">
        <f>IF(ISERROR(TER_rest_gas_kWh/1000),0,TER_rest_gas_kWh/1000)*0.902</f>
        <v>13200.21676428946</v>
      </c>
      <c r="E12" s="33">
        <f>$C$32*'E Balans VL '!I8/100/3.6*1000000</f>
        <v>50.02516080318663</v>
      </c>
      <c r="F12" s="33">
        <f>$C$32*('E Balans VL '!L8+'E Balans VL '!N8)/100/3.6*1000000</f>
        <v>816.1131283188048</v>
      </c>
      <c r="G12" s="34"/>
      <c r="H12" s="33"/>
      <c r="I12" s="33"/>
      <c r="J12" s="33">
        <f>$C$32*('E Balans VL '!D8+'E Balans VL '!E8)/100/3.6*1000000</f>
        <v>0</v>
      </c>
      <c r="K12" s="33"/>
      <c r="L12" s="33"/>
      <c r="M12" s="33"/>
      <c r="N12" s="33">
        <f>$C$32*'E Balans VL '!Y8/100/3.6*1000000</f>
        <v>327.3843370471705</v>
      </c>
      <c r="O12" s="33"/>
      <c r="P12" s="33"/>
      <c r="R12" s="32"/>
    </row>
    <row r="13" spans="1:18">
      <c r="A13" s="16" t="s">
        <v>484</v>
      </c>
      <c r="B13" s="245">
        <f ca="1">'lokale energieproductie'!N40+'lokale energieproductie'!N33</f>
        <v>0</v>
      </c>
      <c r="C13" s="245">
        <f ca="1">'lokale energieproductie'!O40+'lokale energieproductie'!O33</f>
        <v>0</v>
      </c>
      <c r="D13" s="305">
        <f ca="1">('lokale energieproductie'!P33+'lokale energieproductie'!P40)*(-1)</f>
        <v>0</v>
      </c>
      <c r="E13" s="246"/>
      <c r="F13" s="305">
        <f ca="1">('lokale energieproductie'!S33+'lokale energieproductie'!S40)*(-1)</f>
        <v>0</v>
      </c>
      <c r="G13" s="247"/>
      <c r="H13" s="246"/>
      <c r="I13" s="246"/>
      <c r="J13" s="246"/>
      <c r="K13" s="246"/>
      <c r="L13" s="305">
        <f ca="1">('lokale energieproductie'!U33+'lokale energieproductie'!T33+'lokale energieproductie'!U40+'lokale energieproductie'!T40)*(-1)</f>
        <v>0</v>
      </c>
      <c r="M13" s="246"/>
      <c r="N13" s="305">
        <f ca="1">('lokale energieproductie'!Q33+'lokale energieproductie'!R33+'lokale energieproductie'!V33+'lokale energieproductie'!Q40+'lokale energieproductie'!R40+'lokale energieproductie'!V40)*(-1)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12791.018178345417</v>
      </c>
      <c r="C16" s="21">
        <f t="shared" ca="1" si="1"/>
        <v>0</v>
      </c>
      <c r="D16" s="21">
        <f t="shared" ca="1" si="1"/>
        <v>19857.005560964277</v>
      </c>
      <c r="E16" s="21">
        <f t="shared" si="1"/>
        <v>159.38914951482658</v>
      </c>
      <c r="F16" s="21">
        <f t="shared" ca="1" si="1"/>
        <v>2516.8406848934997</v>
      </c>
      <c r="G16" s="21">
        <f t="shared" si="1"/>
        <v>0</v>
      </c>
      <c r="H16" s="21">
        <f t="shared" si="1"/>
        <v>0</v>
      </c>
      <c r="I16" s="21">
        <f t="shared" si="1"/>
        <v>0</v>
      </c>
      <c r="J16" s="21">
        <f t="shared" si="1"/>
        <v>0</v>
      </c>
      <c r="K16" s="21">
        <f t="shared" si="1"/>
        <v>0</v>
      </c>
      <c r="L16" s="21">
        <f t="shared" ca="1" si="1"/>
        <v>0</v>
      </c>
      <c r="M16" s="21">
        <f t="shared" si="1"/>
        <v>0</v>
      </c>
      <c r="N16" s="21">
        <f t="shared" ca="1" si="1"/>
        <v>1287.469312549995</v>
      </c>
      <c r="O16" s="21">
        <f>O5</f>
        <v>6.2533333333333339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0.21393260752372678</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2736.415871776825</v>
      </c>
      <c r="C20" s="23">
        <f t="shared" ref="C20:P20" ca="1" si="2">C16*C18</f>
        <v>0</v>
      </c>
      <c r="D20" s="23">
        <f t="shared" ca="1" si="2"/>
        <v>4011.1151233147843</v>
      </c>
      <c r="E20" s="23">
        <f t="shared" si="2"/>
        <v>36.181336939865638</v>
      </c>
      <c r="F20" s="23">
        <f t="shared" ca="1" si="2"/>
        <v>671.99646286656446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2889.3782010801501</v>
      </c>
      <c r="C26" s="39">
        <f>IF(ISERROR(B26*3.6/1000000/'E Balans VL '!Z12*100),0,B26*3.6/1000000/'E Balans VL '!Z12*100)</f>
        <v>6.1371824202848195E-2</v>
      </c>
      <c r="D26" s="235" t="s">
        <v>672</v>
      </c>
      <c r="F26" s="6"/>
    </row>
    <row r="27" spans="1:18">
      <c r="A27" s="230" t="s">
        <v>52</v>
      </c>
      <c r="B27" s="33">
        <f>IF(ISERROR(TER_horeca_ele_kWh/1000),0,TER_horeca_ele_kWh/1000)</f>
        <v>789.46093563694103</v>
      </c>
      <c r="C27" s="39">
        <f>IF(ISERROR(B27*3.6/1000000/'E Balans VL '!Z9*100),0,B27*3.6/1000000/'E Balans VL '!Z9*100)</f>
        <v>6.138539562468167E-2</v>
      </c>
      <c r="D27" s="235" t="s">
        <v>672</v>
      </c>
      <c r="F27" s="6"/>
    </row>
    <row r="28" spans="1:18">
      <c r="A28" s="170" t="s">
        <v>51</v>
      </c>
      <c r="B28" s="33">
        <f>IF(ISERROR(TER_handel_ele_kWh/1000),0,TER_handel_ele_kWh/1000)</f>
        <v>3263.1684215679602</v>
      </c>
      <c r="C28" s="39">
        <f>IF(ISERROR(B28*3.6/1000000/'E Balans VL '!Z13*100),0,B28*3.6/1000000/'E Balans VL '!Z13*100)</f>
        <v>9.3363088906120287E-2</v>
      </c>
      <c r="D28" s="235" t="s">
        <v>672</v>
      </c>
      <c r="F28" s="6"/>
    </row>
    <row r="29" spans="1:18">
      <c r="A29" s="230" t="s">
        <v>50</v>
      </c>
      <c r="B29" s="33">
        <f>IF(ISERROR(TER_gezond_ele_kWh/1000),0,TER_gezond_ele_kWh/1000)</f>
        <v>367.53648763827698</v>
      </c>
      <c r="C29" s="39">
        <f>IF(ISERROR(B29*3.6/1000000/'E Balans VL '!Z10*100),0,B29*3.6/1000000/'E Balans VL '!Z10*100)</f>
        <v>4.0070017676264301E-2</v>
      </c>
      <c r="D29" s="235" t="s">
        <v>672</v>
      </c>
      <c r="F29" s="6"/>
    </row>
    <row r="30" spans="1:18">
      <c r="A30" s="230" t="s">
        <v>49</v>
      </c>
      <c r="B30" s="33">
        <f>IF(ISERROR(TER_ander_ele_kWh/1000),0,TER_ander_ele_kWh/1000)</f>
        <v>1357.21929675514</v>
      </c>
      <c r="C30" s="39">
        <f>IF(ISERROR(B30*3.6/1000000/'E Balans VL '!Z14*100),0,B30*3.6/1000000/'E Balans VL '!Z14*100)</f>
        <v>9.9318229357550289E-2</v>
      </c>
      <c r="D30" s="235" t="s">
        <v>672</v>
      </c>
      <c r="F30" s="6"/>
    </row>
    <row r="31" spans="1:18">
      <c r="A31" s="230" t="s">
        <v>54</v>
      </c>
      <c r="B31" s="33">
        <f>IF(ISERROR(TER_onderwijs_ele_kWh/1000),0,TER_onderwijs_ele_kWh/1000)</f>
        <v>0</v>
      </c>
      <c r="C31" s="39">
        <f>IF(ISERROR(B31*3.6/1000000/'E Balans VL '!Z11*100),0,B31*3.6/1000000/'E Balans VL '!Z11*100)</f>
        <v>0</v>
      </c>
      <c r="D31" s="235" t="s">
        <v>672</v>
      </c>
    </row>
    <row r="32" spans="1:18">
      <c r="A32" s="230" t="s">
        <v>249</v>
      </c>
      <c r="B32" s="33">
        <f>IF(ISERROR(TER_rest_ele_kWh/1000),0,TER_rest_ele_kWh/1000)</f>
        <v>4124.2548356669495</v>
      </c>
      <c r="C32" s="39">
        <f>IF(ISERROR(B32*3.6/1000000/'E Balans VL '!Z8*100),0,B32*3.6/1000000/'E Balans VL '!Z8*100)</f>
        <v>3.3610174027595342E-2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4</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3</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3564.9379204637571</v>
      </c>
      <c r="C5" s="17">
        <f>IF(ISERROR('Eigen informatie GS &amp; warmtenet'!B59),0,'Eigen informatie GS &amp; warmtenet'!B59)</f>
        <v>0</v>
      </c>
      <c r="D5" s="30">
        <f>SUM(D6:D15)</f>
        <v>2370.540414418705</v>
      </c>
      <c r="E5" s="17">
        <f>SUM(E6:E15)</f>
        <v>594.98026210788703</v>
      </c>
      <c r="F5" s="17">
        <f>SUM(F6:F15)</f>
        <v>2574.3896434525923</v>
      </c>
      <c r="G5" s="18"/>
      <c r="H5" s="17"/>
      <c r="I5" s="17"/>
      <c r="J5" s="17">
        <f>SUM(J6:J15)</f>
        <v>2.4573348065491705</v>
      </c>
      <c r="K5" s="17"/>
      <c r="L5" s="17"/>
      <c r="M5" s="17"/>
      <c r="N5" s="17">
        <f>SUM(N6:N15)</f>
        <v>423.42463657518039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73.469821460217403</v>
      </c>
      <c r="C8" s="33"/>
      <c r="D8" s="37">
        <f>IF( ISERROR(IND_metaal_Gas_kWH/1000),0,IND_metaal_Gas_kWH/1000)*0.902</f>
        <v>0</v>
      </c>
      <c r="E8" s="33">
        <f>C30*'E Balans VL '!I18/100/3.6*1000000</f>
        <v>2.1103290442159093</v>
      </c>
      <c r="F8" s="33">
        <f>C30*'E Balans VL '!L18/100/3.6*1000000+C30*'E Balans VL '!N18/100/3.6*1000000</f>
        <v>18.843596176811054</v>
      </c>
      <c r="G8" s="34"/>
      <c r="H8" s="33"/>
      <c r="I8" s="33"/>
      <c r="J8" s="40">
        <f>C30*'E Balans VL '!D18/100/3.6*1000000+C30*'E Balans VL '!E18/100/3.6*1000000</f>
        <v>0</v>
      </c>
      <c r="K8" s="33"/>
      <c r="L8" s="33"/>
      <c r="M8" s="33"/>
      <c r="N8" s="33">
        <f>C30*'E Balans VL '!Y18/100/3.6*1000000</f>
        <v>1.9948556257983574</v>
      </c>
      <c r="O8" s="33"/>
      <c r="P8" s="33"/>
      <c r="R8" s="32"/>
    </row>
    <row r="9" spans="1:18">
      <c r="A9" s="6" t="s">
        <v>32</v>
      </c>
      <c r="B9" s="37">
        <f t="shared" si="0"/>
        <v>1759.29248977008</v>
      </c>
      <c r="C9" s="33"/>
      <c r="D9" s="37">
        <f>IF( ISERROR(IND_andere_gas_kWh/1000),0,IND_andere_gas_kWh/1000)*0.902</f>
        <v>575.96774375974121</v>
      </c>
      <c r="E9" s="33">
        <f>C31*'E Balans VL '!I19/100/3.6*1000000</f>
        <v>476.19722118515875</v>
      </c>
      <c r="F9" s="33">
        <f>C31*'E Balans VL '!L19/100/3.6*1000000+C31*'E Balans VL '!N19/100/3.6*1000000</f>
        <v>1171.874970221814</v>
      </c>
      <c r="G9" s="34"/>
      <c r="H9" s="33"/>
      <c r="I9" s="33"/>
      <c r="J9" s="40">
        <f>C31*'E Balans VL '!D19/100/3.6*1000000+C31*'E Balans VL '!E19/100/3.6*1000000</f>
        <v>0</v>
      </c>
      <c r="K9" s="33"/>
      <c r="L9" s="33"/>
      <c r="M9" s="33"/>
      <c r="N9" s="33">
        <f>C31*'E Balans VL '!Y19/100/3.6*1000000</f>
        <v>148.73652602812771</v>
      </c>
      <c r="O9" s="33"/>
      <c r="P9" s="33"/>
      <c r="R9" s="32"/>
    </row>
    <row r="10" spans="1:18">
      <c r="A10" s="6" t="s">
        <v>40</v>
      </c>
      <c r="B10" s="37">
        <f t="shared" si="0"/>
        <v>777.43889685067893</v>
      </c>
      <c r="C10" s="33"/>
      <c r="D10" s="37">
        <f>IF( ISERROR(IND_voed_gas_kWh/1000),0,IND_voed_gas_kWh/1000)*0.902</f>
        <v>388.94259788402979</v>
      </c>
      <c r="E10" s="33">
        <f>C32*'E Balans VL '!I20/100/3.6*1000000</f>
        <v>63.409702546529637</v>
      </c>
      <c r="F10" s="33">
        <f>C32*'E Balans VL '!L20/100/3.6*1000000+C32*'E Balans VL '!N20/100/3.6*1000000</f>
        <v>1159.2319306414906</v>
      </c>
      <c r="G10" s="34"/>
      <c r="H10" s="33"/>
      <c r="I10" s="33"/>
      <c r="J10" s="40">
        <f>C32*'E Balans VL '!D20/100/3.6*1000000+C32*'E Balans VL '!E20/100/3.6*1000000</f>
        <v>1.0284572921109521E-2</v>
      </c>
      <c r="K10" s="33"/>
      <c r="L10" s="33"/>
      <c r="M10" s="33"/>
      <c r="N10" s="33">
        <f>C32*'E Balans VL '!Y20/100/3.6*1000000</f>
        <v>228.38411503408625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954.73671238278098</v>
      </c>
      <c r="C15" s="33"/>
      <c r="D15" s="37">
        <f>IF( ISERROR(IND_rest_gas_kWh/1000),0,IND_rest_gas_kWh/1000)*0.902</f>
        <v>1405.6300727749342</v>
      </c>
      <c r="E15" s="33">
        <f>C37*'E Balans VL '!I15/100/3.6*1000000</f>
        <v>53.263009331982801</v>
      </c>
      <c r="F15" s="33">
        <f>C37*'E Balans VL '!L15/100/3.6*1000000+C37*'E Balans VL '!N15/100/3.6*1000000</f>
        <v>224.43914641247665</v>
      </c>
      <c r="G15" s="34"/>
      <c r="H15" s="33"/>
      <c r="I15" s="33"/>
      <c r="J15" s="40">
        <f>C37*'E Balans VL '!D15/100/3.6*1000000+C37*'E Balans VL '!E15/100/3.6*1000000</f>
        <v>2.4470502336280608</v>
      </c>
      <c r="K15" s="33"/>
      <c r="L15" s="33"/>
      <c r="M15" s="33"/>
      <c r="N15" s="33">
        <f>C37*'E Balans VL '!Y15/100/3.6*1000000</f>
        <v>44.309139887168115</v>
      </c>
      <c r="O15" s="33"/>
      <c r="P15" s="33"/>
      <c r="R15" s="32"/>
    </row>
    <row r="16" spans="1:18">
      <c r="A16" s="16" t="s">
        <v>484</v>
      </c>
      <c r="B16" s="245">
        <f>'lokale energieproductie'!N39+'lokale energieproductie'!N32</f>
        <v>0</v>
      </c>
      <c r="C16" s="245">
        <f>'lokale energieproductie'!O39+'lokale energieproductie'!O32</f>
        <v>0</v>
      </c>
      <c r="D16" s="305">
        <f>('lokale energieproductie'!P32+'lokale energieproductie'!P39)*(-1)</f>
        <v>0</v>
      </c>
      <c r="E16" s="246"/>
      <c r="F16" s="305">
        <f>('lokale energieproductie'!S32+'lokale energieproductie'!S39)*(-1)</f>
        <v>0</v>
      </c>
      <c r="G16" s="247"/>
      <c r="H16" s="246"/>
      <c r="I16" s="246"/>
      <c r="J16" s="246"/>
      <c r="K16" s="246"/>
      <c r="L16" s="305">
        <f>('lokale energieproductie'!T32+'lokale energieproductie'!U32+'lokale energieproductie'!T39+'lokale energieproductie'!U39)*(-1)</f>
        <v>0</v>
      </c>
      <c r="M16" s="246"/>
      <c r="N16" s="305">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3564.9379204637571</v>
      </c>
      <c r="C18" s="21">
        <f>C5+C16</f>
        <v>0</v>
      </c>
      <c r="D18" s="21">
        <f>MAX((D5+D16),0)</f>
        <v>2370.540414418705</v>
      </c>
      <c r="E18" s="21">
        <f>MAX((E5+E16),0)</f>
        <v>594.98026210788703</v>
      </c>
      <c r="F18" s="21">
        <f>MAX((F5+F16),0)</f>
        <v>2574.3896434525923</v>
      </c>
      <c r="G18" s="21"/>
      <c r="H18" s="21"/>
      <c r="I18" s="21"/>
      <c r="J18" s="21">
        <f>MAX((J5+J16),0)</f>
        <v>2.4573348065491705</v>
      </c>
      <c r="K18" s="21"/>
      <c r="L18" s="21">
        <f>MAX((L5+L16),0)</f>
        <v>0</v>
      </c>
      <c r="M18" s="21"/>
      <c r="N18" s="21">
        <f>MAX((N5+N16),0)</f>
        <v>423.42463657518039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0.21393260752372678</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762.65646498502372</v>
      </c>
      <c r="C22" s="23">
        <f ca="1">C18*C20</f>
        <v>0</v>
      </c>
      <c r="D22" s="23">
        <f>D18*D20</f>
        <v>478.84916371257845</v>
      </c>
      <c r="E22" s="23">
        <f>E18*E20</f>
        <v>135.06051949849035</v>
      </c>
      <c r="F22" s="23">
        <f>F18*F20</f>
        <v>687.36203480184213</v>
      </c>
      <c r="G22" s="23"/>
      <c r="H22" s="23"/>
      <c r="I22" s="23"/>
      <c r="J22" s="23">
        <f>J18*J20</f>
        <v>0.86989652151840635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73.469821460217403</v>
      </c>
      <c r="C30" s="39">
        <f>IF(ISERROR(B30*3.6/1000000/'E Balans VL '!Z18*100),0,B30*3.6/1000000/'E Balans VL '!Z18*100)</f>
        <v>7.2292428832098164E-3</v>
      </c>
      <c r="D30" s="235" t="s">
        <v>672</v>
      </c>
    </row>
    <row r="31" spans="1:18">
      <c r="A31" s="6" t="s">
        <v>32</v>
      </c>
      <c r="B31" s="37">
        <f>IF( ISERROR(IND_ander_ele_kWh/1000),0,IND_ander_ele_kWh/1000)</f>
        <v>1759.29248977008</v>
      </c>
      <c r="C31" s="39">
        <f>IF(ISERROR(B31*3.6/1000000/'E Balans VL '!Z19*100),0,B31*3.6/1000000/'E Balans VL '!Z19*100)</f>
        <v>7.661578455569204E-2</v>
      </c>
      <c r="D31" s="235" t="s">
        <v>672</v>
      </c>
    </row>
    <row r="32" spans="1:18">
      <c r="A32" s="170" t="s">
        <v>40</v>
      </c>
      <c r="B32" s="37">
        <f>IF( ISERROR(IND_voed_ele_kWh/1000),0,IND_voed_ele_kWh/1000)</f>
        <v>777.43889685067893</v>
      </c>
      <c r="C32" s="39">
        <f>IF(ISERROR(B32*3.6/1000000/'E Balans VL '!Z20*100),0,B32*3.6/1000000/'E Balans VL '!Z20*100)</f>
        <v>0.147507818788816</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954.73671238278098</v>
      </c>
      <c r="C37" s="39">
        <f>IF(ISERROR(B37*3.6/1000000/'E Balans VL '!Z15*100),0,B37*3.6/1000000/'E Balans VL '!Z15*100)</f>
        <v>7.3574190273105059E-3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4332.47345436053</v>
      </c>
      <c r="C5" s="17">
        <f>'Eigen informatie GS &amp; warmtenet'!B60</f>
        <v>0</v>
      </c>
      <c r="D5" s="30">
        <f>IF(ISERROR(SUM(LB_lb_gas_kWh,LB_rest_gas_kWh)/1000),0,SUM(LB_lb_gas_kWh,LB_rest_gas_kWh)/1000)*0.902</f>
        <v>75334.903406654776</v>
      </c>
      <c r="E5" s="17">
        <f>B17*'E Balans VL '!I25/3.6*1000000/100</f>
        <v>54.594746885557349</v>
      </c>
      <c r="F5" s="17">
        <f>B17*('E Balans VL '!L25/3.6*1000000+'E Balans VL '!N25/3.6*1000000)/100</f>
        <v>14948.118766996437</v>
      </c>
      <c r="G5" s="18"/>
      <c r="H5" s="17"/>
      <c r="I5" s="17"/>
      <c r="J5" s="17">
        <f>('E Balans VL '!D25+'E Balans VL '!E25)/3.6*1000000*landbouw!B17/100</f>
        <v>651.55475771578244</v>
      </c>
      <c r="K5" s="17"/>
      <c r="L5" s="17">
        <f>L6*(-1)</f>
        <v>0</v>
      </c>
      <c r="M5" s="17"/>
      <c r="N5" s="17">
        <f>N6*(-1)</f>
        <v>0</v>
      </c>
      <c r="O5" s="17"/>
      <c r="P5" s="17"/>
      <c r="R5" s="32"/>
    </row>
    <row r="6" spans="1:18">
      <c r="A6" s="16" t="s">
        <v>484</v>
      </c>
      <c r="B6" s="17" t="s">
        <v>204</v>
      </c>
      <c r="C6" s="17">
        <f>'lokale energieproductie'!O41+'lokale energieproductie'!O34</f>
        <v>30857.142857142855</v>
      </c>
      <c r="D6" s="305">
        <f>('lokale energieproductie'!P34+'lokale energieproductie'!P41)*(-1)</f>
        <v>-61714.285714285725</v>
      </c>
      <c r="E6" s="246"/>
      <c r="F6" s="305">
        <f>('lokale energieproductie'!S34+'lokale energieproductie'!S41)*(-1)</f>
        <v>0</v>
      </c>
      <c r="G6" s="247"/>
      <c r="H6" s="246"/>
      <c r="I6" s="246"/>
      <c r="J6" s="246"/>
      <c r="K6" s="246"/>
      <c r="L6" s="305">
        <f>('lokale energieproductie'!T34+'lokale energieproductie'!U34+'lokale energieproductie'!T41+'lokale energieproductie'!U41)*(-1)</f>
        <v>0</v>
      </c>
      <c r="M6" s="246"/>
      <c r="N6" s="1016">
        <f>('lokale energieproductie'!V34+'lokale energieproductie'!R34+'lokale energieproductie'!Q34+'lokale energieproductie'!Q41+'lokale energieproductie'!R41+'lokale energieproductie'!V41)*(-1)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4332.47345436053</v>
      </c>
      <c r="C8" s="21">
        <f>C5+C6</f>
        <v>30857.142857142855</v>
      </c>
      <c r="D8" s="21">
        <f>MAX((D5+D6),0)</f>
        <v>13620.617692369051</v>
      </c>
      <c r="E8" s="21">
        <f>MAX((E5+E6),0)</f>
        <v>54.594746885557349</v>
      </c>
      <c r="F8" s="21">
        <f>MAX((F5+F6),0)</f>
        <v>14948.118766996437</v>
      </c>
      <c r="G8" s="21"/>
      <c r="H8" s="21"/>
      <c r="I8" s="21"/>
      <c r="J8" s="21">
        <f>MAX((J5+J6),0)</f>
        <v>651.55475771578244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0.21393260752372678</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926.85734311867611</v>
      </c>
      <c r="C12" s="23">
        <f ca="1">C8*C10</f>
        <v>7333.1092436974805</v>
      </c>
      <c r="D12" s="23">
        <f>D8*D10</f>
        <v>2751.3647738585487</v>
      </c>
      <c r="E12" s="23">
        <f>E8*E10</f>
        <v>12.393007543021518</v>
      </c>
      <c r="F12" s="23">
        <f>F8*F10</f>
        <v>3991.1477107880487</v>
      </c>
      <c r="G12" s="23"/>
      <c r="H12" s="23"/>
      <c r="I12" s="23"/>
      <c r="J12" s="23">
        <f>J8*J10</f>
        <v>230.65038423138697</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0.60424349524632981</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527.03604939508864</v>
      </c>
      <c r="C26" s="245">
        <f>B26*'GWP N2O_CH4'!B5</f>
        <v>11067.757037296862</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297.15893094510017</v>
      </c>
      <c r="C27" s="245">
        <f>B27*'GWP N2O_CH4'!B5</f>
        <v>6240.3375498471032</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8.4907117743028522</v>
      </c>
      <c r="C28" s="245">
        <f>B28*'GWP N2O_CH4'!B4</f>
        <v>2632.120650033884</v>
      </c>
      <c r="D28" s="50"/>
    </row>
    <row r="29" spans="1:4">
      <c r="A29" s="41" t="s">
        <v>266</v>
      </c>
      <c r="B29" s="245">
        <f>B34*'ha_N2O bodem landbouw'!B4</f>
        <v>20.383567860731787</v>
      </c>
      <c r="C29" s="245">
        <f>B29*'GWP N2O_CH4'!B4</f>
        <v>6318.9060368268538</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5.089573216529958E-3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6.8063488821743285E-5</v>
      </c>
      <c r="C5" s="434" t="s">
        <v>204</v>
      </c>
      <c r="D5" s="419">
        <f>SUM(D6:D11)</f>
        <v>6.1131640645735214E-5</v>
      </c>
      <c r="E5" s="419">
        <f>SUM(E6:E11)</f>
        <v>2.5080112509073167E-3</v>
      </c>
      <c r="F5" s="432" t="s">
        <v>204</v>
      </c>
      <c r="G5" s="419">
        <f>SUM(G6:G11)</f>
        <v>0.78810074045773115</v>
      </c>
      <c r="H5" s="419">
        <f>SUM(H6:H11)</f>
        <v>0.10836072692791622</v>
      </c>
      <c r="I5" s="434" t="s">
        <v>204</v>
      </c>
      <c r="J5" s="434" t="s">
        <v>204</v>
      </c>
      <c r="K5" s="434" t="s">
        <v>204</v>
      </c>
      <c r="L5" s="434" t="s">
        <v>204</v>
      </c>
      <c r="M5" s="419">
        <f>SUM(M6:M11)</f>
        <v>4.0523051468330365E-2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6.5742618991122436E-6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5.8568871923024093E-6</v>
      </c>
      <c r="E6" s="873">
        <f>vkm_GW_PW*SUMIFS(TableVerdeelsleutelVkm[LPG],TableVerdeelsleutelVkm[Voertuigtype],"Lichte voertuigen")*SUMIFS(TableECFTransport[EnergieConsumptieFactor (PJ per km)],TableECFTransport[Index],CONCATENATE($A6,"_LPG_LPG"))</f>
        <v>2.10803035466166E-4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4.1318532936055606E-2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1.0129584545738198E-2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2.3273361439100984E-3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1.4339809738180082E-7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2.2439792879586706E-2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5.115090581376089E-7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1.0131912244152098E-3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1.0454896169189135E-5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1.4685654246854218E-5</v>
      </c>
      <c r="E8" s="422">
        <f>vkm_NGW_PW*SUMIFS(TableVerdeelsleutelVkm[LPG],TableVerdeelsleutelVkm[Voertuigtype],"Lichte voertuigen")*SUMIFS(TableECFTransport[EnergieConsumptieFactor (PJ per km)],TableECFTransport[Index],CONCATENATE($A8,"_LPG_LPG"))</f>
        <v>5.0304543409889586E-4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9.2619933322920844E-2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2.4382080070660429E-2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5.2933574613647262E-3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1.6560670478544859E-7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3.3288438315722417E-2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7.1302425206776717E-7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1.5030221949191369E-3</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4.8897718669905761E-5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4.0589099206578594E-5</v>
      </c>
      <c r="E10" s="422">
        <f>vkm_SW_PW*SUMIFS(TableVerdeelsleutelVkm[LPG],TableVerdeelsleutelVkm[Voertuigtype],"Lichte voertuigen")*SUMIFS(TableECFTransport[EnergieConsumptieFactor (PJ per km)],TableECFTransport[Index],CONCATENATE($A10,"_LPG_LPG"))</f>
        <v>1.794162781342255E-3</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0.32594074168038523</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7.3841127766795467E-2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1.8082629293207871E-2</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1.8276072813688838E-6</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0.27249330132306043</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6.7100114119366246E-6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1.2303515150513327E-2</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18.906524672706468</v>
      </c>
      <c r="C14" s="21"/>
      <c r="D14" s="21">
        <f t="shared" ref="D14:M14" si="0">((D5)*10^9/3600)+D12</f>
        <v>16.981011290482005</v>
      </c>
      <c r="E14" s="21">
        <f t="shared" si="0"/>
        <v>696.66979191869916</v>
      </c>
      <c r="F14" s="21"/>
      <c r="G14" s="21">
        <f t="shared" si="0"/>
        <v>218916.87234936975</v>
      </c>
      <c r="H14" s="21">
        <f t="shared" si="0"/>
        <v>30100.20192442117</v>
      </c>
      <c r="I14" s="21"/>
      <c r="J14" s="21"/>
      <c r="K14" s="21"/>
      <c r="L14" s="21"/>
      <c r="M14" s="21">
        <f t="shared" si="0"/>
        <v>11256.403185647325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0.21393260752372678</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4.0447221224437699</v>
      </c>
      <c r="C18" s="23"/>
      <c r="D18" s="23">
        <f t="shared" ref="D18:M18" si="1">D14*D16</f>
        <v>3.4301642806773653</v>
      </c>
      <c r="E18" s="23">
        <f t="shared" si="1"/>
        <v>158.14404276554473</v>
      </c>
      <c r="F18" s="23"/>
      <c r="G18" s="23">
        <f t="shared" si="1"/>
        <v>58450.804917281726</v>
      </c>
      <c r="H18" s="23">
        <f t="shared" si="1"/>
        <v>7494.9502791808709</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6.3322590913057597E-6</v>
      </c>
      <c r="C50" s="316">
        <f t="shared" ref="C50:P50" si="2">SUM(C51:C52)</f>
        <v>0</v>
      </c>
      <c r="D50" s="316">
        <f t="shared" si="2"/>
        <v>0</v>
      </c>
      <c r="E50" s="316">
        <f t="shared" si="2"/>
        <v>0</v>
      </c>
      <c r="F50" s="316">
        <f t="shared" si="2"/>
        <v>0</v>
      </c>
      <c r="G50" s="316">
        <f t="shared" si="2"/>
        <v>1.2325383718695237E-3</v>
      </c>
      <c r="H50" s="316">
        <f t="shared" si="2"/>
        <v>0</v>
      </c>
      <c r="I50" s="316">
        <f t="shared" si="2"/>
        <v>0</v>
      </c>
      <c r="J50" s="316">
        <f t="shared" si="2"/>
        <v>0</v>
      </c>
      <c r="K50" s="316">
        <f t="shared" si="2"/>
        <v>0</v>
      </c>
      <c r="L50" s="316">
        <f t="shared" si="2"/>
        <v>0</v>
      </c>
      <c r="M50" s="316">
        <f t="shared" si="2"/>
        <v>5.5268056234976704E-5</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6.3322590913057597E-6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1.2325383718695237E-3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5.5268056234976704E-5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1.7589608586960443</v>
      </c>
      <c r="C54" s="21">
        <f t="shared" ref="C54:P54" si="3">(C50)*10^9/3600</f>
        <v>0</v>
      </c>
      <c r="D54" s="21">
        <f t="shared" si="3"/>
        <v>0</v>
      </c>
      <c r="E54" s="21">
        <f t="shared" si="3"/>
        <v>0</v>
      </c>
      <c r="F54" s="21">
        <f t="shared" si="3"/>
        <v>0</v>
      </c>
      <c r="G54" s="21">
        <f t="shared" si="3"/>
        <v>342.37176996375661</v>
      </c>
      <c r="H54" s="21">
        <f t="shared" si="3"/>
        <v>0</v>
      </c>
      <c r="I54" s="21">
        <f t="shared" si="3"/>
        <v>0</v>
      </c>
      <c r="J54" s="21">
        <f t="shared" si="3"/>
        <v>0</v>
      </c>
      <c r="K54" s="21">
        <f t="shared" si="3"/>
        <v>0</v>
      </c>
      <c r="L54" s="21">
        <f t="shared" si="3"/>
        <v>0</v>
      </c>
      <c r="M54" s="21">
        <f t="shared" si="3"/>
        <v>15.352237843049085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0.21393260752372678</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0.37629908303301829</v>
      </c>
      <c r="C58" s="23">
        <f t="shared" ref="C58:P58" ca="1" si="4">C54*C56</f>
        <v>0</v>
      </c>
      <c r="D58" s="23">
        <f t="shared" si="4"/>
        <v>0</v>
      </c>
      <c r="E58" s="23">
        <f t="shared" si="4"/>
        <v>0</v>
      </c>
      <c r="F58" s="23">
        <f t="shared" si="4"/>
        <v>0</v>
      </c>
      <c r="G58" s="23">
        <f t="shared" si="4"/>
        <v>91.413262580323021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3159.8840502153535</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N31</f>
        <v>21600</v>
      </c>
      <c r="C8" s="546">
        <f>B50</f>
        <v>25411.76470588236</v>
      </c>
      <c r="D8" s="1001"/>
      <c r="E8" s="1001">
        <f>E50</f>
        <v>0</v>
      </c>
      <c r="F8" s="1002"/>
      <c r="G8" s="547"/>
      <c r="H8" s="1001">
        <f>I50</f>
        <v>0</v>
      </c>
      <c r="I8" s="1001">
        <f>G50+F50</f>
        <v>0</v>
      </c>
      <c r="J8" s="1001">
        <f>H50+D50+C50</f>
        <v>0</v>
      </c>
      <c r="K8" s="1001"/>
      <c r="L8" s="1001"/>
      <c r="M8" s="1001"/>
      <c r="N8" s="548"/>
      <c r="O8" s="549">
        <f>C8*$C$12+D8*$D$12+E8*$E$12+F8*$F$12+G8*$G$12+H8*$H$12+I8*$I$12+J8*$J$12</f>
        <v>5133.176470588237</v>
      </c>
      <c r="P8" s="1244"/>
      <c r="Q8" s="1245"/>
      <c r="S8" s="1013"/>
      <c r="T8" s="1265"/>
      <c r="U8" s="1265"/>
    </row>
    <row r="9" spans="1:21" s="534" customFormat="1" ht="17.45" customHeight="1" thickBot="1">
      <c r="A9" s="550" t="s">
        <v>237</v>
      </c>
      <c r="B9" s="551">
        <f>N38+'Eigen informatie GS &amp; warmtenet'!B12</f>
        <v>0</v>
      </c>
      <c r="C9" s="55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24759.884050215354</v>
      </c>
      <c r="C10" s="559">
        <f t="shared" ref="C10:L10" si="0">SUM(C8:C9)</f>
        <v>25411.76470588236</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5133.176470588237</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O31</f>
        <v>30857.142857142855</v>
      </c>
      <c r="C17" s="571">
        <f>B51</f>
        <v>36302.521008403368</v>
      </c>
      <c r="D17" s="572"/>
      <c r="E17" s="572">
        <f>E51</f>
        <v>0</v>
      </c>
      <c r="F17" s="1007"/>
      <c r="G17" s="573"/>
      <c r="H17" s="571">
        <f>I51</f>
        <v>0</v>
      </c>
      <c r="I17" s="572">
        <f>G51+F51</f>
        <v>0</v>
      </c>
      <c r="J17" s="572">
        <f>H51+D51+C51</f>
        <v>0</v>
      </c>
      <c r="K17" s="572"/>
      <c r="L17" s="572"/>
      <c r="M17" s="572"/>
      <c r="N17" s="1008"/>
      <c r="O17" s="574">
        <f>C17*$C$22+E17*$E$22+H17*$H$22+I17*$I$22+J17*$J$22+D17*$D$22+F17*$F$22+G17*$G$22+K17*$K$22+L17*$L$22</f>
        <v>7333.1092436974805</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30857.142857142855</v>
      </c>
      <c r="C20" s="558">
        <f>SUM(C17:C19)</f>
        <v>36302.521008403368</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7333.1092436974805</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44049</v>
      </c>
      <c r="C28" s="777">
        <v>9850</v>
      </c>
      <c r="D28" s="630"/>
      <c r="E28" s="629"/>
      <c r="F28" s="629"/>
      <c r="G28" s="629" t="s">
        <v>926</v>
      </c>
      <c r="H28" s="629" t="s">
        <v>927</v>
      </c>
      <c r="I28" s="629"/>
      <c r="J28" s="776"/>
      <c r="K28" s="776"/>
      <c r="L28" s="629" t="s">
        <v>928</v>
      </c>
      <c r="M28" s="629">
        <v>2000</v>
      </c>
      <c r="N28" s="629">
        <v>9000</v>
      </c>
      <c r="O28" s="629">
        <v>12857.142857142857</v>
      </c>
      <c r="P28" s="629">
        <v>25714.285714285717</v>
      </c>
      <c r="Q28" s="629">
        <v>0</v>
      </c>
      <c r="R28" s="629">
        <v>0</v>
      </c>
      <c r="S28" s="629">
        <v>0</v>
      </c>
      <c r="T28" s="629">
        <v>0</v>
      </c>
      <c r="U28" s="629">
        <v>0</v>
      </c>
      <c r="V28" s="629">
        <v>0</v>
      </c>
      <c r="W28" s="629">
        <v>0</v>
      </c>
      <c r="X28" s="629">
        <v>10</v>
      </c>
      <c r="Y28" s="629" t="s">
        <v>105</v>
      </c>
      <c r="Z28" s="631" t="s">
        <v>105</v>
      </c>
    </row>
    <row r="29" spans="1:26" s="583" customFormat="1" ht="25.5" hidden="1">
      <c r="A29" s="582"/>
      <c r="B29" s="777">
        <v>44049</v>
      </c>
      <c r="C29" s="777">
        <v>9850</v>
      </c>
      <c r="D29" s="630"/>
      <c r="E29" s="629"/>
      <c r="F29" s="629"/>
      <c r="G29" s="629" t="s">
        <v>926</v>
      </c>
      <c r="H29" s="629" t="s">
        <v>927</v>
      </c>
      <c r="I29" s="629"/>
      <c r="J29" s="776"/>
      <c r="K29" s="776"/>
      <c r="L29" s="629" t="s">
        <v>928</v>
      </c>
      <c r="M29" s="629">
        <v>2000</v>
      </c>
      <c r="N29" s="629">
        <v>9000</v>
      </c>
      <c r="O29" s="629">
        <v>12857.142857142857</v>
      </c>
      <c r="P29" s="629">
        <v>25714.285714285717</v>
      </c>
      <c r="Q29" s="629">
        <v>0</v>
      </c>
      <c r="R29" s="629">
        <v>0</v>
      </c>
      <c r="S29" s="629">
        <v>0</v>
      </c>
      <c r="T29" s="629">
        <v>0</v>
      </c>
      <c r="U29" s="629">
        <v>0</v>
      </c>
      <c r="V29" s="629">
        <v>0</v>
      </c>
      <c r="W29" s="629">
        <v>0</v>
      </c>
      <c r="X29" s="629">
        <v>10</v>
      </c>
      <c r="Y29" s="629" t="s">
        <v>105</v>
      </c>
      <c r="Z29" s="631" t="s">
        <v>105</v>
      </c>
    </row>
    <row r="30" spans="1:26" s="583" customFormat="1" ht="25.5" hidden="1">
      <c r="A30" s="582"/>
      <c r="B30" s="777">
        <v>44049</v>
      </c>
      <c r="C30" s="777">
        <v>9850</v>
      </c>
      <c r="D30" s="630"/>
      <c r="E30" s="629"/>
      <c r="F30" s="629"/>
      <c r="G30" s="629" t="s">
        <v>926</v>
      </c>
      <c r="H30" s="629" t="s">
        <v>927</v>
      </c>
      <c r="I30" s="629"/>
      <c r="J30" s="776"/>
      <c r="K30" s="776"/>
      <c r="L30" s="629" t="s">
        <v>928</v>
      </c>
      <c r="M30" s="629">
        <v>800</v>
      </c>
      <c r="N30" s="629">
        <v>3600</v>
      </c>
      <c r="O30" s="629">
        <v>5142.8571428571431</v>
      </c>
      <c r="P30" s="629">
        <v>10285.714285714286</v>
      </c>
      <c r="Q30" s="629">
        <v>0</v>
      </c>
      <c r="R30" s="629">
        <v>0</v>
      </c>
      <c r="S30" s="629">
        <v>0</v>
      </c>
      <c r="T30" s="629">
        <v>0</v>
      </c>
      <c r="U30" s="629">
        <v>0</v>
      </c>
      <c r="V30" s="629">
        <v>0</v>
      </c>
      <c r="W30" s="629">
        <v>0</v>
      </c>
      <c r="X30" s="629">
        <v>10</v>
      </c>
      <c r="Y30" s="629" t="s">
        <v>105</v>
      </c>
      <c r="Z30" s="631" t="s">
        <v>105</v>
      </c>
    </row>
    <row r="31" spans="1:26" s="566" customFormat="1" hidden="1">
      <c r="A31" s="585" t="s">
        <v>269</v>
      </c>
      <c r="B31" s="586"/>
      <c r="C31" s="586"/>
      <c r="D31" s="586"/>
      <c r="E31" s="586"/>
      <c r="F31" s="586"/>
      <c r="G31" s="586"/>
      <c r="H31" s="586"/>
      <c r="I31" s="586"/>
      <c r="J31" s="586"/>
      <c r="K31" s="586"/>
      <c r="L31" s="587"/>
      <c r="M31" s="587">
        <f>SUM(M28:M30)</f>
        <v>4800</v>
      </c>
      <c r="N31" s="587">
        <f>SUM(N28:N30)</f>
        <v>21600</v>
      </c>
      <c r="O31" s="587">
        <f>SUM(O28:O30)</f>
        <v>30857.142857142855</v>
      </c>
      <c r="P31" s="587">
        <f>SUM(P28:P30)</f>
        <v>61714.285714285725</v>
      </c>
      <c r="Q31" s="587">
        <f>SUM(Q28:Q30)</f>
        <v>0</v>
      </c>
      <c r="R31" s="587">
        <f>SUM(R28:R30)</f>
        <v>0</v>
      </c>
      <c r="S31" s="587">
        <f>SUM(S28:S30)</f>
        <v>0</v>
      </c>
      <c r="T31" s="587">
        <f>SUM(T28:T30)</f>
        <v>0</v>
      </c>
      <c r="U31" s="587">
        <f>SUM(U28:U30)</f>
        <v>0</v>
      </c>
      <c r="V31" s="587">
        <f>SUM(V28:V30)</f>
        <v>0</v>
      </c>
      <c r="W31" s="587">
        <f>SUM(W28:W30)</f>
        <v>0</v>
      </c>
      <c r="X31" s="588"/>
      <c r="Y31" s="588"/>
      <c r="Z31" s="589"/>
    </row>
    <row r="32" spans="1:26" s="566" customFormat="1">
      <c r="A32" s="585" t="s">
        <v>276</v>
      </c>
      <c r="B32" s="586"/>
      <c r="C32" s="586"/>
      <c r="D32" s="586"/>
      <c r="E32" s="586"/>
      <c r="F32" s="586"/>
      <c r="G32" s="586"/>
      <c r="H32" s="586"/>
      <c r="I32" s="586"/>
      <c r="J32" s="586"/>
      <c r="K32" s="586"/>
      <c r="L32" s="587"/>
      <c r="M32" s="587">
        <f>SUMIF($Z$28:$Z$30,"industrie",M28:M30)</f>
        <v>0</v>
      </c>
      <c r="N32" s="587">
        <f>SUMIF($Z$28:$Z$30,"industrie",N28:N30)</f>
        <v>0</v>
      </c>
      <c r="O32" s="587">
        <f>SUMIF($Z$28:$Z$30,"industrie",O28:O30)</f>
        <v>0</v>
      </c>
      <c r="P32" s="587">
        <f>SUMIF($Z$28:$Z$30,"industrie",P28:P30)</f>
        <v>0</v>
      </c>
      <c r="Q32" s="587">
        <f>SUMIF($Z$28:$Z$30,"industrie",Q28:Q30)</f>
        <v>0</v>
      </c>
      <c r="R32" s="587">
        <f>SUMIF($Z$28:$Z$30,"industrie",R28:R30)</f>
        <v>0</v>
      </c>
      <c r="S32" s="587">
        <f>SUMIF($Z$28:$Z$30,"industrie",S28:S30)</f>
        <v>0</v>
      </c>
      <c r="T32" s="587">
        <f>SUMIF($Z$28:$Z$30,"industrie",T28:T30)</f>
        <v>0</v>
      </c>
      <c r="U32" s="587">
        <f>SUMIF($Z$28:$Z$30,"industrie",U28:U30)</f>
        <v>0</v>
      </c>
      <c r="V32" s="587">
        <f>SUMIF($Z$28:$Z$30,"industrie",V28:V30)</f>
        <v>0</v>
      </c>
      <c r="W32" s="587">
        <f>SUMIF($Z$28:$Z$30,"industrie",W28:W30)</f>
        <v>0</v>
      </c>
      <c r="X32" s="588"/>
      <c r="Y32" s="588"/>
      <c r="Z32" s="589"/>
    </row>
    <row r="33" spans="1:27" s="566" customFormat="1">
      <c r="A33" s="585" t="s">
        <v>277</v>
      </c>
      <c r="B33" s="586"/>
      <c r="C33" s="586"/>
      <c r="D33" s="586"/>
      <c r="E33" s="586"/>
      <c r="F33" s="586"/>
      <c r="G33" s="586"/>
      <c r="H33" s="586"/>
      <c r="I33" s="586"/>
      <c r="J33" s="586"/>
      <c r="K33" s="586"/>
      <c r="L33" s="587"/>
      <c r="M33" s="587">
        <f ca="1">SUMIF($Z$28:AC30,"tertiair",M28:M30)</f>
        <v>0</v>
      </c>
      <c r="N33" s="587">
        <f ca="1">SUMIF($Z$28:AD30,"tertiair",N28:N30)</f>
        <v>0</v>
      </c>
      <c r="O33" s="587">
        <f ca="1">SUMIF($Z$28:AE30,"tertiair",O28:O30)</f>
        <v>0</v>
      </c>
      <c r="P33" s="587">
        <f ca="1">SUMIF($Z$28:AF30,"tertiair",P28:P30)</f>
        <v>0</v>
      </c>
      <c r="Q33" s="587">
        <f ca="1">SUMIF($Z$28:AG30,"tertiair",Q28:Q30)</f>
        <v>0</v>
      </c>
      <c r="R33" s="587">
        <f ca="1">SUMIF($Z$28:AH30,"tertiair",R28:R30)</f>
        <v>0</v>
      </c>
      <c r="S33" s="587">
        <f ca="1">SUMIF($Z$28:AI30,"tertiair",S28:S30)</f>
        <v>0</v>
      </c>
      <c r="T33" s="587">
        <f ca="1">SUMIF($Z$28:AJ30,"tertiair",T28:T30)</f>
        <v>0</v>
      </c>
      <c r="U33" s="587">
        <f ca="1">SUMIF($Z$28:AK30,"tertiair",U28:U30)</f>
        <v>0</v>
      </c>
      <c r="V33" s="587">
        <f ca="1">SUMIF($Z$28:AL30,"tertiair",V28:V30)</f>
        <v>0</v>
      </c>
      <c r="W33" s="587">
        <f ca="1">SUMIF($Z$28:AM30,"tertiair",W28:W30)</f>
        <v>0</v>
      </c>
      <c r="X33" s="588"/>
      <c r="Y33" s="588"/>
      <c r="Z33" s="589"/>
    </row>
    <row r="34" spans="1:27" s="566" customFormat="1" ht="15.75" thickBot="1">
      <c r="A34" s="590" t="s">
        <v>278</v>
      </c>
      <c r="B34" s="591"/>
      <c r="C34" s="591"/>
      <c r="D34" s="591"/>
      <c r="E34" s="591"/>
      <c r="F34" s="591"/>
      <c r="G34" s="591"/>
      <c r="H34" s="591"/>
      <c r="I34" s="591"/>
      <c r="J34" s="591"/>
      <c r="K34" s="591"/>
      <c r="L34" s="592"/>
      <c r="M34" s="592">
        <f>SUMIF($Z$28:$Z$30,"landbouw",M28:M30)</f>
        <v>4800</v>
      </c>
      <c r="N34" s="592">
        <f>SUMIF($Z$28:$Z$30,"landbouw",N28:N30)</f>
        <v>21600</v>
      </c>
      <c r="O34" s="592">
        <f>SUMIF($Z$28:$Z$30,"landbouw",O28:O30)</f>
        <v>30857.142857142855</v>
      </c>
      <c r="P34" s="592">
        <f>SUMIF($Z$28:$Z$30,"landbouw",P28:P30)</f>
        <v>61714.285714285725</v>
      </c>
      <c r="Q34" s="592">
        <f>SUMIF($Z$28:$Z$30,"landbouw",Q28:Q30)</f>
        <v>0</v>
      </c>
      <c r="R34" s="592">
        <f>SUMIF($Z$28:$Z$30,"landbouw",R28:R30)</f>
        <v>0</v>
      </c>
      <c r="S34" s="592">
        <f>SUMIF($Z$28:$Z$30,"landbouw",S28:S30)</f>
        <v>0</v>
      </c>
      <c r="T34" s="592">
        <f>SUMIF($Z$28:$Z$30,"landbouw",T28:T30)</f>
        <v>0</v>
      </c>
      <c r="U34" s="592">
        <f>SUMIF($Z$28:$Z$30,"landbouw",U28:U30)</f>
        <v>0</v>
      </c>
      <c r="V34" s="592">
        <f>SUMIF($Z$28:$Z$30,"landbouw",V28:V30)</f>
        <v>0</v>
      </c>
      <c r="W34" s="592">
        <f>SUMIF($Z$28:$Z$30,"landbouw",W28:W30)</f>
        <v>0</v>
      </c>
      <c r="X34" s="593"/>
      <c r="Y34" s="593"/>
      <c r="Z34" s="594"/>
    </row>
    <row r="35" spans="1:27" s="534" customFormat="1" ht="15.75" thickBot="1">
      <c r="A35" s="595"/>
      <c r="B35" s="596"/>
      <c r="C35" s="596"/>
      <c r="D35" s="596"/>
      <c r="E35" s="596"/>
      <c r="F35" s="596"/>
      <c r="G35" s="596"/>
      <c r="H35" s="596"/>
      <c r="I35" s="596"/>
      <c r="J35" s="596"/>
      <c r="K35" s="596"/>
      <c r="L35" s="579"/>
      <c r="M35" s="579"/>
      <c r="N35" s="579"/>
      <c r="O35" s="580"/>
      <c r="P35" s="580"/>
    </row>
    <row r="36" spans="1:27" s="534" customFormat="1" ht="45">
      <c r="A36" s="597" t="s">
        <v>270</v>
      </c>
      <c r="B36" s="626" t="s">
        <v>89</v>
      </c>
      <c r="C36" s="626" t="s">
        <v>90</v>
      </c>
      <c r="D36" s="626"/>
      <c r="E36" s="626"/>
      <c r="F36" s="626"/>
      <c r="G36" s="626" t="s">
        <v>91</v>
      </c>
      <c r="H36" s="626" t="s">
        <v>92</v>
      </c>
      <c r="I36" s="626"/>
      <c r="J36" s="626"/>
      <c r="K36" s="626"/>
      <c r="L36" s="626" t="s">
        <v>93</v>
      </c>
      <c r="M36" s="627" t="s">
        <v>287</v>
      </c>
      <c r="N36" s="627" t="s">
        <v>94</v>
      </c>
      <c r="O36" s="627" t="s">
        <v>95</v>
      </c>
      <c r="P36" s="627" t="s">
        <v>530</v>
      </c>
      <c r="Q36" s="627" t="s">
        <v>96</v>
      </c>
      <c r="R36" s="627" t="s">
        <v>97</v>
      </c>
      <c r="S36" s="627" t="s">
        <v>98</v>
      </c>
      <c r="T36" s="627" t="s">
        <v>99</v>
      </c>
      <c r="U36" s="627" t="s">
        <v>100</v>
      </c>
      <c r="V36" s="627" t="s">
        <v>101</v>
      </c>
      <c r="W36" s="626" t="s">
        <v>102</v>
      </c>
      <c r="X36" s="626" t="s">
        <v>288</v>
      </c>
      <c r="Y36" s="626" t="s">
        <v>103</v>
      </c>
      <c r="Z36" s="628" t="s">
        <v>289</v>
      </c>
    </row>
    <row r="37" spans="1:27" s="598" customFormat="1" ht="12.75" hidden="1">
      <c r="A37" s="584"/>
      <c r="B37" s="777"/>
      <c r="C37" s="777"/>
      <c r="D37" s="632"/>
      <c r="E37" s="632"/>
      <c r="F37" s="632"/>
      <c r="G37" s="632"/>
      <c r="H37" s="632"/>
      <c r="I37" s="632"/>
      <c r="J37" s="776"/>
      <c r="K37" s="776"/>
      <c r="L37" s="632"/>
      <c r="M37" s="632"/>
      <c r="N37" s="632"/>
      <c r="O37" s="632"/>
      <c r="P37" s="632"/>
      <c r="Q37" s="632"/>
      <c r="R37" s="632"/>
      <c r="S37" s="632"/>
      <c r="T37" s="632"/>
      <c r="U37" s="632"/>
      <c r="V37" s="632"/>
      <c r="W37" s="632"/>
      <c r="X37" s="632"/>
      <c r="Y37" s="632"/>
      <c r="Z37" s="633"/>
    </row>
    <row r="38" spans="1:27" s="566" customFormat="1" hidden="1">
      <c r="A38" s="585" t="s">
        <v>269</v>
      </c>
      <c r="B38" s="586"/>
      <c r="C38" s="586"/>
      <c r="D38" s="586"/>
      <c r="E38" s="586"/>
      <c r="F38" s="586"/>
      <c r="G38" s="586"/>
      <c r="H38" s="586"/>
      <c r="I38" s="586"/>
      <c r="J38" s="586"/>
      <c r="K38" s="586"/>
      <c r="L38" s="587"/>
      <c r="M38" s="587">
        <f>SUM(M37:M37)</f>
        <v>0</v>
      </c>
      <c r="N38" s="587">
        <f>SUM(N37:N37)</f>
        <v>0</v>
      </c>
      <c r="O38" s="587">
        <f>SUM(O37:O37)</f>
        <v>0</v>
      </c>
      <c r="P38" s="587">
        <f>SUM(P37:P37)</f>
        <v>0</v>
      </c>
      <c r="Q38" s="587">
        <f>SUM(Q37:Q37)</f>
        <v>0</v>
      </c>
      <c r="R38" s="587">
        <f>SUM(R37:R37)</f>
        <v>0</v>
      </c>
      <c r="S38" s="587">
        <f>SUM(S37:S37)</f>
        <v>0</v>
      </c>
      <c r="T38" s="587">
        <f>SUM(T37:T37)</f>
        <v>0</v>
      </c>
      <c r="U38" s="587">
        <f>SUM(U37:U37)</f>
        <v>0</v>
      </c>
      <c r="V38" s="587">
        <f>SUM(V37:V37)</f>
        <v>0</v>
      </c>
      <c r="W38" s="587">
        <f>SUM(W37:W37)</f>
        <v>0</v>
      </c>
      <c r="X38" s="588"/>
      <c r="Y38" s="588"/>
      <c r="Z38" s="589"/>
    </row>
    <row r="39" spans="1:27" s="566" customFormat="1">
      <c r="A39" s="585" t="s">
        <v>276</v>
      </c>
      <c r="B39" s="586"/>
      <c r="C39" s="586"/>
      <c r="D39" s="586"/>
      <c r="E39" s="586"/>
      <c r="F39" s="586"/>
      <c r="G39" s="586"/>
      <c r="H39" s="586"/>
      <c r="I39" s="586"/>
      <c r="J39" s="586"/>
      <c r="K39" s="586"/>
      <c r="L39" s="587"/>
      <c r="M39" s="587">
        <f>SUMIF($Z$37:$Z$37,"industrie",M37:M37)</f>
        <v>0</v>
      </c>
      <c r="N39" s="587">
        <f>SUMIF($Z$37:$Z$37,"industrie",N37:N37)</f>
        <v>0</v>
      </c>
      <c r="O39" s="587">
        <f>SUMIF($Z$37:$Z$37,"industrie",O37:O37)</f>
        <v>0</v>
      </c>
      <c r="P39" s="587">
        <f>SUMIF($Z$37:$Z$37,"industrie",P37:P37)</f>
        <v>0</v>
      </c>
      <c r="Q39" s="587">
        <f>SUMIF($Z$37:$Z$37,"industrie",Q37:Q37)</f>
        <v>0</v>
      </c>
      <c r="R39" s="587">
        <f>SUMIF($Z$37:$Z$37,"industrie",R37:R37)</f>
        <v>0</v>
      </c>
      <c r="S39" s="587">
        <f>SUMIF($Z$37:$Z$37,"industrie",S37:S37)</f>
        <v>0</v>
      </c>
      <c r="T39" s="587">
        <f>SUMIF($Z$37:$Z$37,"industrie",T37:T37)</f>
        <v>0</v>
      </c>
      <c r="U39" s="587">
        <f>SUMIF($Z$37:$Z$37,"industrie",U37:U37)</f>
        <v>0</v>
      </c>
      <c r="V39" s="587">
        <f>SUMIF($Z$37:$Z$37,"industrie",V37:V37)</f>
        <v>0</v>
      </c>
      <c r="W39" s="587">
        <f>SUMIF($Z$37:$Z$37,"industrie",W37:W37)</f>
        <v>0</v>
      </c>
      <c r="X39" s="588"/>
      <c r="Y39" s="588"/>
      <c r="Z39" s="589"/>
    </row>
    <row r="40" spans="1:27" s="566" customFormat="1">
      <c r="A40" s="585" t="s">
        <v>277</v>
      </c>
      <c r="B40" s="586"/>
      <c r="C40" s="586"/>
      <c r="D40" s="586"/>
      <c r="E40" s="586"/>
      <c r="F40" s="586"/>
      <c r="G40" s="586"/>
      <c r="H40" s="586"/>
      <c r="I40" s="586"/>
      <c r="J40" s="586"/>
      <c r="K40" s="586"/>
      <c r="L40" s="587"/>
      <c r="M40" s="587">
        <f>SUMIF($Z$37:$Z$38,"tertiair",M37:M38)</f>
        <v>0</v>
      </c>
      <c r="N40" s="587">
        <f>SUMIF($Z$37:$Z$38,"tertiair",N37:N38)</f>
        <v>0</v>
      </c>
      <c r="O40" s="587">
        <f>SUMIF($Z$37:$Z$38,"tertiair",O37:O38)</f>
        <v>0</v>
      </c>
      <c r="P40" s="587">
        <f>SUMIF($Z$37:$Z$38,"tertiair",P37:P38)</f>
        <v>0</v>
      </c>
      <c r="Q40" s="587">
        <f>SUMIF($Z$37:$Z$38,"tertiair",Q37:Q38)</f>
        <v>0</v>
      </c>
      <c r="R40" s="587">
        <f>SUMIF($Z$37:$Z$38,"tertiair",R37:R38)</f>
        <v>0</v>
      </c>
      <c r="S40" s="587">
        <f>SUMIF($Z$37:$Z$38,"tertiair",S37:S38)</f>
        <v>0</v>
      </c>
      <c r="T40" s="587">
        <f>SUMIF($Z$37:$Z$38,"tertiair",T37:T38)</f>
        <v>0</v>
      </c>
      <c r="U40" s="587">
        <f>SUMIF($Z$37:$Z$38,"tertiair",U37:U38)</f>
        <v>0</v>
      </c>
      <c r="V40" s="587">
        <f>SUMIF($Z$37:$Z$38,"tertiair",V37:V38)</f>
        <v>0</v>
      </c>
      <c r="W40" s="587">
        <f>SUMIF($Z$37:$Z$38,"tertiair",W37:W38)</f>
        <v>0</v>
      </c>
      <c r="X40" s="588"/>
      <c r="Y40" s="588"/>
      <c r="Z40" s="589"/>
    </row>
    <row r="41" spans="1:27" s="566" customFormat="1" ht="15.75" thickBot="1">
      <c r="A41" s="590" t="s">
        <v>278</v>
      </c>
      <c r="B41" s="591"/>
      <c r="C41" s="591"/>
      <c r="D41" s="591"/>
      <c r="E41" s="591"/>
      <c r="F41" s="591"/>
      <c r="G41" s="591"/>
      <c r="H41" s="591"/>
      <c r="I41" s="591"/>
      <c r="J41" s="591"/>
      <c r="K41" s="591"/>
      <c r="L41" s="592"/>
      <c r="M41" s="592">
        <f>SUMIF($Z$37:$Z$39,"landbouw",M37:M39)</f>
        <v>0</v>
      </c>
      <c r="N41" s="592">
        <f>SUMIF($Z$37:$Z$39,"landbouw",N37:N39)</f>
        <v>0</v>
      </c>
      <c r="O41" s="592">
        <f>SUMIF($Z$37:$Z$39,"landbouw",O37:O39)</f>
        <v>0</v>
      </c>
      <c r="P41" s="592">
        <f>SUMIF($Z$37:$Z$39,"landbouw",P37:P39)</f>
        <v>0</v>
      </c>
      <c r="Q41" s="592">
        <f>SUMIF($Z$37:$Z$39,"landbouw",Q37:Q39)</f>
        <v>0</v>
      </c>
      <c r="R41" s="592">
        <f>SUMIF($Z$37:$Z$39,"landbouw",R37:R39)</f>
        <v>0</v>
      </c>
      <c r="S41" s="592">
        <f>SUMIF($Z$37:$Z$39,"landbouw",S37:S39)</f>
        <v>0</v>
      </c>
      <c r="T41" s="592">
        <f>SUMIF($Z$37:$Z$39,"landbouw",T37:T39)</f>
        <v>0</v>
      </c>
      <c r="U41" s="592">
        <f>SUMIF($Z$37:$Z$39,"landbouw",U37:U39)</f>
        <v>0</v>
      </c>
      <c r="V41" s="592">
        <f>SUMIF($Z$37:$Z$39,"landbouw",V37:V39)</f>
        <v>0</v>
      </c>
      <c r="W41" s="592">
        <f>SUMIF($Z$37:$Z$39,"landbouw",W37:W39)</f>
        <v>0</v>
      </c>
      <c r="X41" s="593"/>
      <c r="Y41" s="593"/>
      <c r="Z41" s="594"/>
    </row>
    <row r="42" spans="1:27" s="599" customForma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row>
    <row r="43" spans="1:27" s="599" customFormat="1" ht="15.75" thickBo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row>
    <row r="44" spans="1:27">
      <c r="A44" s="600" t="s">
        <v>271</v>
      </c>
      <c r="B44" s="601"/>
      <c r="C44" s="601"/>
      <c r="D44" s="601"/>
      <c r="E44" s="601"/>
      <c r="F44" s="601"/>
      <c r="G44" s="601"/>
      <c r="H44" s="601"/>
      <c r="I44" s="602"/>
      <c r="J44" s="603"/>
      <c r="K44" s="603"/>
      <c r="L44" s="604"/>
      <c r="M44" s="604"/>
      <c r="N44" s="604"/>
      <c r="O44" s="604"/>
      <c r="P44" s="604"/>
    </row>
    <row r="45" spans="1:27">
      <c r="A45" s="606"/>
      <c r="B45" s="596"/>
      <c r="C45" s="596"/>
      <c r="D45" s="596"/>
      <c r="E45" s="596"/>
      <c r="F45" s="596"/>
      <c r="G45" s="596"/>
      <c r="H45" s="596"/>
      <c r="I45" s="607"/>
      <c r="J45" s="596"/>
      <c r="K45" s="596"/>
      <c r="L45" s="604"/>
      <c r="M45" s="604"/>
      <c r="N45" s="604"/>
      <c r="O45" s="604"/>
      <c r="P45" s="604"/>
    </row>
    <row r="46" spans="1:27">
      <c r="A46" s="608"/>
      <c r="B46" s="609" t="s">
        <v>272</v>
      </c>
      <c r="C46" s="609" t="s">
        <v>273</v>
      </c>
      <c r="D46" s="609"/>
      <c r="E46" s="609"/>
      <c r="F46" s="609"/>
      <c r="G46" s="609"/>
      <c r="H46" s="609"/>
      <c r="I46" s="610"/>
      <c r="J46" s="609"/>
      <c r="K46" s="609"/>
      <c r="L46" s="609"/>
      <c r="M46" s="609"/>
      <c r="N46" s="609"/>
      <c r="O46" s="609"/>
      <c r="P46" s="604"/>
    </row>
    <row r="47" spans="1:27">
      <c r="A47" s="606" t="s">
        <v>269</v>
      </c>
      <c r="B47" s="611">
        <f>IF(ISERROR(O31/(O31+N31)),0,O31/(O31+N31))</f>
        <v>0.58823529411764708</v>
      </c>
      <c r="C47" s="612">
        <f>IF(ISERROR(N31/(O31+N31)),0,N31/(N31+O31))</f>
        <v>0.41176470588235298</v>
      </c>
      <c r="D47" s="579"/>
      <c r="E47" s="579"/>
      <c r="F47" s="579"/>
      <c r="G47" s="579"/>
      <c r="H47" s="579"/>
      <c r="I47" s="613"/>
      <c r="J47" s="579"/>
      <c r="K47" s="579"/>
      <c r="L47" s="614"/>
      <c r="M47" s="614"/>
      <c r="N47" s="614"/>
      <c r="O47" s="614"/>
      <c r="P47" s="604"/>
    </row>
    <row r="48" spans="1:27">
      <c r="A48" s="606"/>
      <c r="B48" s="615"/>
      <c r="C48" s="615"/>
      <c r="D48" s="615"/>
      <c r="E48" s="615"/>
      <c r="F48" s="615"/>
      <c r="G48" s="615"/>
      <c r="H48" s="615"/>
      <c r="I48" s="616"/>
      <c r="J48" s="615"/>
      <c r="K48" s="615"/>
      <c r="L48" s="617"/>
      <c r="M48" s="617"/>
      <c r="N48" s="617"/>
      <c r="O48" s="617"/>
      <c r="P48" s="604"/>
    </row>
    <row r="49" spans="1:16" ht="30">
      <c r="A49" s="618"/>
      <c r="B49" s="619" t="s">
        <v>530</v>
      </c>
      <c r="C49" s="619" t="s">
        <v>96</v>
      </c>
      <c r="D49" s="619" t="s">
        <v>97</v>
      </c>
      <c r="E49" s="619" t="s">
        <v>98</v>
      </c>
      <c r="F49" s="619" t="s">
        <v>99</v>
      </c>
      <c r="G49" s="619" t="s">
        <v>100</v>
      </c>
      <c r="H49" s="619" t="s">
        <v>101</v>
      </c>
      <c r="I49" s="620" t="s">
        <v>102</v>
      </c>
      <c r="J49" s="609"/>
      <c r="K49" s="609"/>
      <c r="L49" s="617"/>
      <c r="M49" s="617"/>
      <c r="N49" s="617"/>
      <c r="O49" s="604"/>
      <c r="P49" s="604"/>
    </row>
    <row r="50" spans="1:16">
      <c r="A50" s="608" t="s">
        <v>274</v>
      </c>
      <c r="B50" s="621">
        <f t="shared" ref="B50:I50" si="2">$C$47*P31</f>
        <v>25411.76470588236</v>
      </c>
      <c r="C50" s="621">
        <f t="shared" si="2"/>
        <v>0</v>
      </c>
      <c r="D50" s="621">
        <f t="shared" si="2"/>
        <v>0</v>
      </c>
      <c r="E50" s="621">
        <f t="shared" si="2"/>
        <v>0</v>
      </c>
      <c r="F50" s="621">
        <f t="shared" si="2"/>
        <v>0</v>
      </c>
      <c r="G50" s="621">
        <f t="shared" si="2"/>
        <v>0</v>
      </c>
      <c r="H50" s="621">
        <f t="shared" si="2"/>
        <v>0</v>
      </c>
      <c r="I50" s="622">
        <f t="shared" si="2"/>
        <v>0</v>
      </c>
      <c r="J50" s="579"/>
      <c r="K50" s="579"/>
      <c r="L50" s="617"/>
      <c r="M50" s="617"/>
      <c r="N50" s="617"/>
      <c r="O50" s="604"/>
      <c r="P50" s="604"/>
    </row>
    <row r="51" spans="1:16" ht="15.75" thickBot="1">
      <c r="A51" s="623" t="s">
        <v>275</v>
      </c>
      <c r="B51" s="624">
        <f t="shared" ref="B51:I51" si="3">$B$47*P31</f>
        <v>36302.521008403368</v>
      </c>
      <c r="C51" s="624">
        <f t="shared" si="3"/>
        <v>0</v>
      </c>
      <c r="D51" s="624">
        <f t="shared" si="3"/>
        <v>0</v>
      </c>
      <c r="E51" s="624">
        <f t="shared" si="3"/>
        <v>0</v>
      </c>
      <c r="F51" s="624">
        <f t="shared" si="3"/>
        <v>0</v>
      </c>
      <c r="G51" s="624">
        <f t="shared" si="3"/>
        <v>0</v>
      </c>
      <c r="H51" s="624">
        <f t="shared" si="3"/>
        <v>0</v>
      </c>
      <c r="I51" s="625">
        <f t="shared" si="3"/>
        <v>0</v>
      </c>
      <c r="J51" s="579"/>
      <c r="K51" s="579"/>
      <c r="L51" s="617"/>
      <c r="M51" s="617"/>
      <c r="N51" s="617"/>
      <c r="O51" s="604"/>
      <c r="P51" s="604"/>
    </row>
    <row r="52" spans="1:16">
      <c r="J52" s="564"/>
      <c r="K52" s="564"/>
      <c r="L52" s="564"/>
      <c r="M52" s="564"/>
      <c r="N52" s="564"/>
    </row>
    <row r="53" spans="1:16">
      <c r="J53" s="564"/>
      <c r="K53" s="564"/>
      <c r="L53" s="564"/>
      <c r="M53" s="564"/>
      <c r="N53"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2021-11-11T13:26:14Z</dcterms:modified>
</cp:coreProperties>
</file>