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7CE6CDF4-9DF5-4B37-95D8-6CFD1929E84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G12" i="18"/>
  <c r="F12" i="18"/>
  <c r="E12" i="18"/>
  <c r="D12" i="18"/>
  <c r="C12" i="18"/>
  <c r="L10" i="18"/>
  <c r="K10" i="18"/>
  <c r="G10" i="18"/>
  <c r="D10" i="18"/>
  <c r="B6" i="18"/>
  <c r="B5" i="18"/>
  <c r="B4" i="18"/>
  <c r="J9" i="18" l="1"/>
  <c r="F20" i="18"/>
  <c r="B17" i="18"/>
  <c r="I49" i="18"/>
  <c r="H17" i="18" s="1"/>
  <c r="G49" i="18"/>
  <c r="I17" i="18" s="1"/>
  <c r="I20" i="18" s="1"/>
  <c r="F49" i="18"/>
  <c r="C49" i="18"/>
  <c r="B49" i="18"/>
  <c r="C17" i="18" s="1"/>
  <c r="C20" i="18" s="1"/>
  <c r="B20" i="18"/>
  <c r="C45"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Q54" i="14"/>
  <c r="Q56" i="14" s="1"/>
  <c r="P54" i="14"/>
  <c r="P56" i="14" s="1"/>
  <c r="L54" i="14"/>
  <c r="J54" i="14"/>
  <c r="J56" i="14" s="1"/>
  <c r="I54" i="14"/>
  <c r="I56" i="14" s="1"/>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R44" i="14"/>
  <c r="Q26" i="14"/>
  <c r="I26" i="14"/>
  <c r="E25" i="14"/>
  <c r="E55" i="14" s="1"/>
  <c r="C25" i="14"/>
  <c r="B14" i="48" s="1"/>
  <c r="P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3" i="13"/>
  <c r="B32" i="13"/>
  <c r="B35" i="13"/>
  <c r="C35" i="13" s="1"/>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P15" i="48" l="1"/>
  <c r="Q63" i="14"/>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<sst xmlns="http://schemas.openxmlformats.org/spreadsheetml/2006/main" count="2516" uniqueCount="929">
  <si>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</si>
  <si>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</si>
  <si>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</si>
  <si>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</si>
  <si>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</si>
  <si>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</si>
  <si>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</si>
  <si>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</si>
  <si>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</si>
  <si>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</si>
  <si>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</si>
  <si>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</si>
  <si>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</si>
  <si>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</si>
  <si>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</si>
  <si>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</si>
  <si>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</si>
  <si>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</si>
  <si>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</si>
  <si>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</si>
  <si>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</si>
  <si>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</si>
  <si>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</si>
  <si>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</si>
  <si>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</si>
  <si>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</si>
  <si>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</si>
  <si>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</si>
  <si>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</si>
  <si>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</si>
  <si>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</si>
  <si>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</si>
  <si>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</si>
  <si>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</si>
  <si>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</si>
  <si>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</si>
  <si>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</si>
  <si>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</si>
  <si>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</si>
  <si>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</si>
  <si>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</si>
  <si>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</si>
  <si>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</si>
  <si>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</si>
  <si>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</si>
  <si>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</si>
  <si>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</si>
  <si>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</si>
  <si>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</si>
  <si>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</si>
  <si>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</si>
  <si>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</si>
  <si>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</si>
  <si>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</si>
  <si>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</si>
  <si>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</si>
  <si>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</si>
  <si>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</si>
  <si>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</si>
  <si>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</si>
  <si>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</si>
  <si>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</si>
  <si>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</si>
  <si>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</si>
  <si>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</si>
  <si>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</si>
  <si>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</si>
  <si>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</si>
  <si>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</si>
  <si>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</si>
  <si>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</si>
  <si>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</si>
  <si>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</si>
  <si>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</si>
  <si>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</si>
  <si>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</si>
  <si>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</si>
  <si>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</si>
  <si>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</si>
  <si>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</si>
  <si>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</si>
  <si>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</si>
  <si>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</si>
  <si>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</si>
  <si>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</si>
  <si>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</si>
  <si>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</si>
  <si>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</si>
  <si>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</si>
  <si>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</si>
  <si>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</si>
  <si>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</si>
  <si>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</si>
  <si>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</si>
  <si>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</si>
  <si>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</si>
  <si>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</si>
  <si>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</si>
  <si>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</si>
  <si>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</si>
  <si>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</si>
  <si>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</si>
  <si>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</si>
  <si>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</si>
  <si>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</si>
  <si>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</si>
  <si>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</si>
  <si>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</si>
  <si>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</si>
  <si>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</si>
  <si>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</si>
  <si>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</si>
  <si>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</si>
  <si>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</si>
  <si>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</si>
  <si>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</si>
  <si>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</si>
  <si>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</si>
  <si>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</si>
  <si>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</si>
  <si>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</si>
  <si>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</si>
  <si>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</si>
  <si>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</si>
  <si>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</si>
  <si>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</si>
  <si>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</si>
  <si>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</si>
  <si>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</si>
  <si>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</si>
  <si>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</si>
  <si>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</si>
  <si>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</si>
  <si>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</si>
  <si>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</si>
  <si>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</si>
  <si>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</si>
  <si>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</si>
  <si>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</si>
  <si>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</si>
  <si>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</si>
  <si>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</si>
  <si>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</si>
  <si>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</si>
  <si>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</si>
  <si>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</si>
  <si>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</si>
  <si>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</si>
  <si>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</si>
  <si>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</si>
  <si>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</si>
  <si>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</si>
  <si>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</si>
  <si>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</si>
  <si>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</si>
  <si>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</si>
  <si>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</si>
  <si>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</si>
  <si>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</si>
  <si>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</si>
  <si>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</si>
  <si>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</si>
  <si>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</si>
  <si>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</si>
  <si>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</si>
  <si>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</si>
  <si>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</si>
  <si>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</si>
  <si>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</si>
  <si>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</si>
  <si>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</si>
  <si>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</si>
  <si>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</si>
  <si>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</si>
  <si>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</si>
  <si>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</si>
  <si>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</si>
  <si>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</si>
  <si>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</si>
  <si>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</si>
  <si>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</si>
  <si>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</si>
  <si>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</si>
  <si>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</si>
  <si>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</si>
  <si>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</si>
  <si>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</si>
  <si>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</si>
  <si>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</si>
  <si>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</si>
  <si>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</si>
  <si>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</si>
  <si>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</si>
  <si>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</si>
  <si>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</si>
  <si>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</si>
  <si>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</si>
  <si>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</si>
  <si>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</si>
  <si>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</si>
  <si>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</si>
  <si>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</si>
  <si>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</si>
  <si>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</si>
  <si>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</si>
  <si>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</si>
  <si>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</si>
  <si>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</si>
  <si>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</si>
  <si>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</si>
  <si>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</si>
  <si>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</si>
  <si>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</si>
  <si>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</si>
  <si>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</si>
  <si>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</si>
  <si>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</si>
  <si>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</si>
  <si>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</si>
  <si>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</si>
  <si>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</si>
  <si>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</si>
  <si>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</si>
  <si>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</si>
  <si>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</si>
  <si>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</si>
  <si>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</si>
  <si>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</si>
  <si>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</si>
  <si>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</si>
  <si>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</si>
  <si>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</si>
  <si>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</si>
  <si>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</si>
  <si>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</si>
  <si>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</si>
  <si>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</si>
  <si>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</si>
  <si>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</si>
  <si>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</si>
  <si>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</si>
  <si>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</si>
  <si>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</si>
  <si>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</si>
  <si>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</si>
  <si>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</si>
  <si>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</si>
  <si>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</si>
  <si>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</si>
  <si>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</si>
  <si>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</si>
  <si>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</si>
  <si>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</si>
  <si>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</si>
  <si>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</si>
  <si>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</si>
  <si>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</si>
  <si>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</si>
  <si>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</si>
  <si>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</si>
  <si>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</si>
  <si>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</si>
  <si>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</si>
  <si>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</si>
  <si>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</si>
  <si>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</si>
  <si>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</si>
  <si>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</si>
  <si>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</si>
  <si>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</si>
  <si>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</si>
  <si>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</si>
  <si>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</si>
  <si>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</si>
  <si>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</si>
  <si>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</si>
  <si>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</si>
  <si>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</si>
  <si>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</si>
  <si>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</si>
  <si>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</si>
  <si>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</si>
  <si>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</si>
  <si>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</si>
  <si>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</si>
  <si>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</si>
  <si>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</si>
  <si>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</si>
  <si>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</si>
  <si>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</si>
  <si>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</si>
  <si>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</si>
  <si>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</si>
  <si>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</si>
  <si>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</si>
  <si>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</si>
  <si>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</si>
  <si>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</si>
  <si>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</si>
  <si>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</si>
  <si>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</si>
  <si>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</si>
  <si>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</si>
  <si>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</si>
  <si>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</si>
  <si>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</si>
  <si>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</si>
  <si>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</si>
  <si>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</si>
  <si>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</si>
  <si>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</si>
  <si>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</si>
  <si>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</si>
  <si>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</si>
  <si>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</si>
  <si>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</si>
  <si>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</si>
  <si>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</si>
  <si>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</si>
  <si>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</si>
  <si>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</si>
  <si>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</si>
  <si>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</si>
  <si>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</si>
  <si>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</si>
  <si>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</si>
  <si>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</si>
  <si>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</si>
  <si>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</si>
  <si>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</si>
  <si>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</si>
  <si>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</si>
  <si>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</si>
  <si>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</si>
  <si>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</si>
  <si>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</si>
  <si>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</si>
  <si>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</si>
  <si>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</si>
  <si>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</si>
  <si>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</si>
  <si>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</si>
  <si>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</si>
  <si>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</si>
  <si>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</si>
  <si>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</si>
  <si>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</si>
  <si>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</si>
  <si>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</si>
  <si>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</si>
  <si>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</si>
  <si>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</si>
  <si>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</si>
  <si>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</si>
  <si>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</si>
  <si>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</si>
  <si>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</si>
  <si>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</si>
  <si>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</si>
  <si>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</si>
  <si>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</si>
  <si>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</si>
  <si>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</si>
  <si>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</si>
  <si>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</si>
  <si>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</si>
  <si>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</si>
  <si>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</si>
  <si>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</si>
  <si>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</si>
  <si>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</si>
  <si>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</si>
  <si>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</si>
  <si>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</si>
  <si>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</si>
  <si>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</si>
  <si>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</si>
  <si>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</si>
  <si>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</si>
  <si>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</si>
  <si>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</si>
  <si>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</si>
  <si>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</si>
  <si>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</si>
  <si>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</si>
  <si>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</si>
  <si>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</si>
  <si>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</si>
  <si>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</si>
  <si>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</si>
  <si>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</si>
  <si>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</si>
  <si>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</si>
  <si>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</si>
  <si>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</si>
  <si>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</si>
  <si>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</si>
  <si>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</si>
  <si>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</si>
  <si>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</si>
  <si>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</si>
  <si>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</si>
  <si>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</si>
  <si>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</si>
  <si>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</si>
  <si>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</si>
  <si>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</si>
  <si>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</si>
  <si>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</si>
  <si>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</si>
  <si>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</si>
  <si>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</si>
  <si>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</si>
  <si>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</si>
  <si>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</si>
  <si>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</si>
  <si>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</si>
  <si>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</si>
  <si>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</si>
  <si>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</si>
  <si>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</si>
  <si>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</si>
  <si>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</si>
  <si>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</si>
  <si>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</si>
  <si>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</si>
  <si>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</si>
  <si>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</si>
  <si>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</si>
  <si>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</si>
  <si>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</si>
  <si>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</si>
  <si>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</si>
  <si>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</si>
  <si>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</si>
  <si>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</si>
  <si>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</si>
  <si>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</si>
  <si>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</si>
  <si>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</si>
  <si>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</si>
  <si>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</si>
  <si>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</si>
  <si>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</si>
  <si>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</si>
  <si>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</si>
  <si>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</si>
  <si>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</si>
  <si>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</si>
  <si>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</si>
  <si>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</si>
  <si>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</si>
  <si>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</si>
  <si>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</si>
  <si>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</si>
  <si>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</si>
  <si>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</si>
  <si>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</si>
  <si>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</si>
  <si>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</si>
  <si>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</si>
  <si>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</si>
  <si>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</si>
  <si>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</si>
  <si>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</si>
  <si>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</si>
  <si>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</si>
  <si>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</si>
  <si>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</si>
  <si>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</si>
  <si>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</si>
  <si>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</si>
  <si>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</si>
  <si>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</si>
  <si>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</si>
  <si>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</si>
  <si>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</si>
  <si>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</si>
  <si>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</si>
  <si>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</si>
  <si>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</si>
  <si>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</si>
  <si>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</si>
  <si>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</si>
  <si>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</si>
  <si>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</si>
  <si>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</si>
  <si>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</si>
  <si>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</si>
  <si>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</si>
  <si>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</si>
  <si>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</si>
  <si>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</si>
  <si>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</si>
  <si>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</si>
  <si>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</si>
  <si>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</si>
  <si>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</si>
  <si>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</si>
  <si>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</si>
  <si>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</si>
  <si>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</si>
  <si>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</si>
  <si>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</si>
  <si>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</si>
  <si>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</si>
  <si>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</si>
  <si>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</si>
  <si>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</si>
  <si>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</si>
  <si>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</si>
  <si>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</si>
  <si>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</si>
  <si>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</si>
  <si>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</si>
  <si>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</si>
  <si>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</si>
  <si>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</si>
  <si>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</si>
  <si>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</si>
  <si>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</si>
  <si>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</si>
  <si>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</si>
  <si>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</si>
  <si>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</si>
  <si>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</si>
  <si>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</si>
  <si>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</si>
  <si>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</si>
  <si>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</si>
  <si>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</si>
  <si>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</si>
  <si>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</si>
  <si>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</si>
  <si>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</si>
  <si>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</si>
  <si>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</si>
  <si>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</si>
  <si>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</si>
  <si>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</si>
  <si>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</si>
  <si>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</si>
  <si>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</si>
  <si>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</si>
  <si>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</si>
  <si>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</si>
  <si>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</si>
  <si>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</si>
  <si>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</si>
  <si>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</si>
  <si>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</si>
  <si>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</si>
  <si>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</si>
  <si>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</si>
  <si>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</si>
  <si>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</si>
  <si>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</si>
  <si>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</si>
  <si>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</si>
  <si>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</si>
  <si>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</si>
  <si>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</si>
  <si>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</si>
  <si>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</si>
  <si>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</si>
  <si>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</si>
  <si>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</si>
  <si>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</si>
  <si>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</si>
  <si>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</si>
  <si>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</si>
  <si>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</si>
  <si>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</si>
  <si>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</si>
  <si>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</si>
  <si>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</si>
  <si>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</si>
  <si>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</si>
  <si>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</si>
  <si>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</si>
  <si>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</si>
  <si>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</si>
  <si>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</si>
  <si>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</si>
  <si>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</si>
  <si>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</si>
  <si>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</si>
  <si>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</si>
  <si>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</si>
  <si>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</si>
  <si>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</si>
  <si>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</si>
  <si>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</si>
  <si>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</si>
  <si>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</si>
  <si>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</si>
  <si>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</si>
  <si>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</si>
  <si>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</si>
  <si>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</si>
  <si>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</si>
  <si>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</si>
  <si>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</si>
  <si>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</si>
  <si>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</si>
  <si>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</si>
  <si>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</si>
  <si>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</si>
  <si>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</si>
  <si>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</si>
  <si>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</si>
  <si>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</si>
  <si>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</si>
  <si>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</si>
  <si>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</si>
  <si>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</si>
  <si>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</si>
  <si>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</si>
  <si>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</si>
  <si>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</si>
  <si>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</si>
  <si>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</si>
  <si>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</si>
  <si>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</si>
  <si>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</si>
  <si>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</si>
  <si>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</si>
  <si>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</si>
  <si>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</si>
  <si>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</si>
  <si>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</si>
  <si>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</si>
  <si>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</si>
  <si>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</si>
  <si>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</si>
  <si>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</si>
  <si>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</si>
  <si>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</si>
  <si>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</si>
  <si>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</si>
  <si>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</si>
  <si>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</si>
  <si>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</si>
  <si>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</si>
  <si>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</si>
  <si>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</si>
  <si>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</si>
  <si>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</si>
  <si>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</si>
  <si>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</si>
  <si>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</si>
  <si>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</si>
  <si>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</si>
  <si>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</si>
  <si>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</si>
  <si>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</si>
  <si>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</si>
  <si>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</si>
  <si>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</si>
  <si>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</si>
  <si>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</si>
  <si>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</si>
  <si>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</si>
  <si>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</si>
  <si>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</si>
  <si>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</si>
  <si>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</si>
  <si>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</si>
  <si>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</si>
  <si>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</si>
  <si>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</si>
  <si>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</si>
  <si>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</si>
  <si>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</si>
  <si>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</si>
  <si>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</si>
  <si>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</si>
  <si>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</si>
  <si>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</si>
  <si>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</si>
  <si>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</si>
  <si>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</si>
  <si>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</si>
  <si>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</si>
  <si>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</si>
  <si>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</si>
  <si>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</si>
  <si>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</si>
  <si>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</si>
  <si>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</si>
  <si>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</si>
  <si>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</si>
  <si>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</si>
  <si>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</si>
  <si>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</si>
  <si>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</si>
  <si>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</si>
  <si>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</si>
  <si>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</si>
  <si>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</si>
  <si>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</si>
  <si>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</si>
  <si>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</si>
  <si>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</si>
  <si>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</si>
  <si>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</si>
  <si>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</si>
  <si>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</si>
  <si>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</si>
  <si>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</si>
  <si>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</si>
  <si>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</si>
  <si>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</si>
  <si>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</si>
  <si>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</si>
  <si>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</si>
  <si>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</si>
  <si>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</si>
  <si>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</si>
  <si>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</si>
  <si>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</si>
  <si>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</si>
  <si>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</si>
  <si>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</si>
  <si>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</si>
  <si>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</si>
  <si>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</si>
  <si>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</si>
  <si>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</si>
  <si>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</si>
  <si>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</si>
  <si>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</si>
  <si>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</si>
  <si>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</si>
  <si>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</si>
  <si>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</si>
  <si>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</si>
  <si>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</si>
  <si>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</si>
  <si>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</si>
  <si>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</si>
  <si>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</si>
  <si>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</si>
  <si>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</si>
  <si>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</si>
  <si>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</si>
  <si>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</si>
  <si>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</si>
  <si>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</si>
  <si>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</si>
  <si>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</si>
  <si>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</si>
  <si>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</si>
  <si>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</si>
  <si>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</si>
  <si>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</si>
  <si>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</si>
  <si>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</si>
  <si>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</si>
  <si>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</si>
  <si>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</si>
  <si>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</si>
  <si>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</si>
  <si>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</si>
  <si>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</si>
  <si>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</si>
  <si>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</si>
  <si>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</si>
  <si>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</si>
  <si>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</si>
  <si>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</si>
  <si>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</si>
  <si>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</si>
  <si>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</si>
  <si>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</si>
  <si>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</si>
  <si>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</si>
  <si>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</si>
  <si>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</si>
  <si>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</si>
  <si>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</si>
  <si>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</si>
  <si>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</si>
  <si>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</si>
  <si>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</si>
  <si>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</si>
  <si>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</si>
  <si>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</si>
  <si>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</si>
  <si>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</si>
  <si>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</si>
  <si>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</si>
  <si>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</si>
  <si>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</si>
  <si>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</si>
  <si>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</si>
  <si>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</si>
  <si>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</si>
  <si>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</si>
  <si>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</si>
  <si>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</si>
  <si>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</si>
  <si>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</si>
  <si>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</si>
  <si>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</si>
  <si>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</si>
  <si>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</si>
  <si>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</si>
  <si>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</si>
  <si>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</si>
  <si>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</si>
  <si>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</si>
  <si>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</si>
  <si>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</si>
  <si>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</si>
  <si>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</si>
  <si>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</si>
  <si>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</si>
  <si>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</si>
  <si>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</si>
  <si>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</si>
  <si>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</si>
  <si>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</si>
  <si>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</si>
  <si>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</si>
  <si>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</si>
  <si>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</si>
  <si>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</si>
  <si>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</si>
  <si>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</si>
  <si>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</si>
  <si>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</si>
  <si>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</si>
  <si>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</si>
  <si>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</si>
  <si>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</si>
  <si>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</si>
  <si>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</si>
  <si>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</si>
  <si>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</si>
  <si>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</si>
  <si>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</si>
  <si>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</si>
  <si>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</si>
  <si>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</si>
  <si>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</si>
  <si>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</si>
  <si>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</si>
  <si>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</si>
  <si>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</si>
  <si>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</si>
  <si>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</si>
  <si>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</si>
  <si>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</si>
  <si>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</si>
  <si>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</si>
  <si>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</si>
  <si>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</si>
  <si>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</si>
  <si>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</si>
  <si>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</si>
  <si>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</si>
  <si>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</si>
  <si>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</si>
  <si>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</si>
  <si>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</si>
  <si>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</si>
  <si>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</si>
  <si>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</si>
  <si>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</si>
  <si>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</si>
  <si>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</si>
  <si>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</si>
  <si>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</si>
  <si>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</si>
  <si>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</si>
  <si>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</si>
  <si>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</si>
  <si>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</si>
  <si>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</si>
  <si>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</si>
  <si>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</si>
  <si>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</si>
  <si>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</si>
  <si>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</si>
  <si>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</si>
  <si>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</si>
  <si>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</si>
  <si>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</si>
  <si>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</si>
  <si>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</si>
  <si>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</si>
  <si>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</si>
  <si>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</si>
  <si>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</si>
  <si>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</si>
  <si>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</si>
  <si>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</si>
  <si>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</si>
  <si>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</si>
  <si>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</si>
  <si>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</si>
  <si>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</si>
  <si>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</si>
  <si>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</si>
  <si>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</si>
  <si>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</si>
  <si>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</si>
  <si>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</si>
  <si>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</si>
  <si>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</si>
  <si>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</si>
  <si>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</si>
  <si>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</si>
  <si>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</si>
  <si>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</si>
  <si>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</si>
  <si>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</si>
  <si>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</si>
  <si>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44001</t>
  </si>
  <si>
    <t>AALTER</t>
  </si>
  <si>
    <t>Cultuurgrond (ha)</t>
  </si>
  <si>
    <t>Paarden&amp;pony's 200 - 600 kg</t>
  </si>
  <si>
    <t>Paarden&amp;pony's &lt; 200 kg</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</si>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</sst>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A2BF3EAF-DA64-42C6-BC18-9076E6B4BED1}"/>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198502.73933505497</c:v>
                </c:pt>
                <c:pt idx="1">
                  <c:v>54192.386632621216</c:v>
                </c:pt>
                <c:pt idx="2">
                  <c:v>2078.15</c:v>
                </c:pt>
                <c:pt idx="3">
                  <c:v>57711.589423110141</c:v>
                </c:pt>
                <c:pt idx="4">
                  <c:v>295918.58458674297</c:v>
                </c:pt>
                <c:pt idx="5">
                  <c:v>491097.70273494313</c:v>
                </c:pt>
                <c:pt idx="6">
                  <c:v>700.50443856154175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198502.73933505497</c:v>
                </c:pt>
                <c:pt idx="1">
                  <c:v>54192.386632621216</c:v>
                </c:pt>
                <c:pt idx="2">
                  <c:v>2078.15</c:v>
                </c:pt>
                <c:pt idx="3">
                  <c:v>57711.589423110141</c:v>
                </c:pt>
                <c:pt idx="4">
                  <c:v>295918.58458674297</c:v>
                </c:pt>
                <c:pt idx="5">
                  <c:v>491097.70273494313</c:v>
                </c:pt>
                <c:pt idx="6">
                  <c:v>700.50443856154175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42246.198141041459</c:v>
                </c:pt>
                <c:pt idx="2">
                  <c:v>10385.322863269812</c:v>
                </c:pt>
                <c:pt idx="3">
                  <c:v>393.20334382038232</c:v>
                </c:pt>
                <c:pt idx="4">
                  <c:v>9450.3751646046458</c:v>
                </c:pt>
                <c:pt idx="5">
                  <c:v>59483.624946894604</c:v>
                </c:pt>
                <c:pt idx="6">
                  <c:v>124432.07691785648</c:v>
                </c:pt>
                <c:pt idx="7">
                  <c:v>178.78046174388149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42246.198141041459</c:v>
                </c:pt>
                <c:pt idx="2">
                  <c:v>10385.322863269812</c:v>
                </c:pt>
                <c:pt idx="3">
                  <c:v>393.20334382038232</c:v>
                </c:pt>
                <c:pt idx="4">
                  <c:v>9450.3751646046458</c:v>
                </c:pt>
                <c:pt idx="5">
                  <c:v>59483.624946894604</c:v>
                </c:pt>
                <c:pt idx="6">
                  <c:v>124432.07691785648</c:v>
                </c:pt>
                <c:pt idx="7">
                  <c:v>178.78046174388149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44001</v>
      </c>
      <c r="B6" s="385"/>
      <c r="C6" s="386"/>
    </row>
    <row r="7" spans="1:7" s="383" customFormat="1" ht="15.75" customHeight="1">
      <c r="A7" s="387" t="str">
        <f>txtMunicipality</f>
        <v>AALTER</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27428.058008959506</v>
      </c>
      <c r="D10" s="676">
        <f ca="1">tertiair!C16</f>
        <v>0</v>
      </c>
      <c r="E10" s="676">
        <f ca="1">tertiair!D16</f>
        <v>20562.183097514731</v>
      </c>
      <c r="F10" s="676">
        <f>tertiair!E16</f>
        <v>351.55726694494126</v>
      </c>
      <c r="G10" s="676">
        <f ca="1">tertiair!F16</f>
        <v>5076.9437209709877</v>
      </c>
      <c r="H10" s="676">
        <f>tertiair!G16</f>
        <v>0</v>
      </c>
      <c r="I10" s="676">
        <f>tertiair!H16</f>
        <v>0</v>
      </c>
      <c r="J10" s="676">
        <f>tertiair!I16</f>
        <v>0</v>
      </c>
      <c r="K10" s="676">
        <f>tertiair!J16</f>
        <v>0</v>
      </c>
      <c r="L10" s="676">
        <f>tertiair!K16</f>
        <v>0</v>
      </c>
      <c r="M10" s="676">
        <f ca="1">tertiair!L16</f>
        <v>0</v>
      </c>
      <c r="N10" s="676">
        <f>tertiair!M16</f>
        <v>0</v>
      </c>
      <c r="O10" s="676">
        <f ca="1">tertiair!N16</f>
        <v>2666.1245382310481</v>
      </c>
      <c r="P10" s="676">
        <f>tertiair!O16</f>
        <v>14.070000000000002</v>
      </c>
      <c r="Q10" s="677">
        <f>tertiair!P16</f>
        <v>171.6</v>
      </c>
      <c r="R10" s="679">
        <f ca="1">SUM(C10:Q10)</f>
        <v>56270.53663262121</v>
      </c>
      <c r="S10" s="67"/>
    </row>
    <row r="11" spans="1:19" s="444" customFormat="1">
      <c r="A11" s="791" t="s">
        <v>214</v>
      </c>
      <c r="B11" s="796"/>
      <c r="C11" s="676">
        <f>huishoudens!B8</f>
        <v>42056.560513124139</v>
      </c>
      <c r="D11" s="676">
        <f>huishoudens!C8</f>
        <v>0</v>
      </c>
      <c r="E11" s="676">
        <f>huishoudens!D8</f>
        <v>55121.028311008449</v>
      </c>
      <c r="F11" s="676">
        <f>huishoudens!E8</f>
        <v>2687.7378705929</v>
      </c>
      <c r="G11" s="676">
        <f>huishoudens!F8</f>
        <v>82366.997690116536</v>
      </c>
      <c r="H11" s="676">
        <f>huishoudens!G8</f>
        <v>0</v>
      </c>
      <c r="I11" s="676">
        <f>huishoudens!H8</f>
        <v>0</v>
      </c>
      <c r="J11" s="676">
        <f>huishoudens!I8</f>
        <v>0</v>
      </c>
      <c r="K11" s="676">
        <f>huishoudens!J8</f>
        <v>1559.8669291946651</v>
      </c>
      <c r="L11" s="676">
        <f>huishoudens!K8</f>
        <v>0</v>
      </c>
      <c r="M11" s="676">
        <f>huishoudens!L8</f>
        <v>0</v>
      </c>
      <c r="N11" s="676">
        <f>huishoudens!M8</f>
        <v>0</v>
      </c>
      <c r="O11" s="676">
        <f>huishoudens!N8</f>
        <v>13426.094687684978</v>
      </c>
      <c r="P11" s="676">
        <f>huishoudens!O8</f>
        <v>350.18666666666672</v>
      </c>
      <c r="Q11" s="677">
        <f>huishoudens!P8</f>
        <v>934.26666666666665</v>
      </c>
      <c r="R11" s="679">
        <f>SUM(C11:Q11)</f>
        <v>198502.73933505497</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76787.154168194276</v>
      </c>
      <c r="D13" s="676">
        <f>industrie!C18</f>
        <v>0</v>
      </c>
      <c r="E13" s="676">
        <f>industrie!D18</f>
        <v>179536.9058251197</v>
      </c>
      <c r="F13" s="676">
        <f>industrie!E18</f>
        <v>4653.1810868593702</v>
      </c>
      <c r="G13" s="676">
        <f>industrie!F18</f>
        <v>28382.008093484634</v>
      </c>
      <c r="H13" s="676">
        <f>industrie!G18</f>
        <v>0</v>
      </c>
      <c r="I13" s="676">
        <f>industrie!H18</f>
        <v>0</v>
      </c>
      <c r="J13" s="676">
        <f>industrie!I18</f>
        <v>0</v>
      </c>
      <c r="K13" s="676">
        <f>industrie!J18</f>
        <v>152.91114360924473</v>
      </c>
      <c r="L13" s="676">
        <f>industrie!K18</f>
        <v>0</v>
      </c>
      <c r="M13" s="676">
        <f>industrie!L18</f>
        <v>0</v>
      </c>
      <c r="N13" s="676">
        <f>industrie!M18</f>
        <v>0</v>
      </c>
      <c r="O13" s="676">
        <f>industrie!N18</f>
        <v>6406.4242694757468</v>
      </c>
      <c r="P13" s="676">
        <f>industrie!O18</f>
        <v>0</v>
      </c>
      <c r="Q13" s="677">
        <f>industrie!P18</f>
        <v>0</v>
      </c>
      <c r="R13" s="679">
        <f>SUM(C13:Q13)</f>
        <v>295918.58458674297</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146271.77269027792</v>
      </c>
      <c r="D16" s="711">
        <f t="shared" ref="D16:R16" ca="1" si="0">SUM(D9:D15)</f>
        <v>0</v>
      </c>
      <c r="E16" s="711">
        <f t="shared" ca="1" si="0"/>
        <v>255220.11723364287</v>
      </c>
      <c r="F16" s="711">
        <f t="shared" si="0"/>
        <v>7692.4762243972109</v>
      </c>
      <c r="G16" s="711">
        <f t="shared" ca="1" si="0"/>
        <v>115825.94950457216</v>
      </c>
      <c r="H16" s="711">
        <f t="shared" si="0"/>
        <v>0</v>
      </c>
      <c r="I16" s="711">
        <f t="shared" si="0"/>
        <v>0</v>
      </c>
      <c r="J16" s="711">
        <f t="shared" si="0"/>
        <v>0</v>
      </c>
      <c r="K16" s="711">
        <f t="shared" si="0"/>
        <v>1712.7780728039097</v>
      </c>
      <c r="L16" s="711">
        <f t="shared" si="0"/>
        <v>0</v>
      </c>
      <c r="M16" s="711">
        <f t="shared" ca="1" si="0"/>
        <v>0</v>
      </c>
      <c r="N16" s="711">
        <f t="shared" si="0"/>
        <v>0</v>
      </c>
      <c r="O16" s="711">
        <f t="shared" ca="1" si="0"/>
        <v>22498.643495391771</v>
      </c>
      <c r="P16" s="711">
        <f t="shared" si="0"/>
        <v>364.25666666666672</v>
      </c>
      <c r="Q16" s="711">
        <f t="shared" si="0"/>
        <v>1105.8666666666666</v>
      </c>
      <c r="R16" s="711">
        <f t="shared" ca="1" si="0"/>
        <v>550691.86055441923</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3.4275890547658259</v>
      </c>
      <c r="D19" s="676">
        <f>transport!C54</f>
        <v>0</v>
      </c>
      <c r="E19" s="676">
        <f>transport!D54</f>
        <v>0</v>
      </c>
      <c r="F19" s="676">
        <f>transport!E54</f>
        <v>0</v>
      </c>
      <c r="G19" s="676">
        <f>transport!F54</f>
        <v>0</v>
      </c>
      <c r="H19" s="676">
        <f>transport!G54</f>
        <v>667.16079871073612</v>
      </c>
      <c r="I19" s="676">
        <f>transport!H54</f>
        <v>0</v>
      </c>
      <c r="J19" s="676">
        <f>transport!I54</f>
        <v>0</v>
      </c>
      <c r="K19" s="676">
        <f>transport!J54</f>
        <v>0</v>
      </c>
      <c r="L19" s="676">
        <f>transport!K54</f>
        <v>0</v>
      </c>
      <c r="M19" s="676">
        <f>transport!L54</f>
        <v>0</v>
      </c>
      <c r="N19" s="676">
        <f>transport!M54</f>
        <v>29.916050796039855</v>
      </c>
      <c r="O19" s="676">
        <f>transport!N54</f>
        <v>0</v>
      </c>
      <c r="P19" s="676">
        <f>transport!O54</f>
        <v>0</v>
      </c>
      <c r="Q19" s="677">
        <f>transport!P54</f>
        <v>0</v>
      </c>
      <c r="R19" s="679">
        <f>SUM(C19:Q19)</f>
        <v>700.50443856154175</v>
      </c>
      <c r="S19" s="67"/>
    </row>
    <row r="20" spans="1:19" s="444" customFormat="1">
      <c r="A20" s="791" t="s">
        <v>296</v>
      </c>
      <c r="B20" s="796"/>
      <c r="C20" s="676">
        <f>transport!B14</f>
        <v>35.671456479300929</v>
      </c>
      <c r="D20" s="676">
        <f>transport!C14</f>
        <v>0</v>
      </c>
      <c r="E20" s="676">
        <f>transport!D14</f>
        <v>30.53323426784581</v>
      </c>
      <c r="F20" s="676">
        <f>transport!E14</f>
        <v>1267.4527321501012</v>
      </c>
      <c r="G20" s="676">
        <f>transport!F14</f>
        <v>0</v>
      </c>
      <c r="H20" s="676">
        <f>transport!G14</f>
        <v>414120.36179996509</v>
      </c>
      <c r="I20" s="676">
        <f>transport!H14</f>
        <v>54463.098378030758</v>
      </c>
      <c r="J20" s="676">
        <f>transport!I14</f>
        <v>0</v>
      </c>
      <c r="K20" s="676">
        <f>transport!J14</f>
        <v>0</v>
      </c>
      <c r="L20" s="676">
        <f>transport!K14</f>
        <v>0</v>
      </c>
      <c r="M20" s="676">
        <f>transport!L14</f>
        <v>0</v>
      </c>
      <c r="N20" s="676">
        <f>transport!M14</f>
        <v>21180.58513405003</v>
      </c>
      <c r="O20" s="676">
        <f>transport!N14</f>
        <v>0</v>
      </c>
      <c r="P20" s="676">
        <f>transport!O14</f>
        <v>0</v>
      </c>
      <c r="Q20" s="677">
        <f>transport!P14</f>
        <v>0</v>
      </c>
      <c r="R20" s="679">
        <f>SUM(C20:Q20)</f>
        <v>491097.70273494313</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39.099045534066754</v>
      </c>
      <c r="D22" s="794">
        <f t="shared" ref="D22:R22" si="1">SUM(D18:D21)</f>
        <v>0</v>
      </c>
      <c r="E22" s="794">
        <f t="shared" si="1"/>
        <v>30.53323426784581</v>
      </c>
      <c r="F22" s="794">
        <f t="shared" si="1"/>
        <v>1267.4527321501012</v>
      </c>
      <c r="G22" s="794">
        <f t="shared" si="1"/>
        <v>0</v>
      </c>
      <c r="H22" s="794">
        <f t="shared" si="1"/>
        <v>414787.5225986758</v>
      </c>
      <c r="I22" s="794">
        <f t="shared" si="1"/>
        <v>54463.098378030758</v>
      </c>
      <c r="J22" s="794">
        <f t="shared" si="1"/>
        <v>0</v>
      </c>
      <c r="K22" s="794">
        <f t="shared" si="1"/>
        <v>0</v>
      </c>
      <c r="L22" s="794">
        <f t="shared" si="1"/>
        <v>0</v>
      </c>
      <c r="M22" s="794">
        <f t="shared" si="1"/>
        <v>0</v>
      </c>
      <c r="N22" s="794">
        <f t="shared" si="1"/>
        <v>21210.501184846071</v>
      </c>
      <c r="O22" s="794">
        <f t="shared" si="1"/>
        <v>0</v>
      </c>
      <c r="P22" s="794">
        <f t="shared" si="1"/>
        <v>0</v>
      </c>
      <c r="Q22" s="794">
        <f t="shared" si="1"/>
        <v>0</v>
      </c>
      <c r="R22" s="794">
        <f t="shared" si="1"/>
        <v>491798.20717350469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6254.4176619620957</v>
      </c>
      <c r="D24" s="676">
        <f>+landbouw!C8</f>
        <v>18192.857142857145</v>
      </c>
      <c r="E24" s="676">
        <f>+landbouw!D8</f>
        <v>10665.599820758422</v>
      </c>
      <c r="F24" s="676">
        <f>+landbouw!E8</f>
        <v>78.81371986889161</v>
      </c>
      <c r="G24" s="676">
        <f>+landbouw!F8</f>
        <v>21579.307759015195</v>
      </c>
      <c r="H24" s="676">
        <f>+landbouw!G8</f>
        <v>0</v>
      </c>
      <c r="I24" s="676">
        <f>+landbouw!H8</f>
        <v>0</v>
      </c>
      <c r="J24" s="676">
        <f>+landbouw!I8</f>
        <v>0</v>
      </c>
      <c r="K24" s="676">
        <f>+landbouw!J8</f>
        <v>940.59331864838964</v>
      </c>
      <c r="L24" s="676">
        <f>+landbouw!K8</f>
        <v>0</v>
      </c>
      <c r="M24" s="676">
        <f>+landbouw!L8</f>
        <v>0</v>
      </c>
      <c r="N24" s="676">
        <f>+landbouw!M8</f>
        <v>0</v>
      </c>
      <c r="O24" s="676">
        <f>+landbouw!N8</f>
        <v>0</v>
      </c>
      <c r="P24" s="676">
        <f>+landbouw!O8</f>
        <v>0</v>
      </c>
      <c r="Q24" s="677">
        <f>+landbouw!P8</f>
        <v>0</v>
      </c>
      <c r="R24" s="679">
        <f>SUM(C24:Q24)</f>
        <v>57711.589423110141</v>
      </c>
      <c r="S24" s="67"/>
    </row>
    <row r="25" spans="1:19" s="444" customFormat="1" ht="15" thickBot="1">
      <c r="A25" s="813" t="s">
        <v>833</v>
      </c>
      <c r="B25" s="977"/>
      <c r="C25" s="978">
        <f>IF(Onbekend_ele_kWh="---",0,Onbekend_ele_kWh)/1000+IF(REST_rest_ele_kWh="---",0,REST_rest_ele_kWh)/1000</f>
        <v>1544.88613932868</v>
      </c>
      <c r="D25" s="978"/>
      <c r="E25" s="978">
        <f>IF(onbekend_gas_kWh="---",0,onbekend_gas_kWh)/1000+IF(REST_rest_gas_kWh="---",0,REST_rest_gas_kWh)/1000</f>
        <v>8861.5111744800597</v>
      </c>
      <c r="F25" s="978"/>
      <c r="G25" s="978"/>
      <c r="H25" s="978"/>
      <c r="I25" s="978"/>
      <c r="J25" s="978"/>
      <c r="K25" s="978"/>
      <c r="L25" s="978"/>
      <c r="M25" s="978"/>
      <c r="N25" s="978"/>
      <c r="O25" s="978"/>
      <c r="P25" s="978"/>
      <c r="Q25" s="979"/>
      <c r="R25" s="679">
        <f>SUM(C25:Q25)</f>
        <v>10406.39731380874</v>
      </c>
      <c r="S25" s="67"/>
    </row>
    <row r="26" spans="1:19" s="444" customFormat="1" ht="15.75" thickBot="1">
      <c r="A26" s="684" t="s">
        <v>834</v>
      </c>
      <c r="B26" s="799"/>
      <c r="C26" s="794">
        <f>SUM(C24:C25)</f>
        <v>7799.3038012907755</v>
      </c>
      <c r="D26" s="794">
        <f t="shared" ref="D26:R26" si="2">SUM(D24:D25)</f>
        <v>18192.857142857145</v>
      </c>
      <c r="E26" s="794">
        <f t="shared" si="2"/>
        <v>19527.11099523848</v>
      </c>
      <c r="F26" s="794">
        <f t="shared" si="2"/>
        <v>78.81371986889161</v>
      </c>
      <c r="G26" s="794">
        <f t="shared" si="2"/>
        <v>21579.307759015195</v>
      </c>
      <c r="H26" s="794">
        <f t="shared" si="2"/>
        <v>0</v>
      </c>
      <c r="I26" s="794">
        <f t="shared" si="2"/>
        <v>0</v>
      </c>
      <c r="J26" s="794">
        <f t="shared" si="2"/>
        <v>0</v>
      </c>
      <c r="K26" s="794">
        <f t="shared" si="2"/>
        <v>940.59331864838964</v>
      </c>
      <c r="L26" s="794">
        <f t="shared" si="2"/>
        <v>0</v>
      </c>
      <c r="M26" s="794">
        <f t="shared" si="2"/>
        <v>0</v>
      </c>
      <c r="N26" s="794">
        <f t="shared" si="2"/>
        <v>0</v>
      </c>
      <c r="O26" s="794">
        <f t="shared" si="2"/>
        <v>0</v>
      </c>
      <c r="P26" s="794">
        <f t="shared" si="2"/>
        <v>0</v>
      </c>
      <c r="Q26" s="794">
        <f t="shared" si="2"/>
        <v>0</v>
      </c>
      <c r="R26" s="794">
        <f t="shared" si="2"/>
        <v>68117.986736918887</v>
      </c>
      <c r="S26" s="67"/>
    </row>
    <row r="27" spans="1:19" s="444" customFormat="1" ht="17.25" thickTop="1" thickBot="1">
      <c r="A27" s="685" t="s">
        <v>109</v>
      </c>
      <c r="B27" s="786"/>
      <c r="C27" s="686">
        <f ca="1">C22+C16+C26</f>
        <v>154110.17553710277</v>
      </c>
      <c r="D27" s="686">
        <f t="shared" ref="D27:R27" ca="1" si="3">D22+D16+D26</f>
        <v>18192.857142857145</v>
      </c>
      <c r="E27" s="686">
        <f t="shared" ca="1" si="3"/>
        <v>274777.76146314922</v>
      </c>
      <c r="F27" s="686">
        <f t="shared" si="3"/>
        <v>9038.7426764162028</v>
      </c>
      <c r="G27" s="686">
        <f t="shared" ca="1" si="3"/>
        <v>137405.25726358735</v>
      </c>
      <c r="H27" s="686">
        <f t="shared" si="3"/>
        <v>414787.5225986758</v>
      </c>
      <c r="I27" s="686">
        <f t="shared" si="3"/>
        <v>54463.098378030758</v>
      </c>
      <c r="J27" s="686">
        <f t="shared" si="3"/>
        <v>0</v>
      </c>
      <c r="K27" s="686">
        <f t="shared" si="3"/>
        <v>2653.3713914522996</v>
      </c>
      <c r="L27" s="686">
        <f t="shared" si="3"/>
        <v>0</v>
      </c>
      <c r="M27" s="686">
        <f t="shared" ca="1" si="3"/>
        <v>0</v>
      </c>
      <c r="N27" s="686">
        <f t="shared" si="3"/>
        <v>21210.501184846071</v>
      </c>
      <c r="O27" s="686">
        <f t="shared" ca="1" si="3"/>
        <v>22498.643495391771</v>
      </c>
      <c r="P27" s="686">
        <f t="shared" si="3"/>
        <v>364.25666666666672</v>
      </c>
      <c r="Q27" s="686">
        <f t="shared" si="3"/>
        <v>1105.8666666666666</v>
      </c>
      <c r="R27" s="686">
        <f t="shared" ca="1" si="3"/>
        <v>1110608.0544648427</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5189.6177482964631</v>
      </c>
      <c r="D40" s="676">
        <f ca="1">tertiair!C20</f>
        <v>0</v>
      </c>
      <c r="E40" s="676">
        <f ca="1">tertiair!D20</f>
        <v>4153.5609856979763</v>
      </c>
      <c r="F40" s="676">
        <f>tertiair!E20</f>
        <v>79.803499596501666</v>
      </c>
      <c r="G40" s="676">
        <f ca="1">tertiair!F20</f>
        <v>1355.5439734992538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10778.526207090194</v>
      </c>
    </row>
    <row r="41" spans="1:18">
      <c r="A41" s="804" t="s">
        <v>214</v>
      </c>
      <c r="B41" s="811"/>
      <c r="C41" s="676">
        <f ca="1">huishoudens!B12</f>
        <v>7957.4526493971389</v>
      </c>
      <c r="D41" s="676">
        <f ca="1">huishoudens!C12</f>
        <v>0</v>
      </c>
      <c r="E41" s="676">
        <f>huishoudens!D12</f>
        <v>11134.447718823707</v>
      </c>
      <c r="F41" s="676">
        <f>huishoudens!E12</f>
        <v>610.11649662458831</v>
      </c>
      <c r="G41" s="676">
        <f>huishoudens!F12</f>
        <v>21991.988383261116</v>
      </c>
      <c r="H41" s="676">
        <f>huishoudens!G12</f>
        <v>0</v>
      </c>
      <c r="I41" s="676">
        <f>huishoudens!H12</f>
        <v>0</v>
      </c>
      <c r="J41" s="676">
        <f>huishoudens!I12</f>
        <v>0</v>
      </c>
      <c r="K41" s="676">
        <f>huishoudens!J12</f>
        <v>552.19289293491147</v>
      </c>
      <c r="L41" s="676">
        <f>huishoudens!K12</f>
        <v>0</v>
      </c>
      <c r="M41" s="676">
        <f>huishoudens!L12</f>
        <v>0</v>
      </c>
      <c r="N41" s="676">
        <f>huishoudens!M12</f>
        <v>0</v>
      </c>
      <c r="O41" s="676">
        <f>huishoudens!N12</f>
        <v>0</v>
      </c>
      <c r="P41" s="676">
        <f>huishoudens!O12</f>
        <v>0</v>
      </c>
      <c r="Q41" s="753">
        <f>huishoudens!P12</f>
        <v>0</v>
      </c>
      <c r="R41" s="832">
        <f t="shared" ca="1" si="4"/>
        <v>42246.198141041459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14528.771157705265</v>
      </c>
      <c r="D43" s="676">
        <f ca="1">industrie!C22</f>
        <v>0</v>
      </c>
      <c r="E43" s="676">
        <f>industrie!D22</f>
        <v>36266.454976674184</v>
      </c>
      <c r="F43" s="676">
        <f>industrie!E22</f>
        <v>1056.2721067170771</v>
      </c>
      <c r="G43" s="676">
        <f>industrie!F22</f>
        <v>7577.9961609603979</v>
      </c>
      <c r="H43" s="676">
        <f>industrie!G22</f>
        <v>0</v>
      </c>
      <c r="I43" s="676">
        <f>industrie!H22</f>
        <v>0</v>
      </c>
      <c r="J43" s="676">
        <f>industrie!I22</f>
        <v>0</v>
      </c>
      <c r="K43" s="676">
        <f>industrie!J22</f>
        <v>54.13054483767263</v>
      </c>
      <c r="L43" s="676">
        <f>industrie!K22</f>
        <v>0</v>
      </c>
      <c r="M43" s="676">
        <f>industrie!L22</f>
        <v>0</v>
      </c>
      <c r="N43" s="676">
        <f>industrie!M22</f>
        <v>0</v>
      </c>
      <c r="O43" s="676">
        <f>industrie!N22</f>
        <v>0</v>
      </c>
      <c r="P43" s="676">
        <f>industrie!O22</f>
        <v>0</v>
      </c>
      <c r="Q43" s="753">
        <f>industrie!P22</f>
        <v>0</v>
      </c>
      <c r="R43" s="831">
        <f t="shared" ca="1" si="4"/>
        <v>59483.624946894604</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27675.841555398867</v>
      </c>
      <c r="D46" s="711">
        <f t="shared" ref="D46:Q46" ca="1" si="5">SUM(D39:D45)</f>
        <v>0</v>
      </c>
      <c r="E46" s="711">
        <f t="shared" ca="1" si="5"/>
        <v>51554.463681195863</v>
      </c>
      <c r="F46" s="711">
        <f t="shared" si="5"/>
        <v>1746.192102938167</v>
      </c>
      <c r="G46" s="711">
        <f t="shared" ca="1" si="5"/>
        <v>30925.52851772077</v>
      </c>
      <c r="H46" s="711">
        <f t="shared" si="5"/>
        <v>0</v>
      </c>
      <c r="I46" s="711">
        <f t="shared" si="5"/>
        <v>0</v>
      </c>
      <c r="J46" s="711">
        <f t="shared" si="5"/>
        <v>0</v>
      </c>
      <c r="K46" s="711">
        <f t="shared" si="5"/>
        <v>606.32343777258416</v>
      </c>
      <c r="L46" s="711">
        <f t="shared" si="5"/>
        <v>0</v>
      </c>
      <c r="M46" s="711">
        <f t="shared" ca="1" si="5"/>
        <v>0</v>
      </c>
      <c r="N46" s="711">
        <f t="shared" si="5"/>
        <v>0</v>
      </c>
      <c r="O46" s="711">
        <f t="shared" ca="1" si="5"/>
        <v>0</v>
      </c>
      <c r="P46" s="711">
        <f t="shared" si="5"/>
        <v>0</v>
      </c>
      <c r="Q46" s="711">
        <f t="shared" si="5"/>
        <v>0</v>
      </c>
      <c r="R46" s="711">
        <f ca="1">SUM(R39:R45)</f>
        <v>112508.34929502626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0.64852848811494179</v>
      </c>
      <c r="D49" s="676">
        <f ca="1">transport!C58</f>
        <v>0</v>
      </c>
      <c r="E49" s="676">
        <f>transport!D58</f>
        <v>0</v>
      </c>
      <c r="F49" s="676">
        <f>transport!E58</f>
        <v>0</v>
      </c>
      <c r="G49" s="676">
        <f>transport!F58</f>
        <v>0</v>
      </c>
      <c r="H49" s="676">
        <f>transport!G58</f>
        <v>178.13193325576654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178.78046174388149</v>
      </c>
    </row>
    <row r="50" spans="1:18">
      <c r="A50" s="807" t="s">
        <v>296</v>
      </c>
      <c r="B50" s="817"/>
      <c r="C50" s="682">
        <f ca="1">transport!B18</f>
        <v>6.7493376159586012</v>
      </c>
      <c r="D50" s="682">
        <f>transport!C18</f>
        <v>0</v>
      </c>
      <c r="E50" s="682">
        <f>transport!D18</f>
        <v>6.1677133221048539</v>
      </c>
      <c r="F50" s="682">
        <f>transport!E18</f>
        <v>287.711770198073</v>
      </c>
      <c r="G50" s="682">
        <f>transport!F18</f>
        <v>0</v>
      </c>
      <c r="H50" s="682">
        <f>transport!G18</f>
        <v>110570.13660059069</v>
      </c>
      <c r="I50" s="682">
        <f>transport!H18</f>
        <v>13561.311496129658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124432.07691785648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7.3978661040735432</v>
      </c>
      <c r="D52" s="711">
        <f t="shared" ref="D52:Q52" ca="1" si="6">SUM(D48:D51)</f>
        <v>0</v>
      </c>
      <c r="E52" s="711">
        <f t="shared" si="6"/>
        <v>6.1677133221048539</v>
      </c>
      <c r="F52" s="711">
        <f t="shared" si="6"/>
        <v>287.711770198073</v>
      </c>
      <c r="G52" s="711">
        <f t="shared" si="6"/>
        <v>0</v>
      </c>
      <c r="H52" s="711">
        <f t="shared" si="6"/>
        <v>110748.26853384645</v>
      </c>
      <c r="I52" s="711">
        <f t="shared" si="6"/>
        <v>13561.311496129658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124610.85737960036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1183.388079942619</v>
      </c>
      <c r="D54" s="682">
        <f ca="1">+landbouw!C12</f>
        <v>0</v>
      </c>
      <c r="E54" s="682">
        <f>+landbouw!D12</f>
        <v>2154.4511637932014</v>
      </c>
      <c r="F54" s="682">
        <f>+landbouw!E12</f>
        <v>17.890714410238395</v>
      </c>
      <c r="G54" s="682">
        <f>+landbouw!F12</f>
        <v>5761.675171657057</v>
      </c>
      <c r="H54" s="682">
        <f>+landbouw!G12</f>
        <v>0</v>
      </c>
      <c r="I54" s="682">
        <f>+landbouw!H12</f>
        <v>0</v>
      </c>
      <c r="J54" s="682">
        <f>+landbouw!I12</f>
        <v>0</v>
      </c>
      <c r="K54" s="682">
        <f>+landbouw!J12</f>
        <v>332.97003480152989</v>
      </c>
      <c r="L54" s="682">
        <f>+landbouw!K12</f>
        <v>0</v>
      </c>
      <c r="M54" s="682">
        <f>+landbouw!L12</f>
        <v>0</v>
      </c>
      <c r="N54" s="682">
        <f>+landbouw!M12</f>
        <v>0</v>
      </c>
      <c r="O54" s="682">
        <f>+landbouw!N12</f>
        <v>0</v>
      </c>
      <c r="P54" s="682">
        <f>+landbouw!O12</f>
        <v>0</v>
      </c>
      <c r="Q54" s="683">
        <f>+landbouw!P12</f>
        <v>0</v>
      </c>
      <c r="R54" s="710">
        <f ca="1">SUM(C54:Q54)</f>
        <v>9450.3751646046458</v>
      </c>
    </row>
    <row r="55" spans="1:18" ht="15" thickBot="1">
      <c r="A55" s="807" t="s">
        <v>833</v>
      </c>
      <c r="B55" s="817"/>
      <c r="C55" s="682">
        <f ca="1">C25*'EF ele_warmte'!B12</f>
        <v>292.30536573673601</v>
      </c>
      <c r="D55" s="682"/>
      <c r="E55" s="682">
        <f>E25*EF_CO2_aardgas</f>
        <v>1790.0252572449722</v>
      </c>
      <c r="F55" s="682"/>
      <c r="G55" s="682"/>
      <c r="H55" s="682"/>
      <c r="I55" s="682"/>
      <c r="J55" s="682"/>
      <c r="K55" s="682"/>
      <c r="L55" s="682"/>
      <c r="M55" s="682"/>
      <c r="N55" s="682"/>
      <c r="O55" s="682"/>
      <c r="P55" s="682"/>
      <c r="Q55" s="683"/>
      <c r="R55" s="710">
        <f ca="1">SUM(C55:Q55)</f>
        <v>2082.3306229817081</v>
      </c>
    </row>
    <row r="56" spans="1:18" ht="15.75" thickBot="1">
      <c r="A56" s="805" t="s">
        <v>834</v>
      </c>
      <c r="B56" s="818"/>
      <c r="C56" s="711">
        <f ca="1">SUM(C54:C55)</f>
        <v>1475.6934456793551</v>
      </c>
      <c r="D56" s="711">
        <f t="shared" ref="D56:Q56" ca="1" si="7">SUM(D54:D55)</f>
        <v>0</v>
      </c>
      <c r="E56" s="711">
        <f t="shared" si="7"/>
        <v>3944.4764210381736</v>
      </c>
      <c r="F56" s="711">
        <f t="shared" si="7"/>
        <v>17.890714410238395</v>
      </c>
      <c r="G56" s="711">
        <f t="shared" si="7"/>
        <v>5761.675171657057</v>
      </c>
      <c r="H56" s="711">
        <f t="shared" si="7"/>
        <v>0</v>
      </c>
      <c r="I56" s="711">
        <f t="shared" si="7"/>
        <v>0</v>
      </c>
      <c r="J56" s="711">
        <f t="shared" si="7"/>
        <v>0</v>
      </c>
      <c r="K56" s="711">
        <f t="shared" si="7"/>
        <v>332.97003480152989</v>
      </c>
      <c r="L56" s="711">
        <f t="shared" si="7"/>
        <v>0</v>
      </c>
      <c r="M56" s="711">
        <f t="shared" si="7"/>
        <v>0</v>
      </c>
      <c r="N56" s="711">
        <f t="shared" si="7"/>
        <v>0</v>
      </c>
      <c r="O56" s="711">
        <f t="shared" si="7"/>
        <v>0</v>
      </c>
      <c r="P56" s="711">
        <f t="shared" si="7"/>
        <v>0</v>
      </c>
      <c r="Q56" s="712">
        <f t="shared" si="7"/>
        <v>0</v>
      </c>
      <c r="R56" s="713">
        <f ca="1">SUM(R54:R55)</f>
        <v>11532.705787586354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29158.932867182295</v>
      </c>
      <c r="D61" s="719">
        <f t="shared" ref="D61:Q61" ca="1" si="8">D46+D52+D56</f>
        <v>0</v>
      </c>
      <c r="E61" s="719">
        <f t="shared" ca="1" si="8"/>
        <v>55505.107815556141</v>
      </c>
      <c r="F61" s="719">
        <f t="shared" si="8"/>
        <v>2051.7945875464784</v>
      </c>
      <c r="G61" s="719">
        <f t="shared" ca="1" si="8"/>
        <v>36687.203689377828</v>
      </c>
      <c r="H61" s="719">
        <f t="shared" si="8"/>
        <v>110748.26853384645</v>
      </c>
      <c r="I61" s="719">
        <f t="shared" si="8"/>
        <v>13561.311496129658</v>
      </c>
      <c r="J61" s="719">
        <f t="shared" si="8"/>
        <v>0</v>
      </c>
      <c r="K61" s="719">
        <f t="shared" si="8"/>
        <v>939.29347257411405</v>
      </c>
      <c r="L61" s="719">
        <f t="shared" si="8"/>
        <v>0</v>
      </c>
      <c r="M61" s="719">
        <f t="shared" ca="1" si="8"/>
        <v>0</v>
      </c>
      <c r="N61" s="719">
        <f t="shared" si="8"/>
        <v>0</v>
      </c>
      <c r="O61" s="719">
        <f t="shared" ca="1" si="8"/>
        <v>0</v>
      </c>
      <c r="P61" s="719">
        <f t="shared" si="8"/>
        <v>0</v>
      </c>
      <c r="Q61" s="719">
        <f t="shared" si="8"/>
        <v>0</v>
      </c>
      <c r="R61" s="719">
        <f ca="1">R46+R52+R56</f>
        <v>248651.91246221296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0.18920835542207362</v>
      </c>
      <c r="D63" s="762">
        <f t="shared" ca="1" si="9"/>
        <v>0</v>
      </c>
      <c r="E63" s="984">
        <f t="shared" ca="1" si="9"/>
        <v>0.20199999999999999</v>
      </c>
      <c r="F63" s="762">
        <f t="shared" si="9"/>
        <v>0.22700000000000004</v>
      </c>
      <c r="G63" s="762">
        <f t="shared" ca="1" si="9"/>
        <v>0.26700000000000002</v>
      </c>
      <c r="H63" s="762">
        <f t="shared" si="9"/>
        <v>0.26700000000000002</v>
      </c>
      <c r="I63" s="762">
        <f t="shared" si="9"/>
        <v>0.24899999999999997</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9434.3028349204396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12735</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14982.352941176472</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22169.30283492044</v>
      </c>
      <c r="C78" s="734">
        <f>SUM(C72:C77)</f>
        <v>0</v>
      </c>
      <c r="D78" s="735">
        <f t="shared" ref="D78:H78" si="10">SUM(D76:D77)</f>
        <v>0</v>
      </c>
      <c r="E78" s="735">
        <f t="shared" si="10"/>
        <v>0</v>
      </c>
      <c r="F78" s="735">
        <f t="shared" si="10"/>
        <v>0</v>
      </c>
      <c r="G78" s="735">
        <f t="shared" si="10"/>
        <v>0</v>
      </c>
      <c r="H78" s="735">
        <f t="shared" si="10"/>
        <v>0</v>
      </c>
      <c r="I78" s="735">
        <f>SUM(I76:I77)</f>
        <v>0</v>
      </c>
      <c r="J78" s="735">
        <f>SUM(J76:J77)</f>
        <v>14982.352941176472</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18192.857142857145</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21403.361344537818</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18192.857142857145</v>
      </c>
      <c r="C90" s="734">
        <f>SUM(C87:C89)</f>
        <v>0</v>
      </c>
      <c r="D90" s="734">
        <f t="shared" ref="D90:H90" si="12">SUM(D87:D89)</f>
        <v>0</v>
      </c>
      <c r="E90" s="734">
        <f t="shared" si="12"/>
        <v>0</v>
      </c>
      <c r="F90" s="734">
        <f t="shared" si="12"/>
        <v>0</v>
      </c>
      <c r="G90" s="734">
        <f t="shared" si="12"/>
        <v>0</v>
      </c>
      <c r="H90" s="734">
        <f t="shared" si="12"/>
        <v>0</v>
      </c>
      <c r="I90" s="734">
        <f>SUM(I87:I89)</f>
        <v>0</v>
      </c>
      <c r="J90" s="734">
        <f>SUM(J87:J89)</f>
        <v>21403.361344537818</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42056.560513124139</v>
      </c>
      <c r="C4" s="448">
        <f>huishoudens!C8</f>
        <v>0</v>
      </c>
      <c r="D4" s="448">
        <f>huishoudens!D8</f>
        <v>55121.028311008449</v>
      </c>
      <c r="E4" s="448">
        <f>huishoudens!E8</f>
        <v>2687.7378705929</v>
      </c>
      <c r="F4" s="448">
        <f>huishoudens!F8</f>
        <v>82366.997690116536</v>
      </c>
      <c r="G4" s="448">
        <f>huishoudens!G8</f>
        <v>0</v>
      </c>
      <c r="H4" s="448">
        <f>huishoudens!H8</f>
        <v>0</v>
      </c>
      <c r="I4" s="448">
        <f>huishoudens!I8</f>
        <v>0</v>
      </c>
      <c r="J4" s="448">
        <f>huishoudens!J8</f>
        <v>1559.8669291946651</v>
      </c>
      <c r="K4" s="448">
        <f>huishoudens!K8</f>
        <v>0</v>
      </c>
      <c r="L4" s="448">
        <f>huishoudens!L8</f>
        <v>0</v>
      </c>
      <c r="M4" s="448">
        <f>huishoudens!M8</f>
        <v>0</v>
      </c>
      <c r="N4" s="448">
        <f>huishoudens!N8</f>
        <v>13426.094687684978</v>
      </c>
      <c r="O4" s="448">
        <f>huishoudens!O8</f>
        <v>350.18666666666672</v>
      </c>
      <c r="P4" s="449">
        <f>huishoudens!P8</f>
        <v>934.26666666666665</v>
      </c>
      <c r="Q4" s="450">
        <f>SUM(B4:P4)</f>
        <v>198502.73933505497</v>
      </c>
    </row>
    <row r="5" spans="1:17">
      <c r="A5" s="447" t="s">
        <v>149</v>
      </c>
      <c r="B5" s="448">
        <f ca="1">tertiair!B16</f>
        <v>25349.908008959505</v>
      </c>
      <c r="C5" s="448">
        <f ca="1">tertiair!C16</f>
        <v>0</v>
      </c>
      <c r="D5" s="448">
        <f ca="1">tertiair!D16</f>
        <v>20562.183097514731</v>
      </c>
      <c r="E5" s="448">
        <f>tertiair!E16</f>
        <v>351.55726694494126</v>
      </c>
      <c r="F5" s="448">
        <f ca="1">tertiair!F16</f>
        <v>5076.9437209709877</v>
      </c>
      <c r="G5" s="448">
        <f>tertiair!G16</f>
        <v>0</v>
      </c>
      <c r="H5" s="448">
        <f>tertiair!H16</f>
        <v>0</v>
      </c>
      <c r="I5" s="448">
        <f>tertiair!I16</f>
        <v>0</v>
      </c>
      <c r="J5" s="448">
        <f>tertiair!J16</f>
        <v>0</v>
      </c>
      <c r="K5" s="448">
        <f>tertiair!K16</f>
        <v>0</v>
      </c>
      <c r="L5" s="448">
        <f ca="1">tertiair!L16</f>
        <v>0</v>
      </c>
      <c r="M5" s="448">
        <f>tertiair!M16</f>
        <v>0</v>
      </c>
      <c r="N5" s="448">
        <f ca="1">tertiair!N16</f>
        <v>2666.1245382310481</v>
      </c>
      <c r="O5" s="448">
        <f>tertiair!O16</f>
        <v>14.070000000000002</v>
      </c>
      <c r="P5" s="449">
        <f>tertiair!P16</f>
        <v>171.6</v>
      </c>
      <c r="Q5" s="447">
        <f t="shared" ref="Q5:Q14" ca="1" si="0">SUM(B5:P5)</f>
        <v>54192.386632621216</v>
      </c>
    </row>
    <row r="6" spans="1:17">
      <c r="A6" s="447" t="s">
        <v>187</v>
      </c>
      <c r="B6" s="448">
        <f>'openbare verlichting'!B8</f>
        <v>2078.15</v>
      </c>
      <c r="C6" s="448"/>
      <c r="D6" s="448"/>
      <c r="E6" s="448"/>
      <c r="F6" s="448"/>
      <c r="G6" s="448"/>
      <c r="H6" s="448"/>
      <c r="I6" s="448"/>
      <c r="J6" s="448"/>
      <c r="K6" s="448"/>
      <c r="L6" s="448"/>
      <c r="M6" s="448"/>
      <c r="N6" s="448"/>
      <c r="O6" s="448"/>
      <c r="P6" s="449"/>
      <c r="Q6" s="447">
        <f t="shared" si="0"/>
        <v>2078.15</v>
      </c>
    </row>
    <row r="7" spans="1:17">
      <c r="A7" s="447" t="s">
        <v>105</v>
      </c>
      <c r="B7" s="448">
        <f>landbouw!B8</f>
        <v>6254.4176619620957</v>
      </c>
      <c r="C7" s="448">
        <f>landbouw!C8</f>
        <v>18192.857142857145</v>
      </c>
      <c r="D7" s="448">
        <f>landbouw!D8</f>
        <v>10665.599820758422</v>
      </c>
      <c r="E7" s="448">
        <f>landbouw!E8</f>
        <v>78.81371986889161</v>
      </c>
      <c r="F7" s="448">
        <f>landbouw!F8</f>
        <v>21579.307759015195</v>
      </c>
      <c r="G7" s="448">
        <f>landbouw!G8</f>
        <v>0</v>
      </c>
      <c r="H7" s="448">
        <f>landbouw!H8</f>
        <v>0</v>
      </c>
      <c r="I7" s="448">
        <f>landbouw!I8</f>
        <v>0</v>
      </c>
      <c r="J7" s="448">
        <f>landbouw!J8</f>
        <v>940.59331864838964</v>
      </c>
      <c r="K7" s="448">
        <f>landbouw!K8</f>
        <v>0</v>
      </c>
      <c r="L7" s="448">
        <f>landbouw!L8</f>
        <v>0</v>
      </c>
      <c r="M7" s="448">
        <f>landbouw!M8</f>
        <v>0</v>
      </c>
      <c r="N7" s="448">
        <f>landbouw!N8</f>
        <v>0</v>
      </c>
      <c r="O7" s="448">
        <f>landbouw!O8</f>
        <v>0</v>
      </c>
      <c r="P7" s="449">
        <f>landbouw!P8</f>
        <v>0</v>
      </c>
      <c r="Q7" s="447">
        <f t="shared" si="0"/>
        <v>57711.589423110141</v>
      </c>
    </row>
    <row r="8" spans="1:17">
      <c r="A8" s="447" t="s">
        <v>639</v>
      </c>
      <c r="B8" s="448">
        <f>industrie!B18</f>
        <v>76787.154168194276</v>
      </c>
      <c r="C8" s="448">
        <f>industrie!C18</f>
        <v>0</v>
      </c>
      <c r="D8" s="448">
        <f>industrie!D18</f>
        <v>179536.9058251197</v>
      </c>
      <c r="E8" s="448">
        <f>industrie!E18</f>
        <v>4653.1810868593702</v>
      </c>
      <c r="F8" s="448">
        <f>industrie!F18</f>
        <v>28382.008093484634</v>
      </c>
      <c r="G8" s="448">
        <f>industrie!G18</f>
        <v>0</v>
      </c>
      <c r="H8" s="448">
        <f>industrie!H18</f>
        <v>0</v>
      </c>
      <c r="I8" s="448">
        <f>industrie!I18</f>
        <v>0</v>
      </c>
      <c r="J8" s="448">
        <f>industrie!J18</f>
        <v>152.91114360924473</v>
      </c>
      <c r="K8" s="448">
        <f>industrie!K18</f>
        <v>0</v>
      </c>
      <c r="L8" s="448">
        <f>industrie!L18</f>
        <v>0</v>
      </c>
      <c r="M8" s="448">
        <f>industrie!M18</f>
        <v>0</v>
      </c>
      <c r="N8" s="448">
        <f>industrie!N18</f>
        <v>6406.4242694757468</v>
      </c>
      <c r="O8" s="448">
        <f>industrie!O18</f>
        <v>0</v>
      </c>
      <c r="P8" s="449">
        <f>industrie!P18</f>
        <v>0</v>
      </c>
      <c r="Q8" s="447">
        <f t="shared" si="0"/>
        <v>295918.58458674297</v>
      </c>
    </row>
    <row r="9" spans="1:17" s="453" customFormat="1">
      <c r="A9" s="451" t="s">
        <v>557</v>
      </c>
      <c r="B9" s="452">
        <f>transport!B14</f>
        <v>35.671456479300929</v>
      </c>
      <c r="C9" s="452">
        <f>transport!C14</f>
        <v>0</v>
      </c>
      <c r="D9" s="452">
        <f>transport!D14</f>
        <v>30.53323426784581</v>
      </c>
      <c r="E9" s="452">
        <f>transport!E14</f>
        <v>1267.4527321501012</v>
      </c>
      <c r="F9" s="452">
        <f>transport!F14</f>
        <v>0</v>
      </c>
      <c r="G9" s="452">
        <f>transport!G14</f>
        <v>414120.36179996509</v>
      </c>
      <c r="H9" s="452">
        <f>transport!H14</f>
        <v>54463.098378030758</v>
      </c>
      <c r="I9" s="452">
        <f>transport!I14</f>
        <v>0</v>
      </c>
      <c r="J9" s="452">
        <f>transport!J14</f>
        <v>0</v>
      </c>
      <c r="K9" s="452">
        <f>transport!K14</f>
        <v>0</v>
      </c>
      <c r="L9" s="452">
        <f>transport!L14</f>
        <v>0</v>
      </c>
      <c r="M9" s="452">
        <f>transport!M14</f>
        <v>21180.58513405003</v>
      </c>
      <c r="N9" s="452">
        <f>transport!N14</f>
        <v>0</v>
      </c>
      <c r="O9" s="452">
        <f>transport!O14</f>
        <v>0</v>
      </c>
      <c r="P9" s="452">
        <f>transport!P14</f>
        <v>0</v>
      </c>
      <c r="Q9" s="451">
        <f>SUM(B9:P9)</f>
        <v>491097.70273494313</v>
      </c>
    </row>
    <row r="10" spans="1:17">
      <c r="A10" s="447" t="s">
        <v>547</v>
      </c>
      <c r="B10" s="448">
        <f>transport!B54</f>
        <v>3.4275890547658259</v>
      </c>
      <c r="C10" s="448">
        <f>transport!C54</f>
        <v>0</v>
      </c>
      <c r="D10" s="448">
        <f>transport!D54</f>
        <v>0</v>
      </c>
      <c r="E10" s="448">
        <f>transport!E54</f>
        <v>0</v>
      </c>
      <c r="F10" s="448">
        <f>transport!F54</f>
        <v>0</v>
      </c>
      <c r="G10" s="448">
        <f>transport!G54</f>
        <v>667.16079871073612</v>
      </c>
      <c r="H10" s="448">
        <f>transport!H54</f>
        <v>0</v>
      </c>
      <c r="I10" s="448">
        <f>transport!I54</f>
        <v>0</v>
      </c>
      <c r="J10" s="448">
        <f>transport!J54</f>
        <v>0</v>
      </c>
      <c r="K10" s="448">
        <f>transport!K54</f>
        <v>0</v>
      </c>
      <c r="L10" s="448">
        <f>transport!L54</f>
        <v>0</v>
      </c>
      <c r="M10" s="448">
        <f>transport!M54</f>
        <v>29.916050796039855</v>
      </c>
      <c r="N10" s="448">
        <f>transport!N54</f>
        <v>0</v>
      </c>
      <c r="O10" s="448">
        <f>transport!O54</f>
        <v>0</v>
      </c>
      <c r="P10" s="449">
        <f>transport!P54</f>
        <v>0</v>
      </c>
      <c r="Q10" s="447">
        <f t="shared" si="0"/>
        <v>700.50443856154175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1544.88613932868</v>
      </c>
      <c r="C14" s="455"/>
      <c r="D14" s="455">
        <f>'SEAP template'!E25</f>
        <v>8861.5111744800597</v>
      </c>
      <c r="E14" s="455"/>
      <c r="F14" s="455"/>
      <c r="G14" s="455"/>
      <c r="H14" s="455"/>
      <c r="I14" s="455"/>
      <c r="J14" s="455"/>
      <c r="K14" s="455"/>
      <c r="L14" s="455"/>
      <c r="M14" s="455"/>
      <c r="N14" s="455"/>
      <c r="O14" s="455"/>
      <c r="P14" s="456"/>
      <c r="Q14" s="447">
        <f t="shared" si="0"/>
        <v>10406.39731380874</v>
      </c>
    </row>
    <row r="15" spans="1:17" s="460" customFormat="1">
      <c r="A15" s="457" t="s">
        <v>551</v>
      </c>
      <c r="B15" s="458">
        <f ca="1">SUM(B4:B14)</f>
        <v>154110.17553710274</v>
      </c>
      <c r="C15" s="458">
        <f t="shared" ref="C15:Q15" ca="1" si="1">SUM(C4:C14)</f>
        <v>18192.857142857145</v>
      </c>
      <c r="D15" s="458">
        <f t="shared" ca="1" si="1"/>
        <v>274777.76146314922</v>
      </c>
      <c r="E15" s="458">
        <f t="shared" si="1"/>
        <v>9038.7426764162046</v>
      </c>
      <c r="F15" s="458">
        <f t="shared" ca="1" si="1"/>
        <v>137405.25726358735</v>
      </c>
      <c r="G15" s="458">
        <f t="shared" si="1"/>
        <v>414787.5225986758</v>
      </c>
      <c r="H15" s="458">
        <f t="shared" si="1"/>
        <v>54463.098378030758</v>
      </c>
      <c r="I15" s="458">
        <f t="shared" si="1"/>
        <v>0</v>
      </c>
      <c r="J15" s="458">
        <f t="shared" si="1"/>
        <v>2653.3713914522996</v>
      </c>
      <c r="K15" s="458">
        <f t="shared" si="1"/>
        <v>0</v>
      </c>
      <c r="L15" s="458">
        <f t="shared" ca="1" si="1"/>
        <v>0</v>
      </c>
      <c r="M15" s="458">
        <f t="shared" si="1"/>
        <v>21210.501184846071</v>
      </c>
      <c r="N15" s="458">
        <f t="shared" ca="1" si="1"/>
        <v>22498.643495391771</v>
      </c>
      <c r="O15" s="458">
        <f t="shared" si="1"/>
        <v>364.25666666666672</v>
      </c>
      <c r="P15" s="458">
        <f t="shared" si="1"/>
        <v>1105.8666666666666</v>
      </c>
      <c r="Q15" s="458">
        <f t="shared" ca="1" si="1"/>
        <v>1110608.0544648427</v>
      </c>
    </row>
    <row r="17" spans="1:17">
      <c r="A17" s="461" t="s">
        <v>552</v>
      </c>
      <c r="B17" s="767">
        <f ca="1">huishoudens!B10</f>
        <v>0.18920835542207362</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7957.4526493971389</v>
      </c>
      <c r="C22" s="448">
        <f t="shared" ref="C22:C32" ca="1" si="3">C4*$C$17</f>
        <v>0</v>
      </c>
      <c r="D22" s="448">
        <f t="shared" ref="D22:D32" si="4">D4*$D$17</f>
        <v>11134.447718823707</v>
      </c>
      <c r="E22" s="448">
        <f t="shared" ref="E22:E32" si="5">E4*$E$17</f>
        <v>610.11649662458831</v>
      </c>
      <c r="F22" s="448">
        <f t="shared" ref="F22:F32" si="6">F4*$F$17</f>
        <v>21991.988383261116</v>
      </c>
      <c r="G22" s="448">
        <f t="shared" ref="G22:G32" si="7">G4*$G$17</f>
        <v>0</v>
      </c>
      <c r="H22" s="448">
        <f t="shared" ref="H22:H32" si="8">H4*$H$17</f>
        <v>0</v>
      </c>
      <c r="I22" s="448">
        <f t="shared" ref="I22:I32" si="9">I4*$I$17</f>
        <v>0</v>
      </c>
      <c r="J22" s="448">
        <f t="shared" ref="J22:J32" si="10">J4*$J$17</f>
        <v>552.19289293491147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42246.198141041459</v>
      </c>
    </row>
    <row r="23" spans="1:17">
      <c r="A23" s="447" t="s">
        <v>149</v>
      </c>
      <c r="B23" s="448">
        <f t="shared" ca="1" si="2"/>
        <v>4796.4144044760806</v>
      </c>
      <c r="C23" s="448">
        <f t="shared" ca="1" si="3"/>
        <v>0</v>
      </c>
      <c r="D23" s="448">
        <f t="shared" ca="1" si="4"/>
        <v>4153.5609856979763</v>
      </c>
      <c r="E23" s="448">
        <f t="shared" si="5"/>
        <v>79.803499596501666</v>
      </c>
      <c r="F23" s="448">
        <f t="shared" ca="1" si="6"/>
        <v>1355.5439734992538</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10385.322863269812</v>
      </c>
    </row>
    <row r="24" spans="1:17">
      <c r="A24" s="447" t="s">
        <v>187</v>
      </c>
      <c r="B24" s="448">
        <f t="shared" ca="1" si="2"/>
        <v>393.20334382038232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393.20334382038232</v>
      </c>
    </row>
    <row r="25" spans="1:17">
      <c r="A25" s="447" t="s">
        <v>105</v>
      </c>
      <c r="B25" s="448">
        <f t="shared" ca="1" si="2"/>
        <v>1183.388079942619</v>
      </c>
      <c r="C25" s="448">
        <f t="shared" ca="1" si="3"/>
        <v>0</v>
      </c>
      <c r="D25" s="448">
        <f t="shared" si="4"/>
        <v>2154.4511637932014</v>
      </c>
      <c r="E25" s="448">
        <f t="shared" si="5"/>
        <v>17.890714410238395</v>
      </c>
      <c r="F25" s="448">
        <f t="shared" si="6"/>
        <v>5761.675171657057</v>
      </c>
      <c r="G25" s="448">
        <f t="shared" si="7"/>
        <v>0</v>
      </c>
      <c r="H25" s="448">
        <f t="shared" si="8"/>
        <v>0</v>
      </c>
      <c r="I25" s="448">
        <f t="shared" si="9"/>
        <v>0</v>
      </c>
      <c r="J25" s="448">
        <f t="shared" si="10"/>
        <v>332.97003480152989</v>
      </c>
      <c r="K25" s="448">
        <f t="shared" si="11"/>
        <v>0</v>
      </c>
      <c r="L25" s="448">
        <f t="shared" si="12"/>
        <v>0</v>
      </c>
      <c r="M25" s="448">
        <f t="shared" si="13"/>
        <v>0</v>
      </c>
      <c r="N25" s="448">
        <f t="shared" si="14"/>
        <v>0</v>
      </c>
      <c r="O25" s="448">
        <f t="shared" si="15"/>
        <v>0</v>
      </c>
      <c r="P25" s="449">
        <f t="shared" si="16"/>
        <v>0</v>
      </c>
      <c r="Q25" s="447">
        <f t="shared" ca="1" si="17"/>
        <v>9450.3751646046458</v>
      </c>
    </row>
    <row r="26" spans="1:17">
      <c r="A26" s="447" t="s">
        <v>639</v>
      </c>
      <c r="B26" s="448">
        <f t="shared" ca="1" si="2"/>
        <v>14528.771157705265</v>
      </c>
      <c r="C26" s="448">
        <f t="shared" ca="1" si="3"/>
        <v>0</v>
      </c>
      <c r="D26" s="448">
        <f t="shared" si="4"/>
        <v>36266.454976674184</v>
      </c>
      <c r="E26" s="448">
        <f t="shared" si="5"/>
        <v>1056.2721067170771</v>
      </c>
      <c r="F26" s="448">
        <f t="shared" si="6"/>
        <v>7577.9961609603979</v>
      </c>
      <c r="G26" s="448">
        <f t="shared" si="7"/>
        <v>0</v>
      </c>
      <c r="H26" s="448">
        <f t="shared" si="8"/>
        <v>0</v>
      </c>
      <c r="I26" s="448">
        <f t="shared" si="9"/>
        <v>0</v>
      </c>
      <c r="J26" s="448">
        <f t="shared" si="10"/>
        <v>54.13054483767263</v>
      </c>
      <c r="K26" s="448">
        <f t="shared" si="11"/>
        <v>0</v>
      </c>
      <c r="L26" s="448">
        <f t="shared" si="12"/>
        <v>0</v>
      </c>
      <c r="M26" s="448">
        <f t="shared" si="13"/>
        <v>0</v>
      </c>
      <c r="N26" s="448">
        <f t="shared" si="14"/>
        <v>0</v>
      </c>
      <c r="O26" s="448">
        <f t="shared" si="15"/>
        <v>0</v>
      </c>
      <c r="P26" s="449">
        <f t="shared" si="16"/>
        <v>0</v>
      </c>
      <c r="Q26" s="447">
        <f t="shared" ca="1" si="17"/>
        <v>59483.624946894604</v>
      </c>
    </row>
    <row r="27" spans="1:17" s="453" customFormat="1">
      <c r="A27" s="451" t="s">
        <v>557</v>
      </c>
      <c r="B27" s="761">
        <f t="shared" ca="1" si="2"/>
        <v>6.7493376159586012</v>
      </c>
      <c r="C27" s="452">
        <f t="shared" ca="1" si="3"/>
        <v>0</v>
      </c>
      <c r="D27" s="452">
        <f t="shared" si="4"/>
        <v>6.1677133221048539</v>
      </c>
      <c r="E27" s="452">
        <f t="shared" si="5"/>
        <v>287.711770198073</v>
      </c>
      <c r="F27" s="452">
        <f t="shared" si="6"/>
        <v>0</v>
      </c>
      <c r="G27" s="452">
        <f t="shared" si="7"/>
        <v>110570.13660059069</v>
      </c>
      <c r="H27" s="452">
        <f t="shared" si="8"/>
        <v>13561.311496129658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124432.07691785648</v>
      </c>
    </row>
    <row r="28" spans="1:17">
      <c r="A28" s="447" t="s">
        <v>547</v>
      </c>
      <c r="B28" s="448">
        <f t="shared" ca="1" si="2"/>
        <v>0.64852848811494179</v>
      </c>
      <c r="C28" s="448">
        <f t="shared" ca="1" si="3"/>
        <v>0</v>
      </c>
      <c r="D28" s="448">
        <f t="shared" si="4"/>
        <v>0</v>
      </c>
      <c r="E28" s="448">
        <f t="shared" si="5"/>
        <v>0</v>
      </c>
      <c r="F28" s="448">
        <f t="shared" si="6"/>
        <v>0</v>
      </c>
      <c r="G28" s="448">
        <f t="shared" si="7"/>
        <v>178.13193325576654</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178.78046174388149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292.30536573673601</v>
      </c>
      <c r="C32" s="448">
        <f t="shared" ca="1" si="3"/>
        <v>0</v>
      </c>
      <c r="D32" s="448">
        <f t="shared" si="4"/>
        <v>1790.0252572449722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2082.3306229817081</v>
      </c>
    </row>
    <row r="33" spans="1:17" s="460" customFormat="1">
      <c r="A33" s="457" t="s">
        <v>551</v>
      </c>
      <c r="B33" s="458">
        <f ca="1">SUM(B22:B32)</f>
        <v>29158.932867182295</v>
      </c>
      <c r="C33" s="458">
        <f t="shared" ref="C33:Q33" ca="1" si="18">SUM(C22:C32)</f>
        <v>0</v>
      </c>
      <c r="D33" s="458">
        <f t="shared" ca="1" si="18"/>
        <v>55505.107815556141</v>
      </c>
      <c r="E33" s="458">
        <f t="shared" si="18"/>
        <v>2051.7945875464784</v>
      </c>
      <c r="F33" s="458">
        <f t="shared" ca="1" si="18"/>
        <v>36687.203689377828</v>
      </c>
      <c r="G33" s="458">
        <f t="shared" si="18"/>
        <v>110748.26853384645</v>
      </c>
      <c r="H33" s="458">
        <f t="shared" si="18"/>
        <v>13561.311496129658</v>
      </c>
      <c r="I33" s="458">
        <f t="shared" si="18"/>
        <v>0</v>
      </c>
      <c r="J33" s="458">
        <f t="shared" si="18"/>
        <v>939.29347257411405</v>
      </c>
      <c r="K33" s="458">
        <f t="shared" si="18"/>
        <v>0</v>
      </c>
      <c r="L33" s="458">
        <f t="shared" ca="1" si="18"/>
        <v>0</v>
      </c>
      <c r="M33" s="458">
        <f t="shared" si="18"/>
        <v>0</v>
      </c>
      <c r="N33" s="458">
        <f t="shared" ca="1" si="18"/>
        <v>0</v>
      </c>
      <c r="O33" s="458">
        <f t="shared" si="18"/>
        <v>0</v>
      </c>
      <c r="P33" s="458">
        <f t="shared" si="18"/>
        <v>0</v>
      </c>
      <c r="Q33" s="458">
        <f t="shared" ca="1" si="18"/>
        <v>248651.91246221296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9434.3028349204396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12735</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14982.352941176472</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22169.30283492044</v>
      </c>
      <c r="C10" s="1024">
        <f>SUM(C4:C9)</f>
        <v>0</v>
      </c>
      <c r="D10" s="1024">
        <f t="shared" ref="D10:H10" si="0">SUM(D8:D9)</f>
        <v>0</v>
      </c>
      <c r="E10" s="1024">
        <f t="shared" si="0"/>
        <v>0</v>
      </c>
      <c r="F10" s="1024">
        <f t="shared" si="0"/>
        <v>0</v>
      </c>
      <c r="G10" s="1024">
        <f t="shared" si="0"/>
        <v>0</v>
      </c>
      <c r="H10" s="1024">
        <f t="shared" si="0"/>
        <v>0</v>
      </c>
      <c r="I10" s="1024">
        <f>SUM(I8:I9)</f>
        <v>0</v>
      </c>
      <c r="J10" s="1024">
        <f>SUM(J8:J9)</f>
        <v>14982.352941176472</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0.18920835542207362</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18192.857142857145</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21403.361344537818</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18192.857142857145</v>
      </c>
      <c r="C20" s="1024">
        <f>SUM(C17:C19)</f>
        <v>0</v>
      </c>
      <c r="D20" s="1024">
        <f t="shared" ref="D20:H20" si="2">SUM(D17:D19)</f>
        <v>0</v>
      </c>
      <c r="E20" s="1024">
        <f t="shared" si="2"/>
        <v>0</v>
      </c>
      <c r="F20" s="1024">
        <f t="shared" si="2"/>
        <v>0</v>
      </c>
      <c r="G20" s="1024">
        <f t="shared" si="2"/>
        <v>0</v>
      </c>
      <c r="H20" s="1024">
        <f t="shared" si="2"/>
        <v>0</v>
      </c>
      <c r="I20" s="1024">
        <f>SUM(I17:I19)</f>
        <v>0</v>
      </c>
      <c r="J20" s="1024">
        <f>SUM(J17:J19)</f>
        <v>21403.361344537818</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0.18920835542207362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0.18920835542207362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0.18920835542207362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8122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4962</v>
      </c>
      <c r="C14" s="327"/>
      <c r="D14" s="327"/>
      <c r="E14" s="327"/>
      <c r="F14" s="327"/>
    </row>
    <row r="15" spans="1:6">
      <c r="A15" s="1296" t="s">
        <v>177</v>
      </c>
      <c r="B15" s="1297">
        <v>76</v>
      </c>
      <c r="C15" s="327"/>
      <c r="D15" s="327"/>
      <c r="E15" s="327"/>
      <c r="F15" s="327"/>
    </row>
    <row r="16" spans="1:6">
      <c r="A16" s="1296" t="s">
        <v>6</v>
      </c>
      <c r="B16" s="1297">
        <v>3337</v>
      </c>
      <c r="C16" s="327"/>
      <c r="D16" s="327"/>
      <c r="E16" s="327"/>
      <c r="F16" s="327"/>
    </row>
    <row r="17" spans="1:6">
      <c r="A17" s="1296" t="s">
        <v>7</v>
      </c>
      <c r="B17" s="1297">
        <v>1352</v>
      </c>
      <c r="C17" s="327"/>
      <c r="D17" s="327"/>
      <c r="E17" s="327"/>
      <c r="F17" s="327"/>
    </row>
    <row r="18" spans="1:6">
      <c r="A18" s="1296" t="s">
        <v>8</v>
      </c>
      <c r="B18" s="1297">
        <v>2852</v>
      </c>
      <c r="C18" s="327"/>
      <c r="D18" s="327"/>
      <c r="E18" s="327"/>
      <c r="F18" s="327"/>
    </row>
    <row r="19" spans="1:6">
      <c r="A19" s="1296" t="s">
        <v>9</v>
      </c>
      <c r="B19" s="1297">
        <v>2936</v>
      </c>
      <c r="C19" s="327"/>
      <c r="D19" s="327"/>
      <c r="E19" s="327"/>
      <c r="F19" s="327"/>
    </row>
    <row r="20" spans="1:6">
      <c r="A20" s="1296" t="s">
        <v>10</v>
      </c>
      <c r="B20" s="1297">
        <v>2056</v>
      </c>
      <c r="C20" s="327"/>
      <c r="D20" s="327"/>
      <c r="E20" s="327"/>
      <c r="F20" s="327"/>
    </row>
    <row r="21" spans="1:6">
      <c r="A21" s="1296" t="s">
        <v>11</v>
      </c>
      <c r="B21" s="1297">
        <v>24871</v>
      </c>
      <c r="C21" s="327"/>
      <c r="D21" s="327"/>
      <c r="E21" s="327"/>
      <c r="F21" s="327"/>
    </row>
    <row r="22" spans="1:6">
      <c r="A22" s="1296" t="s">
        <v>12</v>
      </c>
      <c r="B22" s="1297">
        <v>82042</v>
      </c>
      <c r="C22" s="327"/>
      <c r="D22" s="327"/>
      <c r="E22" s="327"/>
      <c r="F22" s="327"/>
    </row>
    <row r="23" spans="1:6">
      <c r="A23" s="1296" t="s">
        <v>13</v>
      </c>
      <c r="B23" s="1297">
        <v>804</v>
      </c>
      <c r="C23" s="327"/>
      <c r="D23" s="327"/>
      <c r="E23" s="327"/>
      <c r="F23" s="327"/>
    </row>
    <row r="24" spans="1:6">
      <c r="A24" s="1296" t="s">
        <v>14</v>
      </c>
      <c r="B24" s="1297">
        <v>39</v>
      </c>
      <c r="C24" s="327"/>
      <c r="D24" s="327"/>
      <c r="E24" s="327"/>
      <c r="F24" s="327"/>
    </row>
    <row r="25" spans="1:6">
      <c r="A25" s="1296" t="s">
        <v>15</v>
      </c>
      <c r="B25" s="1297">
        <v>4965</v>
      </c>
      <c r="C25" s="327"/>
      <c r="D25" s="327"/>
      <c r="E25" s="327"/>
      <c r="F25" s="327"/>
    </row>
    <row r="26" spans="1:6">
      <c r="A26" s="1296" t="s">
        <v>16</v>
      </c>
      <c r="B26" s="1297">
        <v>410</v>
      </c>
      <c r="C26" s="327"/>
      <c r="D26" s="327"/>
      <c r="E26" s="327"/>
      <c r="F26" s="327"/>
    </row>
    <row r="27" spans="1:6">
      <c r="A27" s="1296" t="s">
        <v>17</v>
      </c>
      <c r="B27" s="1297">
        <v>0</v>
      </c>
      <c r="C27" s="327"/>
      <c r="D27" s="327"/>
      <c r="E27" s="327"/>
      <c r="F27" s="327"/>
    </row>
    <row r="28" spans="1:6">
      <c r="A28" s="1296" t="s">
        <v>18</v>
      </c>
      <c r="B28" s="1298">
        <v>745875</v>
      </c>
      <c r="C28" s="327"/>
      <c r="D28" s="327"/>
      <c r="E28" s="327"/>
      <c r="F28" s="327"/>
    </row>
    <row r="29" spans="1:6">
      <c r="A29" s="1296" t="s">
        <v>922</v>
      </c>
      <c r="B29" s="1298">
        <v>266</v>
      </c>
      <c r="C29" s="327"/>
      <c r="D29" s="327"/>
      <c r="E29" s="327"/>
      <c r="F29" s="327"/>
    </row>
    <row r="30" spans="1:6">
      <c r="A30" s="1291" t="s">
        <v>923</v>
      </c>
      <c r="B30" s="1299">
        <v>61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33678.73398343</v>
      </c>
    </row>
    <row r="37" spans="1:6">
      <c r="A37" s="1296" t="s">
        <v>24</v>
      </c>
      <c r="B37" s="1296" t="s">
        <v>27</v>
      </c>
      <c r="C37" s="1297">
        <v>0</v>
      </c>
      <c r="D37" s="1297">
        <v>0</v>
      </c>
      <c r="E37" s="1297">
        <v>0</v>
      </c>
      <c r="F37" s="1297">
        <v>0</v>
      </c>
    </row>
    <row r="38" spans="1:6">
      <c r="A38" s="1296" t="s">
        <v>24</v>
      </c>
      <c r="B38" s="1296" t="s">
        <v>28</v>
      </c>
      <c r="C38" s="1297">
        <v>2</v>
      </c>
      <c r="D38" s="1297">
        <v>18198.549609842001</v>
      </c>
      <c r="E38" s="1297">
        <v>3</v>
      </c>
      <c r="F38" s="1297">
        <v>28909.715271802001</v>
      </c>
    </row>
    <row r="39" spans="1:6">
      <c r="A39" s="1296" t="s">
        <v>29</v>
      </c>
      <c r="B39" s="1296" t="s">
        <v>30</v>
      </c>
      <c r="C39" s="1297">
        <v>3571</v>
      </c>
      <c r="D39" s="1297">
        <v>61109787.484488301</v>
      </c>
      <c r="E39" s="1297">
        <v>7580</v>
      </c>
      <c r="F39" s="1297">
        <v>37831676.361048497</v>
      </c>
    </row>
    <row r="40" spans="1:6">
      <c r="A40" s="1296" t="s">
        <v>29</v>
      </c>
      <c r="B40" s="1296" t="s">
        <v>28</v>
      </c>
      <c r="C40" s="1297">
        <v>0</v>
      </c>
      <c r="D40" s="1297">
        <v>0</v>
      </c>
      <c r="E40" s="1297">
        <v>0</v>
      </c>
      <c r="F40" s="1297">
        <v>0</v>
      </c>
    </row>
    <row r="41" spans="1:6">
      <c r="A41" s="1296" t="s">
        <v>31</v>
      </c>
      <c r="B41" s="1296" t="s">
        <v>32</v>
      </c>
      <c r="C41" s="1297">
        <v>62</v>
      </c>
      <c r="D41" s="1297">
        <v>2092899.71759797</v>
      </c>
      <c r="E41" s="1297">
        <v>220</v>
      </c>
      <c r="F41" s="1297">
        <v>2459439.1121624499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20</v>
      </c>
      <c r="F44" s="1297">
        <v>1537374.7052986401</v>
      </c>
    </row>
    <row r="45" spans="1:6">
      <c r="A45" s="1296" t="s">
        <v>31</v>
      </c>
      <c r="B45" s="1296" t="s">
        <v>36</v>
      </c>
      <c r="C45" s="1297">
        <v>3</v>
      </c>
      <c r="D45" s="1297">
        <v>3370387.4299085499</v>
      </c>
      <c r="E45" s="1297">
        <v>4</v>
      </c>
      <c r="F45" s="1297">
        <v>913449.95684251003</v>
      </c>
    </row>
    <row r="46" spans="1:6">
      <c r="A46" s="1296" t="s">
        <v>31</v>
      </c>
      <c r="B46" s="1296" t="s">
        <v>37</v>
      </c>
      <c r="C46" s="1297">
        <v>0</v>
      </c>
      <c r="D46" s="1297">
        <v>0</v>
      </c>
      <c r="E46" s="1297">
        <v>0</v>
      </c>
      <c r="F46" s="1297">
        <v>0</v>
      </c>
    </row>
    <row r="47" spans="1:6">
      <c r="A47" s="1296" t="s">
        <v>31</v>
      </c>
      <c r="B47" s="1296" t="s">
        <v>38</v>
      </c>
      <c r="C47" s="1297">
        <v>5</v>
      </c>
      <c r="D47" s="1297">
        <v>4223415.9973824797</v>
      </c>
      <c r="E47" s="1297">
        <v>6</v>
      </c>
      <c r="F47" s="1297">
        <v>6056198.88834712</v>
      </c>
    </row>
    <row r="48" spans="1:6">
      <c r="A48" s="1296" t="s">
        <v>31</v>
      </c>
      <c r="B48" s="1296" t="s">
        <v>28</v>
      </c>
      <c r="C48" s="1297">
        <v>33</v>
      </c>
      <c r="D48" s="1297">
        <v>184143514.96036401</v>
      </c>
      <c r="E48" s="1297">
        <v>58</v>
      </c>
      <c r="F48" s="1297">
        <v>57657904.501964703</v>
      </c>
    </row>
    <row r="49" spans="1:6">
      <c r="A49" s="1296" t="s">
        <v>31</v>
      </c>
      <c r="B49" s="1296" t="s">
        <v>39</v>
      </c>
      <c r="C49" s="1297">
        <v>4</v>
      </c>
      <c r="D49" s="1297">
        <v>252955.413291423</v>
      </c>
      <c r="E49" s="1297">
        <v>6</v>
      </c>
      <c r="F49" s="1297">
        <v>118694.052378334</v>
      </c>
    </row>
    <row r="50" spans="1:6">
      <c r="A50" s="1296" t="s">
        <v>31</v>
      </c>
      <c r="B50" s="1296" t="s">
        <v>40</v>
      </c>
      <c r="C50" s="1297">
        <v>12</v>
      </c>
      <c r="D50" s="1297">
        <v>4959959.3252689801</v>
      </c>
      <c r="E50" s="1297">
        <v>19</v>
      </c>
      <c r="F50" s="1297">
        <v>8044092.9512005104</v>
      </c>
    </row>
    <row r="51" spans="1:6">
      <c r="A51" s="1296" t="s">
        <v>41</v>
      </c>
      <c r="B51" s="1296" t="s">
        <v>42</v>
      </c>
      <c r="C51" s="1297">
        <v>11</v>
      </c>
      <c r="D51" s="1297">
        <v>176949.10291702001</v>
      </c>
      <c r="E51" s="1297">
        <v>250</v>
      </c>
      <c r="F51" s="1297">
        <v>5909335.5520668002</v>
      </c>
    </row>
    <row r="52" spans="1:6">
      <c r="A52" s="1296" t="s">
        <v>41</v>
      </c>
      <c r="B52" s="1296" t="s">
        <v>28</v>
      </c>
      <c r="C52" s="1297">
        <v>14</v>
      </c>
      <c r="D52" s="1297">
        <v>11647440.9422697</v>
      </c>
      <c r="E52" s="1297">
        <v>13</v>
      </c>
      <c r="F52" s="1297">
        <v>345082.109895295</v>
      </c>
    </row>
    <row r="53" spans="1:6">
      <c r="A53" s="1296" t="s">
        <v>43</v>
      </c>
      <c r="B53" s="1296" t="s">
        <v>44</v>
      </c>
      <c r="C53" s="1297">
        <v>125</v>
      </c>
      <c r="D53" s="1297">
        <v>8861511.1744800601</v>
      </c>
      <c r="E53" s="1297">
        <v>271</v>
      </c>
      <c r="F53" s="1297">
        <v>1544886.13932868</v>
      </c>
    </row>
    <row r="54" spans="1:6">
      <c r="A54" s="1296" t="s">
        <v>45</v>
      </c>
      <c r="B54" s="1296" t="s">
        <v>46</v>
      </c>
      <c r="C54" s="1297">
        <v>0</v>
      </c>
      <c r="D54" s="1297">
        <v>0</v>
      </c>
      <c r="E54" s="1297">
        <v>4</v>
      </c>
      <c r="F54" s="1297">
        <v>2078150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32</v>
      </c>
      <c r="D57" s="1297">
        <v>765938.95636739698</v>
      </c>
      <c r="E57" s="1297">
        <v>97</v>
      </c>
      <c r="F57" s="1297">
        <v>3358991.69373065</v>
      </c>
    </row>
    <row r="58" spans="1:6">
      <c r="A58" s="1296" t="s">
        <v>48</v>
      </c>
      <c r="B58" s="1296" t="s">
        <v>50</v>
      </c>
      <c r="C58" s="1297">
        <v>17</v>
      </c>
      <c r="D58" s="1297">
        <v>590674.48070950794</v>
      </c>
      <c r="E58" s="1297">
        <v>51</v>
      </c>
      <c r="F58" s="1297">
        <v>871639.831925184</v>
      </c>
    </row>
    <row r="59" spans="1:6">
      <c r="A59" s="1296" t="s">
        <v>48</v>
      </c>
      <c r="B59" s="1296" t="s">
        <v>51</v>
      </c>
      <c r="C59" s="1297">
        <v>88</v>
      </c>
      <c r="D59" s="1297">
        <v>4017290.9438400501</v>
      </c>
      <c r="E59" s="1297">
        <v>247</v>
      </c>
      <c r="F59" s="1297">
        <v>8539209.2801621109</v>
      </c>
    </row>
    <row r="60" spans="1:6">
      <c r="A60" s="1296" t="s">
        <v>48</v>
      </c>
      <c r="B60" s="1296" t="s">
        <v>52</v>
      </c>
      <c r="C60" s="1297">
        <v>55</v>
      </c>
      <c r="D60" s="1297">
        <v>3385540.6173185799</v>
      </c>
      <c r="E60" s="1297">
        <v>92</v>
      </c>
      <c r="F60" s="1297">
        <v>2544336.6845849198</v>
      </c>
    </row>
    <row r="61" spans="1:6">
      <c r="A61" s="1296" t="s">
        <v>48</v>
      </c>
      <c r="B61" s="1296" t="s">
        <v>53</v>
      </c>
      <c r="C61" s="1297">
        <v>83</v>
      </c>
      <c r="D61" s="1297">
        <v>2293596.8569211499</v>
      </c>
      <c r="E61" s="1297">
        <v>446</v>
      </c>
      <c r="F61" s="1297">
        <v>6302591.6470673801</v>
      </c>
    </row>
    <row r="62" spans="1:6">
      <c r="A62" s="1296" t="s">
        <v>48</v>
      </c>
      <c r="B62" s="1296" t="s">
        <v>54</v>
      </c>
      <c r="C62" s="1297">
        <v>5</v>
      </c>
      <c r="D62" s="1297">
        <v>766195.18795264803</v>
      </c>
      <c r="E62" s="1297">
        <v>10</v>
      </c>
      <c r="F62" s="1297">
        <v>88514.293451706093</v>
      </c>
    </row>
    <row r="63" spans="1:6">
      <c r="A63" s="1296" t="s">
        <v>48</v>
      </c>
      <c r="B63" s="1296" t="s">
        <v>28</v>
      </c>
      <c r="C63" s="1297">
        <v>105</v>
      </c>
      <c r="D63" s="1297">
        <v>10976974.816663099</v>
      </c>
      <c r="E63" s="1297">
        <v>136</v>
      </c>
      <c r="F63" s="1297">
        <v>3644624.5780375502</v>
      </c>
    </row>
    <row r="64" spans="1:6">
      <c r="A64" s="1296" t="s">
        <v>55</v>
      </c>
      <c r="B64" s="1296" t="s">
        <v>56</v>
      </c>
      <c r="C64" s="1297">
        <v>0</v>
      </c>
      <c r="D64" s="1297">
        <v>0</v>
      </c>
      <c r="E64" s="1297">
        <v>0</v>
      </c>
      <c r="F64" s="1297">
        <v>0</v>
      </c>
    </row>
    <row r="65" spans="1:6">
      <c r="A65" s="1296" t="s">
        <v>55</v>
      </c>
      <c r="B65" s="1296" t="s">
        <v>28</v>
      </c>
      <c r="C65" s="1297">
        <v>1</v>
      </c>
      <c r="D65" s="1297">
        <v>18243.324247919001</v>
      </c>
      <c r="E65" s="1297">
        <v>1</v>
      </c>
      <c r="F65" s="1297">
        <v>10355</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4</v>
      </c>
      <c r="D68" s="1299">
        <v>164868.67138476501</v>
      </c>
      <c r="E68" s="1299">
        <v>16</v>
      </c>
      <c r="F68" s="1299">
        <v>131674.40100159199</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84143561</v>
      </c>
      <c r="E73" s="446"/>
      <c r="F73" s="327"/>
    </row>
    <row r="74" spans="1:6">
      <c r="A74" s="1296" t="s">
        <v>63</v>
      </c>
      <c r="B74" s="1296" t="s">
        <v>706</v>
      </c>
      <c r="C74" s="1309" t="s">
        <v>707</v>
      </c>
      <c r="D74" s="1297">
        <v>11464520.597963436</v>
      </c>
      <c r="E74" s="446"/>
      <c r="F74" s="327"/>
    </row>
    <row r="75" spans="1:6">
      <c r="A75" s="1296" t="s">
        <v>64</v>
      </c>
      <c r="B75" s="1296" t="s">
        <v>704</v>
      </c>
      <c r="C75" s="1309" t="s">
        <v>708</v>
      </c>
      <c r="D75" s="1297">
        <v>34384849</v>
      </c>
      <c r="E75" s="446"/>
      <c r="F75" s="327"/>
    </row>
    <row r="76" spans="1:6">
      <c r="A76" s="1296" t="s">
        <v>64</v>
      </c>
      <c r="B76" s="1296" t="s">
        <v>706</v>
      </c>
      <c r="C76" s="1309" t="s">
        <v>709</v>
      </c>
      <c r="D76" s="1297">
        <v>714040.59796343511</v>
      </c>
      <c r="E76" s="446"/>
      <c r="F76" s="327"/>
    </row>
    <row r="77" spans="1:6">
      <c r="A77" s="1296" t="s">
        <v>65</v>
      </c>
      <c r="B77" s="1296" t="s">
        <v>704</v>
      </c>
      <c r="C77" s="1309" t="s">
        <v>710</v>
      </c>
      <c r="D77" s="1297">
        <v>332983796</v>
      </c>
      <c r="E77" s="446"/>
      <c r="F77" s="327"/>
    </row>
    <row r="78" spans="1:6">
      <c r="A78" s="1291" t="s">
        <v>65</v>
      </c>
      <c r="B78" s="1291" t="s">
        <v>706</v>
      </c>
      <c r="C78" s="1291" t="s">
        <v>711</v>
      </c>
      <c r="D78" s="1299">
        <v>59159972</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185402.80407312969</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4224.8841520756368</v>
      </c>
      <c r="C91" s="327"/>
      <c r="D91" s="327"/>
      <c r="E91" s="327"/>
      <c r="F91" s="327"/>
    </row>
    <row r="92" spans="1:6">
      <c r="A92" s="1291" t="s">
        <v>68</v>
      </c>
      <c r="B92" s="1292">
        <v>5209.4186828448028</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1440</v>
      </c>
      <c r="C97" s="327"/>
      <c r="D97" s="327"/>
      <c r="E97" s="327"/>
      <c r="F97" s="327"/>
    </row>
    <row r="98" spans="1:6">
      <c r="A98" s="1296" t="s">
        <v>71</v>
      </c>
      <c r="B98" s="1297">
        <v>1</v>
      </c>
      <c r="C98" s="327"/>
      <c r="D98" s="327"/>
      <c r="E98" s="327"/>
      <c r="F98" s="327"/>
    </row>
    <row r="99" spans="1:6">
      <c r="A99" s="1296" t="s">
        <v>72</v>
      </c>
      <c r="B99" s="1297">
        <v>236</v>
      </c>
      <c r="C99" s="327"/>
      <c r="D99" s="327"/>
      <c r="E99" s="327"/>
      <c r="F99" s="327"/>
    </row>
    <row r="100" spans="1:6">
      <c r="A100" s="1296" t="s">
        <v>73</v>
      </c>
      <c r="B100" s="1297">
        <v>1076</v>
      </c>
      <c r="C100" s="327"/>
      <c r="D100" s="327"/>
      <c r="E100" s="327"/>
      <c r="F100" s="327"/>
    </row>
    <row r="101" spans="1:6">
      <c r="A101" s="1296" t="s">
        <v>74</v>
      </c>
      <c r="B101" s="1297">
        <v>156</v>
      </c>
      <c r="C101" s="327"/>
      <c r="D101" s="327"/>
      <c r="E101" s="327"/>
      <c r="F101" s="327"/>
    </row>
    <row r="102" spans="1:6">
      <c r="A102" s="1296" t="s">
        <v>75</v>
      </c>
      <c r="B102" s="1297">
        <v>152</v>
      </c>
      <c r="C102" s="327"/>
      <c r="D102" s="327"/>
      <c r="E102" s="327"/>
      <c r="F102" s="327"/>
    </row>
    <row r="103" spans="1:6">
      <c r="A103" s="1296" t="s">
        <v>76</v>
      </c>
      <c r="B103" s="1297">
        <v>274</v>
      </c>
      <c r="C103" s="327"/>
      <c r="D103" s="327"/>
      <c r="E103" s="327"/>
      <c r="F103" s="327"/>
    </row>
    <row r="104" spans="1:6">
      <c r="A104" s="1296" t="s">
        <v>77</v>
      </c>
      <c r="B104" s="1297">
        <v>3449</v>
      </c>
      <c r="C104" s="327"/>
      <c r="D104" s="327"/>
      <c r="E104" s="327"/>
      <c r="F104" s="327"/>
    </row>
    <row r="105" spans="1:6">
      <c r="A105" s="1291"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33</v>
      </c>
      <c r="C123" s="1297">
        <v>27</v>
      </c>
      <c r="D123" s="327"/>
      <c r="E123" s="327"/>
      <c r="F123" s="327"/>
    </row>
    <row r="124" spans="1:6">
      <c r="A124" s="1296" t="s">
        <v>88</v>
      </c>
      <c r="B124" s="1297">
        <v>1</v>
      </c>
      <c r="C124" s="1297">
        <v>1</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196</v>
      </c>
      <c r="C129" s="327"/>
      <c r="D129" s="327"/>
      <c r="E129" s="327"/>
      <c r="F129" s="327"/>
    </row>
    <row r="130" spans="1:6">
      <c r="A130" s="1296" t="s">
        <v>284</v>
      </c>
      <c r="B130" s="1297">
        <v>9</v>
      </c>
      <c r="C130" s="327"/>
      <c r="D130" s="327"/>
      <c r="E130" s="327"/>
      <c r="F130" s="327"/>
    </row>
    <row r="131" spans="1:6">
      <c r="A131" s="1296" t="s">
        <v>285</v>
      </c>
      <c r="B131" s="1297">
        <v>9</v>
      </c>
      <c r="C131" s="327"/>
      <c r="D131" s="327"/>
      <c r="E131" s="327"/>
      <c r="F131" s="327"/>
    </row>
    <row r="132" spans="1:6">
      <c r="A132" s="1291" t="s">
        <v>286</v>
      </c>
      <c r="B132" s="1292">
        <v>15</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154110.17553710277</v>
      </c>
      <c r="C3" s="43" t="s">
        <v>163</v>
      </c>
      <c r="D3" s="43"/>
      <c r="E3" s="156"/>
      <c r="F3" s="43"/>
      <c r="G3" s="43"/>
      <c r="H3" s="43"/>
      <c r="I3" s="43"/>
      <c r="J3" s="43"/>
      <c r="K3" s="96"/>
    </row>
    <row r="4" spans="1:11">
      <c r="A4" s="353" t="s">
        <v>164</v>
      </c>
      <c r="B4" s="49">
        <f>IF(ISERROR('SEAP template'!B78+'SEAP template'!C78),0,'SEAP template'!B78+'SEAP template'!C78)</f>
        <v>22169.30283492044</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0.18920835542207362</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18192.857142857145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2078.15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2078.15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0.18920835542207362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393.20334382038232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37831.6763610485</v>
      </c>
      <c r="C5" s="17">
        <f>IF(ISERROR('Eigen informatie GS &amp; warmtenet'!B57),0,'Eigen informatie GS &amp; warmtenet'!B57)</f>
        <v>0</v>
      </c>
      <c r="D5" s="30">
        <f>(SUM(HH_hh_gas_kWh,HH_rest_gas_kWh)/1000)*0.902</f>
        <v>55121.028311008449</v>
      </c>
      <c r="E5" s="17">
        <f>B32*B41</f>
        <v>2687.7378705929</v>
      </c>
      <c r="F5" s="17">
        <f>B36*B45</f>
        <v>82366.997690116536</v>
      </c>
      <c r="G5" s="18"/>
      <c r="H5" s="17"/>
      <c r="I5" s="17"/>
      <c r="J5" s="17">
        <f>B35*B44+C35*C44</f>
        <v>1559.8669291946651</v>
      </c>
      <c r="K5" s="17"/>
      <c r="L5" s="17"/>
      <c r="M5" s="17"/>
      <c r="N5" s="17">
        <f>B34*B43+C34*C43</f>
        <v>13426.094687684978</v>
      </c>
      <c r="O5" s="17">
        <f>B52*B53*B54</f>
        <v>350.18666666666672</v>
      </c>
      <c r="P5" s="17">
        <f>B60*B61*B62/1000-B60*B61*B62/1000/B63</f>
        <v>934.26666666666665</v>
      </c>
    </row>
    <row r="6" spans="1:16">
      <c r="A6" s="16" t="s">
        <v>617</v>
      </c>
      <c r="B6" s="769">
        <f>kWh_PV_kleiner_dan_10kW</f>
        <v>4224.8841520756368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42056.560513124139</v>
      </c>
      <c r="C8" s="21">
        <f>C5</f>
        <v>0</v>
      </c>
      <c r="D8" s="21">
        <f>D5</f>
        <v>55121.028311008449</v>
      </c>
      <c r="E8" s="21">
        <f>E5</f>
        <v>2687.7378705929</v>
      </c>
      <c r="F8" s="21">
        <f>F5</f>
        <v>82366.997690116536</v>
      </c>
      <c r="G8" s="21"/>
      <c r="H8" s="21"/>
      <c r="I8" s="21"/>
      <c r="J8" s="21">
        <f>J5</f>
        <v>1559.8669291946651</v>
      </c>
      <c r="K8" s="21"/>
      <c r="L8" s="21">
        <f>L5</f>
        <v>0</v>
      </c>
      <c r="M8" s="21">
        <f>M5</f>
        <v>0</v>
      </c>
      <c r="N8" s="21">
        <f>N5</f>
        <v>13426.094687684978</v>
      </c>
      <c r="O8" s="21">
        <f>O5</f>
        <v>350.18666666666672</v>
      </c>
      <c r="P8" s="21">
        <f>P5</f>
        <v>934.26666666666665</v>
      </c>
    </row>
    <row r="9" spans="1:16">
      <c r="B9" s="19"/>
      <c r="C9" s="19"/>
      <c r="D9" s="257"/>
      <c r="E9" s="19"/>
      <c r="F9" s="19"/>
      <c r="G9" s="19"/>
      <c r="H9" s="19"/>
      <c r="I9" s="19"/>
      <c r="J9" s="19"/>
      <c r="K9" s="19"/>
      <c r="L9" s="19"/>
      <c r="M9" s="19"/>
      <c r="N9" s="19"/>
      <c r="O9" s="19"/>
      <c r="P9" s="19"/>
    </row>
    <row r="10" spans="1:16">
      <c r="A10" s="24" t="s">
        <v>207</v>
      </c>
      <c r="B10" s="25">
        <f ca="1">'EF ele_warmte'!B12</f>
        <v>0.18920835542207362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7957.4526493971389</v>
      </c>
      <c r="C12" s="23">
        <f ca="1">C10*C8</f>
        <v>0</v>
      </c>
      <c r="D12" s="23">
        <f>D8*D10</f>
        <v>11134.447718823707</v>
      </c>
      <c r="E12" s="23">
        <f>E10*E8</f>
        <v>610.11649662458831</v>
      </c>
      <c r="F12" s="23">
        <f>F10*F8</f>
        <v>21991.988383261116</v>
      </c>
      <c r="G12" s="23"/>
      <c r="H12" s="23"/>
      <c r="I12" s="23"/>
      <c r="J12" s="23">
        <f>J10*J8</f>
        <v>552.19289293491147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8122</v>
      </c>
      <c r="C26" s="36"/>
      <c r="D26" s="227"/>
    </row>
    <row r="27" spans="1:5" s="15" customFormat="1">
      <c r="A27" s="229" t="s">
        <v>722</v>
      </c>
      <c r="B27" s="37">
        <f>SUM(HH_hh_gas_aantal,HH_rest_gas_aantal)</f>
        <v>3571</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3392.45</v>
      </c>
      <c r="C31" s="34" t="s">
        <v>104</v>
      </c>
      <c r="D31" s="173"/>
    </row>
    <row r="32" spans="1:5">
      <c r="A32" s="170" t="s">
        <v>72</v>
      </c>
      <c r="B32" s="33">
        <f>IF((B21*($B$26-($B$27-0.05*$B$27)-$B$60))&lt;0,0,B21*($B$26-($B$27-0.05*$B$27)-$B$60))</f>
        <v>117.20828328405193</v>
      </c>
      <c r="C32" s="34" t="s">
        <v>104</v>
      </c>
      <c r="D32" s="173"/>
    </row>
    <row r="33" spans="1:6">
      <c r="A33" s="170" t="s">
        <v>73</v>
      </c>
      <c r="B33" s="33">
        <f>IF((B22*($B$26-($B$27-0.05*$B$27)-$B$60))&lt;0,0,B22*($B$26-($B$27-0.05*$B$27)-$B$60))</f>
        <v>788.94921300675594</v>
      </c>
      <c r="C33" s="34" t="s">
        <v>104</v>
      </c>
      <c r="D33" s="173"/>
    </row>
    <row r="34" spans="1:6">
      <c r="A34" s="170" t="s">
        <v>74</v>
      </c>
      <c r="B34" s="33">
        <f>IF((B24*($B$26-($B$27-0.05*$B$27)-$B$60))&lt;0,0,B24*($B$26-($B$27-0.05*$B$27)-$B$60))</f>
        <v>200.16710916598998</v>
      </c>
      <c r="C34" s="33">
        <f>B26*C24</f>
        <v>1661.4368692809421</v>
      </c>
      <c r="D34" s="232"/>
    </row>
    <row r="35" spans="1:6">
      <c r="A35" s="170" t="s">
        <v>76</v>
      </c>
      <c r="B35" s="33">
        <f>IF((B19*($B$26-($B$27-0.05*$B$27)-$B$60))&lt;0,0,B19*($B$26-($B$27-0.05*$B$27)-$B$60))</f>
        <v>74.388672796225961</v>
      </c>
      <c r="C35" s="33">
        <f>B35/2</f>
        <v>37.194336398112981</v>
      </c>
      <c r="D35" s="232"/>
    </row>
    <row r="36" spans="1:6">
      <c r="A36" s="170" t="s">
        <v>77</v>
      </c>
      <c r="B36" s="33">
        <f>IF((B18*($B$26-($B$27-0.05*$B$27)-$B$60))&lt;0,0,B18*($B$26-($B$27-0.05*$B$27)-$B$60))</f>
        <v>3499.8367217469768</v>
      </c>
      <c r="C36" s="34" t="s">
        <v>104</v>
      </c>
      <c r="D36" s="173"/>
    </row>
    <row r="37" spans="1:6">
      <c r="A37" s="170" t="s">
        <v>78</v>
      </c>
      <c r="B37" s="33">
        <f>B60</f>
        <v>49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224</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49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25349.908008959505</v>
      </c>
      <c r="C5" s="17">
        <f>IF(ISERROR('Eigen informatie GS &amp; warmtenet'!B58),0,'Eigen informatie GS &amp; warmtenet'!B58)</f>
        <v>0</v>
      </c>
      <c r="D5" s="30">
        <f>SUM(D6:D12)</f>
        <v>20562.183097514731</v>
      </c>
      <c r="E5" s="17">
        <f>SUM(E6:E12)</f>
        <v>351.55726694494126</v>
      </c>
      <c r="F5" s="17">
        <f>SUM(F6:F12)</f>
        <v>5076.9437209709877</v>
      </c>
      <c r="G5" s="18"/>
      <c r="H5" s="17"/>
      <c r="I5" s="17"/>
      <c r="J5" s="17">
        <f>SUM(J6:J12)</f>
        <v>0</v>
      </c>
      <c r="K5" s="17"/>
      <c r="L5" s="17"/>
      <c r="M5" s="17"/>
      <c r="N5" s="17">
        <f>SUM(N6:N12)</f>
        <v>2666.1245382310481</v>
      </c>
      <c r="O5" s="17">
        <f>B38*B39*B40</f>
        <v>14.070000000000002</v>
      </c>
      <c r="P5" s="17">
        <f>B46*B47*B48/1000-B46*B47*B48/1000/B49</f>
        <v>171.6</v>
      </c>
      <c r="R5" s="32"/>
    </row>
    <row r="6" spans="1:18">
      <c r="A6" s="32" t="s">
        <v>53</v>
      </c>
      <c r="B6" s="37">
        <f>B26</f>
        <v>6302.5916470673801</v>
      </c>
      <c r="C6" s="33"/>
      <c r="D6" s="37">
        <f>IF(ISERROR(TER_kantoor_gas_kWh/1000),0,TER_kantoor_gas_kWh/1000)*0.902</f>
        <v>2068.8243649428773</v>
      </c>
      <c r="E6" s="33">
        <f>$C$26*'E Balans VL '!I12/100/3.6*1000000</f>
        <v>24.486902885253357</v>
      </c>
      <c r="F6" s="33">
        <f>$C$26*('E Balans VL '!L12+'E Balans VL '!N12)/100/3.6*1000000</f>
        <v>958.56684050722015</v>
      </c>
      <c r="G6" s="34"/>
      <c r="H6" s="33"/>
      <c r="I6" s="33"/>
      <c r="J6" s="33">
        <f>$C$26*('E Balans VL '!D12+'E Balans VL '!E12)/100/3.6*1000000</f>
        <v>0</v>
      </c>
      <c r="K6" s="33"/>
      <c r="L6" s="33"/>
      <c r="M6" s="33"/>
      <c r="N6" s="33">
        <f>$C$26*'E Balans VL '!Y12/100/3.6*1000000</f>
        <v>3.473483029419318</v>
      </c>
      <c r="O6" s="33"/>
      <c r="P6" s="33"/>
      <c r="R6" s="32"/>
    </row>
    <row r="7" spans="1:18">
      <c r="A7" s="32" t="s">
        <v>52</v>
      </c>
      <c r="B7" s="37">
        <f t="shared" ref="B7:B12" si="0">B27</f>
        <v>2544.33668458492</v>
      </c>
      <c r="C7" s="33"/>
      <c r="D7" s="37">
        <f>IF(ISERROR(TER_horeca_gas_kWh/1000),0,TER_horeca_gas_kWh/1000)*0.902</f>
        <v>3053.757636821359</v>
      </c>
      <c r="E7" s="33">
        <f>$C$27*'E Balans VL '!I9/100/3.6*1000000</f>
        <v>143.32316568559366</v>
      </c>
      <c r="F7" s="33">
        <f>$C$27*('E Balans VL '!L9+'E Balans VL '!N9)/100/3.6*1000000</f>
        <v>733.63437350657387</v>
      </c>
      <c r="G7" s="34"/>
      <c r="H7" s="33"/>
      <c r="I7" s="33"/>
      <c r="J7" s="33">
        <f>$C$27*('E Balans VL '!D9+'E Balans VL '!E9)/100/3.6*1000000</f>
        <v>0</v>
      </c>
      <c r="K7" s="33"/>
      <c r="L7" s="33"/>
      <c r="M7" s="33"/>
      <c r="N7" s="33">
        <f>$C$27*'E Balans VL '!Y9/100/3.6*1000000</f>
        <v>0.70247813699650175</v>
      </c>
      <c r="O7" s="33"/>
      <c r="P7" s="33"/>
      <c r="R7" s="32"/>
    </row>
    <row r="8" spans="1:18">
      <c r="A8" s="6" t="s">
        <v>51</v>
      </c>
      <c r="B8" s="37">
        <f t="shared" si="0"/>
        <v>8539.2092801621111</v>
      </c>
      <c r="C8" s="33"/>
      <c r="D8" s="37">
        <f>IF(ISERROR(TER_handel_gas_kWh/1000),0,TER_handel_gas_kWh/1000)*0.902</f>
        <v>3623.5964313437253</v>
      </c>
      <c r="E8" s="33">
        <f>$C$28*'E Balans VL '!I13/100/3.6*1000000</f>
        <v>123.07897638234809</v>
      </c>
      <c r="F8" s="33">
        <f>$C$28*('E Balans VL '!L13+'E Balans VL '!N13)/100/3.6*1000000</f>
        <v>1483.4595167291277</v>
      </c>
      <c r="G8" s="34"/>
      <c r="H8" s="33"/>
      <c r="I8" s="33"/>
      <c r="J8" s="33">
        <f>$C$28*('E Balans VL '!D13+'E Balans VL '!E13)/100/3.6*1000000</f>
        <v>0</v>
      </c>
      <c r="K8" s="33"/>
      <c r="L8" s="33"/>
      <c r="M8" s="33"/>
      <c r="N8" s="33">
        <f>$C$28*'E Balans VL '!Y13/100/3.6*1000000</f>
        <v>25.584421607725346</v>
      </c>
      <c r="O8" s="33"/>
      <c r="P8" s="33"/>
      <c r="R8" s="32"/>
    </row>
    <row r="9" spans="1:18">
      <c r="A9" s="32" t="s">
        <v>50</v>
      </c>
      <c r="B9" s="37">
        <f t="shared" si="0"/>
        <v>871.63983192518401</v>
      </c>
      <c r="C9" s="33"/>
      <c r="D9" s="37">
        <f>IF(ISERROR(TER_gezond_gas_kWh/1000),0,TER_gezond_gas_kWh/1000)*0.902</f>
        <v>532.78838159997622</v>
      </c>
      <c r="E9" s="33">
        <f>$C$29*'E Balans VL '!I10/100/3.6*1000000</f>
        <v>0.93113726124385499</v>
      </c>
      <c r="F9" s="33">
        <f>$C$29*('E Balans VL '!L10+'E Balans VL '!N10)/100/3.6*1000000</f>
        <v>142.19094671553816</v>
      </c>
      <c r="G9" s="34"/>
      <c r="H9" s="33"/>
      <c r="I9" s="33"/>
      <c r="J9" s="33">
        <f>$C$29*('E Balans VL '!D10+'E Balans VL '!E10)/100/3.6*1000000</f>
        <v>0</v>
      </c>
      <c r="K9" s="33"/>
      <c r="L9" s="33"/>
      <c r="M9" s="33"/>
      <c r="N9" s="33">
        <f>$C$29*'E Balans VL '!Y10/100/3.6*1000000</f>
        <v>8.9730347219039146</v>
      </c>
      <c r="O9" s="33"/>
      <c r="P9" s="33"/>
      <c r="R9" s="32"/>
    </row>
    <row r="10" spans="1:18">
      <c r="A10" s="32" t="s">
        <v>49</v>
      </c>
      <c r="B10" s="37">
        <f t="shared" si="0"/>
        <v>3358.9916937306498</v>
      </c>
      <c r="C10" s="33"/>
      <c r="D10" s="37">
        <f>IF(ISERROR(TER_ander_gas_kWh/1000),0,TER_ander_gas_kWh/1000)*0.902</f>
        <v>690.87693864339201</v>
      </c>
      <c r="E10" s="33">
        <f>$C$30*'E Balans VL '!I14/100/3.6*1000000</f>
        <v>15.447491858901667</v>
      </c>
      <c r="F10" s="33">
        <f>$C$30*('E Balans VL '!L14+'E Balans VL '!N14)/100/3.6*1000000</f>
        <v>1006.7957627318922</v>
      </c>
      <c r="G10" s="34"/>
      <c r="H10" s="33"/>
      <c r="I10" s="33"/>
      <c r="J10" s="33">
        <f>$C$30*('E Balans VL '!D14+'E Balans VL '!E14)/100/3.6*1000000</f>
        <v>0</v>
      </c>
      <c r="K10" s="33"/>
      <c r="L10" s="33"/>
      <c r="M10" s="33"/>
      <c r="N10" s="33">
        <f>$C$30*'E Balans VL '!Y14/100/3.6*1000000</f>
        <v>2338.0799484602444</v>
      </c>
      <c r="O10" s="33"/>
      <c r="P10" s="33"/>
      <c r="R10" s="32"/>
    </row>
    <row r="11" spans="1:18">
      <c r="A11" s="32" t="s">
        <v>54</v>
      </c>
      <c r="B11" s="37">
        <f t="shared" si="0"/>
        <v>88.514293451706095</v>
      </c>
      <c r="C11" s="33"/>
      <c r="D11" s="37">
        <f>IF(ISERROR(TER_onderwijs_gas_kWh/1000),0,TER_onderwijs_gas_kWh/1000)*0.902</f>
        <v>691.1080595332885</v>
      </c>
      <c r="E11" s="33">
        <f>$C$31*'E Balans VL '!I11/100/3.6*1000000</f>
        <v>8.210864758304455E-2</v>
      </c>
      <c r="F11" s="33">
        <f>$C$31*('E Balans VL '!L11+'E Balans VL '!N11)/100/3.6*1000000</f>
        <v>31.093036934811764</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3644.6245780375502</v>
      </c>
      <c r="C12" s="33"/>
      <c r="D12" s="37">
        <f>IF(ISERROR(TER_rest_gas_kWh/1000),0,TER_rest_gas_kWh/1000)*0.902</f>
        <v>9901.2312846301156</v>
      </c>
      <c r="E12" s="33">
        <f>$C$32*'E Balans VL '!I8/100/3.6*1000000</f>
        <v>44.20748422401752</v>
      </c>
      <c r="F12" s="33">
        <f>$C$32*('E Balans VL '!L8+'E Balans VL '!N8)/100/3.6*1000000</f>
        <v>721.20324384582386</v>
      </c>
      <c r="G12" s="34"/>
      <c r="H12" s="33"/>
      <c r="I12" s="33"/>
      <c r="J12" s="33">
        <f>$C$32*('E Balans VL '!D8+'E Balans VL '!E8)/100/3.6*1000000</f>
        <v>0</v>
      </c>
      <c r="K12" s="33"/>
      <c r="L12" s="33"/>
      <c r="M12" s="33"/>
      <c r="N12" s="33">
        <f>$C$32*'E Balans VL '!Y8/100/3.6*1000000</f>
        <v>289.31117227475852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25349.908008959505</v>
      </c>
      <c r="C16" s="21">
        <f t="shared" ca="1" si="1"/>
        <v>0</v>
      </c>
      <c r="D16" s="21">
        <f t="shared" ca="1" si="1"/>
        <v>20562.183097514731</v>
      </c>
      <c r="E16" s="21">
        <f t="shared" si="1"/>
        <v>351.55726694494126</v>
      </c>
      <c r="F16" s="21">
        <f t="shared" ca="1" si="1"/>
        <v>5076.9437209709877</v>
      </c>
      <c r="G16" s="21">
        <f t="shared" si="1"/>
        <v>0</v>
      </c>
      <c r="H16" s="21">
        <f t="shared" si="1"/>
        <v>0</v>
      </c>
      <c r="I16" s="21">
        <f t="shared" si="1"/>
        <v>0</v>
      </c>
      <c r="J16" s="21">
        <f t="shared" si="1"/>
        <v>0</v>
      </c>
      <c r="K16" s="21">
        <f t="shared" si="1"/>
        <v>0</v>
      </c>
      <c r="L16" s="21">
        <f t="shared" ca="1" si="1"/>
        <v>0</v>
      </c>
      <c r="M16" s="21">
        <f t="shared" si="1"/>
        <v>0</v>
      </c>
      <c r="N16" s="21">
        <f t="shared" ca="1" si="1"/>
        <v>2666.1245382310481</v>
      </c>
      <c r="O16" s="21">
        <f>O5</f>
        <v>14.070000000000002</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0.18920835542207362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4796.4144044760806</v>
      </c>
      <c r="C20" s="23">
        <f t="shared" ref="C20:P20" ca="1" si="2">C16*C18</f>
        <v>0</v>
      </c>
      <c r="D20" s="23">
        <f t="shared" ca="1" si="2"/>
        <v>4153.5609856979763</v>
      </c>
      <c r="E20" s="23">
        <f t="shared" si="2"/>
        <v>79.803499596501666</v>
      </c>
      <c r="F20" s="23">
        <f t="shared" ca="1" si="2"/>
        <v>1355.5439734992538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6302.5916470673801</v>
      </c>
      <c r="C26" s="39">
        <f>IF(ISERROR(B26*3.6/1000000/'E Balans VL '!Z12*100),0,B26*3.6/1000000/'E Balans VL '!Z12*100)</f>
        <v>0.13387016848177191</v>
      </c>
      <c r="D26" s="235" t="s">
        <v>672</v>
      </c>
      <c r="F26" s="6"/>
    </row>
    <row r="27" spans="1:18">
      <c r="A27" s="230" t="s">
        <v>52</v>
      </c>
      <c r="B27" s="33">
        <f>IF(ISERROR(TER_horeca_ele_kWh/1000),0,TER_horeca_ele_kWh/1000)</f>
        <v>2544.33668458492</v>
      </c>
      <c r="C27" s="39">
        <f>IF(ISERROR(B27*3.6/1000000/'E Balans VL '!Z9*100),0,B27*3.6/1000000/'E Balans VL '!Z9*100)</f>
        <v>0.19783767243609748</v>
      </c>
      <c r="D27" s="235" t="s">
        <v>672</v>
      </c>
      <c r="F27" s="6"/>
    </row>
    <row r="28" spans="1:18">
      <c r="A28" s="170" t="s">
        <v>51</v>
      </c>
      <c r="B28" s="33">
        <f>IF(ISERROR(TER_handel_ele_kWh/1000),0,TER_handel_ele_kWh/1000)</f>
        <v>8539.2092801621111</v>
      </c>
      <c r="C28" s="39">
        <f>IF(ISERROR(B28*3.6/1000000/'E Balans VL '!Z13*100),0,B28*3.6/1000000/'E Balans VL '!Z13*100)</f>
        <v>0.2443168271494438</v>
      </c>
      <c r="D28" s="235" t="s">
        <v>672</v>
      </c>
      <c r="F28" s="6"/>
    </row>
    <row r="29" spans="1:18">
      <c r="A29" s="230" t="s">
        <v>50</v>
      </c>
      <c r="B29" s="33">
        <f>IF(ISERROR(TER_gezond_ele_kWh/1000),0,TER_gezond_ele_kWh/1000)</f>
        <v>871.63983192518401</v>
      </c>
      <c r="C29" s="39">
        <f>IF(ISERROR(B29*3.6/1000000/'E Balans VL '!Z10*100),0,B29*3.6/1000000/'E Balans VL '!Z10*100)</f>
        <v>9.502899616038217E-2</v>
      </c>
      <c r="D29" s="235" t="s">
        <v>672</v>
      </c>
      <c r="F29" s="6"/>
    </row>
    <row r="30" spans="1:18">
      <c r="A30" s="230" t="s">
        <v>49</v>
      </c>
      <c r="B30" s="33">
        <f>IF(ISERROR(TER_ander_ele_kWh/1000),0,TER_ander_ele_kWh/1000)</f>
        <v>3358.9916937306498</v>
      </c>
      <c r="C30" s="39">
        <f>IF(ISERROR(B30*3.6/1000000/'E Balans VL '!Z14*100),0,B30*3.6/1000000/'E Balans VL '!Z14*100)</f>
        <v>0.24580339245517993</v>
      </c>
      <c r="D30" s="235" t="s">
        <v>672</v>
      </c>
      <c r="F30" s="6"/>
    </row>
    <row r="31" spans="1:18">
      <c r="A31" s="230" t="s">
        <v>54</v>
      </c>
      <c r="B31" s="33">
        <f>IF(ISERROR(TER_onderwijs_ele_kWh/1000),0,TER_onderwijs_ele_kWh/1000)</f>
        <v>88.514293451706095</v>
      </c>
      <c r="C31" s="39">
        <f>IF(ISERROR(B31*3.6/1000000/'E Balans VL '!Z11*100),0,B31*3.6/1000000/'E Balans VL '!Z11*100)</f>
        <v>1.7778161568677019E-2</v>
      </c>
      <c r="D31" s="235" t="s">
        <v>672</v>
      </c>
    </row>
    <row r="32" spans="1:18">
      <c r="A32" s="230" t="s">
        <v>249</v>
      </c>
      <c r="B32" s="33">
        <f>IF(ISERROR(TER_rest_ele_kWh/1000),0,TER_rest_ele_kWh/1000)</f>
        <v>3644.6245780375502</v>
      </c>
      <c r="C32" s="39">
        <f>IF(ISERROR(B32*3.6/1000000/'E Balans VL '!Z8*100),0,B32*3.6/1000000/'E Balans VL '!Z8*100)</f>
        <v>2.9701478500729919E-2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9</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9</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76787.154168194276</v>
      </c>
      <c r="C5" s="17">
        <f>IF(ISERROR('Eigen informatie GS &amp; warmtenet'!B59),0,'Eigen informatie GS &amp; warmtenet'!B59)</f>
        <v>0</v>
      </c>
      <c r="D5" s="30">
        <f>SUM(D6:D15)</f>
        <v>179536.9058251197</v>
      </c>
      <c r="E5" s="17">
        <f>SUM(E6:E15)</f>
        <v>4653.1810868593702</v>
      </c>
      <c r="F5" s="17">
        <f>SUM(F6:F15)</f>
        <v>28382.008093484634</v>
      </c>
      <c r="G5" s="18"/>
      <c r="H5" s="17"/>
      <c r="I5" s="17"/>
      <c r="J5" s="17">
        <f>SUM(J6:J15)</f>
        <v>152.91114360924473</v>
      </c>
      <c r="K5" s="17"/>
      <c r="L5" s="17"/>
      <c r="M5" s="17"/>
      <c r="N5" s="17">
        <f>SUM(N6:N15)</f>
        <v>6406.4242694757468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1537.37470529864</v>
      </c>
      <c r="C8" s="33"/>
      <c r="D8" s="37">
        <f>IF( ISERROR(IND_metaal_Gas_kWH/1000),0,IND_metaal_Gas_kWH/1000)*0.902</f>
        <v>0</v>
      </c>
      <c r="E8" s="33">
        <f>C30*'E Balans VL '!I18/100/3.6*1000000</f>
        <v>44.159172132892159</v>
      </c>
      <c r="F8" s="33">
        <f>C30*'E Balans VL '!L18/100/3.6*1000000+C30*'E Balans VL '!N18/100/3.6*1000000</f>
        <v>394.30704394426806</v>
      </c>
      <c r="G8" s="34"/>
      <c r="H8" s="33"/>
      <c r="I8" s="33"/>
      <c r="J8" s="40">
        <f>C30*'E Balans VL '!D18/100/3.6*1000000+C30*'E Balans VL '!E18/100/3.6*1000000</f>
        <v>0</v>
      </c>
      <c r="K8" s="33"/>
      <c r="L8" s="33"/>
      <c r="M8" s="33"/>
      <c r="N8" s="33">
        <f>C30*'E Balans VL '!Y18/100/3.6*1000000</f>
        <v>41.742861475248354</v>
      </c>
      <c r="O8" s="33"/>
      <c r="P8" s="33"/>
      <c r="R8" s="32"/>
    </row>
    <row r="9" spans="1:18">
      <c r="A9" s="6" t="s">
        <v>32</v>
      </c>
      <c r="B9" s="37">
        <f t="shared" si="0"/>
        <v>2459.4391121624499</v>
      </c>
      <c r="C9" s="33"/>
      <c r="D9" s="37">
        <f>IF( ISERROR(IND_andere_gas_kWh/1000),0,IND_andere_gas_kWh/1000)*0.902</f>
        <v>1887.7955452733693</v>
      </c>
      <c r="E9" s="33">
        <f>C31*'E Balans VL '!I19/100/3.6*1000000</f>
        <v>665.70969733345055</v>
      </c>
      <c r="F9" s="33">
        <f>C31*'E Balans VL '!L19/100/3.6*1000000+C31*'E Balans VL '!N19/100/3.6*1000000</f>
        <v>1638.2467117246665</v>
      </c>
      <c r="G9" s="34"/>
      <c r="H9" s="33"/>
      <c r="I9" s="33"/>
      <c r="J9" s="40">
        <f>C31*'E Balans VL '!D19/100/3.6*1000000+C31*'E Balans VL '!E19/100/3.6*1000000</f>
        <v>0</v>
      </c>
      <c r="K9" s="33"/>
      <c r="L9" s="33"/>
      <c r="M9" s="33"/>
      <c r="N9" s="33">
        <f>C31*'E Balans VL '!Y19/100/3.6*1000000</f>
        <v>207.92928500965331</v>
      </c>
      <c r="O9" s="33"/>
      <c r="P9" s="33"/>
      <c r="R9" s="32"/>
    </row>
    <row r="10" spans="1:18">
      <c r="A10" s="6" t="s">
        <v>40</v>
      </c>
      <c r="B10" s="37">
        <f t="shared" si="0"/>
        <v>8044.0929512005105</v>
      </c>
      <c r="C10" s="33"/>
      <c r="D10" s="37">
        <f>IF( ISERROR(IND_voed_gas_kWh/1000),0,IND_voed_gas_kWh/1000)*0.902</f>
        <v>4473.8833113926203</v>
      </c>
      <c r="E10" s="33">
        <f>C32*'E Balans VL '!I20/100/3.6*1000000</f>
        <v>656.09470192257299</v>
      </c>
      <c r="F10" s="33">
        <f>C32*'E Balans VL '!L20/100/3.6*1000000+C32*'E Balans VL '!N20/100/3.6*1000000</f>
        <v>11994.472414300619</v>
      </c>
      <c r="G10" s="34"/>
      <c r="H10" s="33"/>
      <c r="I10" s="33"/>
      <c r="J10" s="40">
        <f>C32*'E Balans VL '!D20/100/3.6*1000000+C32*'E Balans VL '!E20/100/3.6*1000000</f>
        <v>0.10641358552541594</v>
      </c>
      <c r="K10" s="33"/>
      <c r="L10" s="33"/>
      <c r="M10" s="33"/>
      <c r="N10" s="33">
        <f>C32*'E Balans VL '!Y20/100/3.6*1000000</f>
        <v>2363.0706636289074</v>
      </c>
      <c r="O10" s="33"/>
      <c r="P10" s="33"/>
      <c r="R10" s="32"/>
    </row>
    <row r="11" spans="1:18">
      <c r="A11" s="6" t="s">
        <v>39</v>
      </c>
      <c r="B11" s="37">
        <f t="shared" si="0"/>
        <v>118.69405237833401</v>
      </c>
      <c r="C11" s="33"/>
      <c r="D11" s="37">
        <f>IF( ISERROR(IND_textiel_gas_kWh/1000),0,IND_textiel_gas_kWh/1000)*0.902</f>
        <v>228.16578278886354</v>
      </c>
      <c r="E11" s="33">
        <f>C33*'E Balans VL '!I21/100/3.6*1000000</f>
        <v>2.3527589627246132E-2</v>
      </c>
      <c r="F11" s="33">
        <f>C33*'E Balans VL '!L21/100/3.6*1000000+C33*'E Balans VL '!N21/100/3.6*1000000</f>
        <v>4.3716451539253915</v>
      </c>
      <c r="G11" s="34"/>
      <c r="H11" s="33"/>
      <c r="I11" s="33"/>
      <c r="J11" s="40">
        <f>C33*'E Balans VL '!D21/100/3.6*1000000+C33*'E Balans VL '!E21/100/3.6*1000000</f>
        <v>0</v>
      </c>
      <c r="K11" s="33"/>
      <c r="L11" s="33"/>
      <c r="M11" s="33"/>
      <c r="N11" s="33">
        <f>C33*'E Balans VL '!Y21/100/3.6*1000000</f>
        <v>0.55189738021348289</v>
      </c>
      <c r="O11" s="33"/>
      <c r="P11" s="33"/>
      <c r="R11" s="32"/>
    </row>
    <row r="12" spans="1:18">
      <c r="A12" s="6" t="s">
        <v>36</v>
      </c>
      <c r="B12" s="37">
        <f t="shared" si="0"/>
        <v>913.44995684251001</v>
      </c>
      <c r="C12" s="33"/>
      <c r="D12" s="37">
        <f>IF( ISERROR(IND_min_gas_kWh/1000),0,IND_min_gas_kWh/1000)*0.902</f>
        <v>3040.089461777512</v>
      </c>
      <c r="E12" s="33">
        <f>C34*'E Balans VL '!I22/100/3.6*1000000</f>
        <v>7.1155761315294734</v>
      </c>
      <c r="F12" s="33">
        <f>C34*'E Balans VL '!L22/100/3.6*1000000+C34*'E Balans VL '!N22/100/3.6*1000000</f>
        <v>344.4971905067124</v>
      </c>
      <c r="G12" s="34"/>
      <c r="H12" s="33"/>
      <c r="I12" s="33"/>
      <c r="J12" s="40">
        <f>C34*'E Balans VL '!D22/100/3.6*1000000+C34*'E Balans VL '!E22/100/3.6*1000000</f>
        <v>5.0238948970300115</v>
      </c>
      <c r="K12" s="33"/>
      <c r="L12" s="33"/>
      <c r="M12" s="33"/>
      <c r="N12" s="33">
        <f>C34*'E Balans VL '!Y22/100/3.6*1000000</f>
        <v>0</v>
      </c>
      <c r="O12" s="33"/>
      <c r="P12" s="33"/>
      <c r="R12" s="32"/>
    </row>
    <row r="13" spans="1:18">
      <c r="A13" s="6" t="s">
        <v>38</v>
      </c>
      <c r="B13" s="37">
        <f t="shared" si="0"/>
        <v>6056.1988883471204</v>
      </c>
      <c r="C13" s="33"/>
      <c r="D13" s="37">
        <f>IF( ISERROR(IND_papier_gas_kWh/1000),0,IND_papier_gas_kWh/1000)*0.902</f>
        <v>3809.5212296389968</v>
      </c>
      <c r="E13" s="33">
        <f>C35*'E Balans VL '!I23/100/3.6*1000000</f>
        <v>63.449716403334698</v>
      </c>
      <c r="F13" s="33">
        <f>C35*'E Balans VL '!L23/100/3.6*1000000+C35*'E Balans VL '!N23/100/3.6*1000000</f>
        <v>451.91463448569021</v>
      </c>
      <c r="G13" s="34"/>
      <c r="H13" s="33"/>
      <c r="I13" s="33"/>
      <c r="J13" s="40">
        <f>C35*'E Balans VL '!D23/100/3.6*1000000+C35*'E Balans VL '!E23/100/3.6*1000000</f>
        <v>0</v>
      </c>
      <c r="K13" s="33"/>
      <c r="L13" s="33"/>
      <c r="M13" s="33"/>
      <c r="N13" s="33">
        <f>C35*'E Balans VL '!Y23/100/3.6*1000000</f>
        <v>1117.2377448518787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57657.904501964702</v>
      </c>
      <c r="C15" s="33"/>
      <c r="D15" s="37">
        <f>IF( ISERROR(IND_rest_gas_kWh/1000),0,IND_rest_gas_kWh/1000)*0.902</f>
        <v>166097.45049424833</v>
      </c>
      <c r="E15" s="33">
        <f>C37*'E Balans VL '!I15/100/3.6*1000000</f>
        <v>3216.6286953459635</v>
      </c>
      <c r="F15" s="33">
        <f>C37*'E Balans VL '!L15/100/3.6*1000000+C37*'E Balans VL '!N15/100/3.6*1000000</f>
        <v>13554.19845336875</v>
      </c>
      <c r="G15" s="34"/>
      <c r="H15" s="33"/>
      <c r="I15" s="33"/>
      <c r="J15" s="40">
        <f>C37*'E Balans VL '!D15/100/3.6*1000000+C37*'E Balans VL '!E15/100/3.6*1000000</f>
        <v>147.78083512668931</v>
      </c>
      <c r="K15" s="33"/>
      <c r="L15" s="33"/>
      <c r="M15" s="33"/>
      <c r="N15" s="33">
        <f>C37*'E Balans VL '!Y15/100/3.6*1000000</f>
        <v>2675.8918171298451</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76787.154168194276</v>
      </c>
      <c r="C18" s="21">
        <f>C5+C16</f>
        <v>0</v>
      </c>
      <c r="D18" s="21">
        <f>MAX((D5+D16),0)</f>
        <v>179536.9058251197</v>
      </c>
      <c r="E18" s="21">
        <f>MAX((E5+E16),0)</f>
        <v>4653.1810868593702</v>
      </c>
      <c r="F18" s="21">
        <f>MAX((F5+F16),0)</f>
        <v>28382.008093484634</v>
      </c>
      <c r="G18" s="21"/>
      <c r="H18" s="21"/>
      <c r="I18" s="21"/>
      <c r="J18" s="21">
        <f>MAX((J5+J16),0)</f>
        <v>152.91114360924473</v>
      </c>
      <c r="K18" s="21"/>
      <c r="L18" s="21">
        <f>MAX((L5+L16),0)</f>
        <v>0</v>
      </c>
      <c r="M18" s="21"/>
      <c r="N18" s="21">
        <f>MAX((N5+N16),0)</f>
        <v>6406.4242694757468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0.18920835542207362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14528.771157705265</v>
      </c>
      <c r="C22" s="23">
        <f ca="1">C18*C20</f>
        <v>0</v>
      </c>
      <c r="D22" s="23">
        <f>D18*D20</f>
        <v>36266.454976674184</v>
      </c>
      <c r="E22" s="23">
        <f>E18*E20</f>
        <v>1056.2721067170771</v>
      </c>
      <c r="F22" s="23">
        <f>F18*F20</f>
        <v>7577.9961609603979</v>
      </c>
      <c r="G22" s="23"/>
      <c r="H22" s="23"/>
      <c r="I22" s="23"/>
      <c r="J22" s="23">
        <f>J18*J20</f>
        <v>54.13054483767263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1537.37470529864</v>
      </c>
      <c r="C30" s="39">
        <f>IF(ISERROR(B30*3.6/1000000/'E Balans VL '!Z18*100),0,B30*3.6/1000000/'E Balans VL '!Z18*100)</f>
        <v>0.1512737465018211</v>
      </c>
      <c r="D30" s="235" t="s">
        <v>672</v>
      </c>
    </row>
    <row r="31" spans="1:18">
      <c r="A31" s="6" t="s">
        <v>32</v>
      </c>
      <c r="B31" s="37">
        <f>IF( ISERROR(IND_ander_ele_kWh/1000),0,IND_ander_ele_kWh/1000)</f>
        <v>2459.4391121624499</v>
      </c>
      <c r="C31" s="39">
        <f>IF(ISERROR(B31*3.6/1000000/'E Balans VL '!Z19*100),0,B31*3.6/1000000/'E Balans VL '!Z19*100)</f>
        <v>0.10710661145942066</v>
      </c>
      <c r="D31" s="235" t="s">
        <v>672</v>
      </c>
    </row>
    <row r="32" spans="1:18">
      <c r="A32" s="170" t="s">
        <v>40</v>
      </c>
      <c r="B32" s="37">
        <f>IF( ISERROR(IND_voed_ele_kWh/1000),0,IND_voed_ele_kWh/1000)</f>
        <v>8044.0929512005105</v>
      </c>
      <c r="C32" s="39">
        <f>IF(ISERROR(B32*3.6/1000000/'E Balans VL '!Z20*100),0,B32*3.6/1000000/'E Balans VL '!Z20*100)</f>
        <v>1.5262506290497302</v>
      </c>
      <c r="D32" s="235" t="s">
        <v>672</v>
      </c>
    </row>
    <row r="33" spans="1:5">
      <c r="A33" s="170" t="s">
        <v>39</v>
      </c>
      <c r="B33" s="37">
        <f>IF( ISERROR(IND_textiel_ele_kWh/1000),0,IND_textiel_ele_kWh/1000)</f>
        <v>118.69405237833401</v>
      </c>
      <c r="C33" s="39">
        <f>IF(ISERROR(B33*3.6/1000000/'E Balans VL '!Z21*100),0,B33*3.6/1000000/'E Balans VL '!Z21*100)</f>
        <v>6.7768284629529246E-3</v>
      </c>
      <c r="D33" s="235" t="s">
        <v>672</v>
      </c>
    </row>
    <row r="34" spans="1:5">
      <c r="A34" s="170" t="s">
        <v>36</v>
      </c>
      <c r="B34" s="37">
        <f>IF( ISERROR(IND_min_ele_kWh/1000),0,IND_min_ele_kWh/1000)</f>
        <v>913.44995684251001</v>
      </c>
      <c r="C34" s="39">
        <f>IF(ISERROR(B34*3.6/1000000/'E Balans VL '!Z22*100),0,B34*3.6/1000000/'E Balans VL '!Z22*100)</f>
        <v>0.12844023651061762</v>
      </c>
      <c r="D34" s="235" t="s">
        <v>672</v>
      </c>
    </row>
    <row r="35" spans="1:5">
      <c r="A35" s="170" t="s">
        <v>38</v>
      </c>
      <c r="B35" s="37">
        <f>IF( ISERROR(IND_papier_ele_kWh/1000),0,IND_papier_ele_kWh/1000)</f>
        <v>6056.1988883471204</v>
      </c>
      <c r="C35" s="39">
        <f>IF(ISERROR(B35*3.6/1000000/'E Balans VL '!Z22*100),0,B35*3.6/1000000/'E Balans VL '!Z22*100)</f>
        <v>0.85156237815527791</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57657.904501964702</v>
      </c>
      <c r="C37" s="39">
        <f>IF(ISERROR(B37*3.6/1000000/'E Balans VL '!Z15*100),0,B37*3.6/1000000/'E Balans VL '!Z15*100)</f>
        <v>0.44432497269208193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6254.4176619620957</v>
      </c>
      <c r="C5" s="17">
        <f>'Eigen informatie GS &amp; warmtenet'!B60</f>
        <v>0</v>
      </c>
      <c r="D5" s="30">
        <f>IF(ISERROR(SUM(LB_lb_gas_kWh,LB_rest_gas_kWh)/1000),0,SUM(LB_lb_gas_kWh,LB_rest_gas_kWh)/1000)*0.902</f>
        <v>10665.599820758422</v>
      </c>
      <c r="E5" s="17">
        <f>B17*'E Balans VL '!I25/3.6*1000000/100</f>
        <v>78.81371986889161</v>
      </c>
      <c r="F5" s="17">
        <f>B17*('E Balans VL '!L25/3.6*1000000+'E Balans VL '!N25/3.6*1000000)/100</f>
        <v>21579.307759015195</v>
      </c>
      <c r="G5" s="18"/>
      <c r="H5" s="17"/>
      <c r="I5" s="17"/>
      <c r="J5" s="17">
        <f>('E Balans VL '!D25+'E Balans VL '!E25)/3.6*1000000*landbouw!B17/100</f>
        <v>940.59331864838964</v>
      </c>
      <c r="K5" s="17"/>
      <c r="L5" s="17">
        <f>L6*(-1)</f>
        <v>0</v>
      </c>
      <c r="M5" s="17"/>
      <c r="N5" s="17">
        <f>N6*(-1)</f>
        <v>36385.71428571429</v>
      </c>
      <c r="O5" s="17"/>
      <c r="P5" s="17"/>
      <c r="R5" s="32"/>
    </row>
    <row r="6" spans="1:18">
      <c r="A6" s="16" t="s">
        <v>484</v>
      </c>
      <c r="B6" s="17" t="s">
        <v>204</v>
      </c>
      <c r="C6" s="17">
        <f>'lokale energieproductie'!O39+'lokale energieproductie'!O32</f>
        <v>18192.857142857145</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-36385.71428571429</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6254.4176619620957</v>
      </c>
      <c r="C8" s="21">
        <f>C5+C6</f>
        <v>18192.857142857145</v>
      </c>
      <c r="D8" s="21">
        <f>MAX((D5+D6),0)</f>
        <v>10665.599820758422</v>
      </c>
      <c r="E8" s="21">
        <f>MAX((E5+E6),0)</f>
        <v>78.81371986889161</v>
      </c>
      <c r="F8" s="21">
        <f>MAX((F5+F6),0)</f>
        <v>21579.307759015195</v>
      </c>
      <c r="G8" s="21"/>
      <c r="H8" s="21"/>
      <c r="I8" s="21"/>
      <c r="J8" s="21">
        <f>MAX((J5+J6),0)</f>
        <v>940.59331864838964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0.18920835542207362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1183.388079942619</v>
      </c>
      <c r="C12" s="23">
        <f ca="1">C8*C10</f>
        <v>0</v>
      </c>
      <c r="D12" s="23">
        <f>D8*D10</f>
        <v>2154.4511637932014</v>
      </c>
      <c r="E12" s="23">
        <f>E8*E10</f>
        <v>17.890714410238395</v>
      </c>
      <c r="F12" s="23">
        <f>F8*F10</f>
        <v>5761.675171657057</v>
      </c>
      <c r="G12" s="23"/>
      <c r="H12" s="23"/>
      <c r="I12" s="23"/>
      <c r="J12" s="23">
        <f>J8*J10</f>
        <v>332.97003480152989</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0.87229413604154682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996.49774946414982</v>
      </c>
      <c r="C26" s="245">
        <f>B26*'GWP N2O_CH4'!B5</f>
        <v>20926.452738747146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649.26723254305932</v>
      </c>
      <c r="C27" s="245">
        <f>B27*'GWP N2O_CH4'!B5</f>
        <v>13634.611883404246</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16.058057672281084</v>
      </c>
      <c r="C28" s="245">
        <f>B28*'GWP N2O_CH4'!B4</f>
        <v>4977.9978784071363</v>
      </c>
      <c r="D28" s="50"/>
    </row>
    <row r="29" spans="1:4">
      <c r="A29" s="41" t="s">
        <v>266</v>
      </c>
      <c r="B29" s="245">
        <f>B34*'ha_N2O bodem landbouw'!B4</f>
        <v>29.556769060476661</v>
      </c>
      <c r="C29" s="245">
        <f>B29*'GWP N2O_CH4'!B4</f>
        <v>9162.5984087477646</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7.3800298949215819E-3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1.2841724332548335E-4</v>
      </c>
      <c r="C5" s="434" t="s">
        <v>204</v>
      </c>
      <c r="D5" s="419">
        <f>SUM(D6:D11)</f>
        <v>1.0991964336424491E-4</v>
      </c>
      <c r="E5" s="419">
        <f>SUM(E6:E11)</f>
        <v>4.5628298357403641E-3</v>
      </c>
      <c r="F5" s="432" t="s">
        <v>204</v>
      </c>
      <c r="G5" s="419">
        <f>SUM(G6:G11)</f>
        <v>1.4908333024798743</v>
      </c>
      <c r="H5" s="419">
        <f>SUM(H6:H11)</f>
        <v>0.19606715416091072</v>
      </c>
      <c r="I5" s="434" t="s">
        <v>204</v>
      </c>
      <c r="J5" s="434" t="s">
        <v>204</v>
      </c>
      <c r="K5" s="434" t="s">
        <v>204</v>
      </c>
      <c r="L5" s="434" t="s">
        <v>204</v>
      </c>
      <c r="M5" s="419">
        <f>SUM(M6:M11)</f>
        <v>7.6250106482580113E-2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2.1937588487904644E-5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1.9543788035301661E-5</v>
      </c>
      <c r="E6" s="873">
        <f>vkm_GW_PW*SUMIFS(TableVerdeelsleutelVkm[LPG],TableVerdeelsleutelVkm[Voertuigtype],"Lichte voertuigen")*SUMIFS(TableECFTransport[EnergieConsumptieFactor (PJ per km)],TableECFTransport[Index],CONCATENATE($A6,"_LPG_LPG"))</f>
        <v>7.0342653137721626E-4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0.13787539747960481</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3.3801308911628601E-2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7.766064598829097E-3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6.9340594906493247E-7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0.10850831470282184</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2.4734179210820728E-6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4.8993176016786768E-3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9.695056947654296E-6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1.361833268668946E-5</v>
      </c>
      <c r="E8" s="422">
        <f>vkm_NGW_PW*SUMIFS(TableVerdeelsleutelVkm[LPG],TableVerdeelsleutelVkm[Voertuigtype],"Lichte voertuigen")*SUMIFS(TableECFTransport[EnergieConsumptieFactor (PJ per km)],TableECFTransport[Index],CONCATENATE($A8,"_LPG_LPG"))</f>
        <v>4.664851809068257E-4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8.5888517066287182E-2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2.2610043271778707E-2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4.9086476997697477E-3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4.3187152421330292E-8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8.6810063715214783E-3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1.8594348033221316E-7</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3.9196026941488153E-4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9.2469845878016542E-5</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7.6757522642253786E-5</v>
      </c>
      <c r="E10" s="422">
        <f>vkm_SW_PW*SUMIFS(TableVerdeelsleutelVkm[LPG],TableVerdeelsleutelVkm[Voertuigtype],"Lichte voertuigen")*SUMIFS(TableECFTransport[EnergieConsumptieFactor (PJ per km)],TableECFTransport[Index],CONCATENATE($A10,"_LPG_LPG"))</f>
        <v>3.392918123456322E-3</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0.61638233783493857</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0.13964000550105141</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3.4195827316609292E-2</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3.5781589104215998E-6</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0.53349772902470061</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1.3137115050596904E-5</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2.4088288996278424E-2</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35.671456479300929</v>
      </c>
      <c r="C14" s="21"/>
      <c r="D14" s="21">
        <f t="shared" ref="D14:M14" si="0">((D5)*10^9/3600)+D12</f>
        <v>30.53323426784581</v>
      </c>
      <c r="E14" s="21">
        <f t="shared" si="0"/>
        <v>1267.4527321501012</v>
      </c>
      <c r="F14" s="21"/>
      <c r="G14" s="21">
        <f t="shared" si="0"/>
        <v>414120.36179996509</v>
      </c>
      <c r="H14" s="21">
        <f t="shared" si="0"/>
        <v>54463.098378030758</v>
      </c>
      <c r="I14" s="21"/>
      <c r="J14" s="21"/>
      <c r="K14" s="21"/>
      <c r="L14" s="21"/>
      <c r="M14" s="21">
        <f t="shared" si="0"/>
        <v>21180.58513405003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0.18920835542207362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6.7493376159586012</v>
      </c>
      <c r="C18" s="23"/>
      <c r="D18" s="23">
        <f t="shared" ref="D18:M18" si="1">D14*D16</f>
        <v>6.1677133221048539</v>
      </c>
      <c r="E18" s="23">
        <f t="shared" si="1"/>
        <v>287.711770198073</v>
      </c>
      <c r="F18" s="23"/>
      <c r="G18" s="23">
        <f t="shared" si="1"/>
        <v>110570.13660059069</v>
      </c>
      <c r="H18" s="23">
        <f t="shared" si="1"/>
        <v>13561.311496129658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1.2339320597156973E-5</v>
      </c>
      <c r="C50" s="316">
        <f t="shared" ref="C50:P50" si="2">SUM(C51:C52)</f>
        <v>0</v>
      </c>
      <c r="D50" s="316">
        <f t="shared" si="2"/>
        <v>0</v>
      </c>
      <c r="E50" s="316">
        <f t="shared" si="2"/>
        <v>0</v>
      </c>
      <c r="F50" s="316">
        <f t="shared" si="2"/>
        <v>0</v>
      </c>
      <c r="G50" s="316">
        <f t="shared" si="2"/>
        <v>2.40177887535865E-3</v>
      </c>
      <c r="H50" s="316">
        <f t="shared" si="2"/>
        <v>0</v>
      </c>
      <c r="I50" s="316">
        <f t="shared" si="2"/>
        <v>0</v>
      </c>
      <c r="J50" s="316">
        <f t="shared" si="2"/>
        <v>0</v>
      </c>
      <c r="K50" s="316">
        <f t="shared" si="2"/>
        <v>0</v>
      </c>
      <c r="L50" s="316">
        <f t="shared" si="2"/>
        <v>0</v>
      </c>
      <c r="M50" s="316">
        <f t="shared" si="2"/>
        <v>1.0769778286574347E-4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1.2339320597156973E-5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2.40177887535865E-3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1.0769778286574347E-4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3.4275890547658259</v>
      </c>
      <c r="C54" s="21">
        <f t="shared" ref="C54:P54" si="3">(C50)*10^9/3600</f>
        <v>0</v>
      </c>
      <c r="D54" s="21">
        <f t="shared" si="3"/>
        <v>0</v>
      </c>
      <c r="E54" s="21">
        <f t="shared" si="3"/>
        <v>0</v>
      </c>
      <c r="F54" s="21">
        <f t="shared" si="3"/>
        <v>0</v>
      </c>
      <c r="G54" s="21">
        <f t="shared" si="3"/>
        <v>667.16079871073612</v>
      </c>
      <c r="H54" s="21">
        <f t="shared" si="3"/>
        <v>0</v>
      </c>
      <c r="I54" s="21">
        <f t="shared" si="3"/>
        <v>0</v>
      </c>
      <c r="J54" s="21">
        <f t="shared" si="3"/>
        <v>0</v>
      </c>
      <c r="K54" s="21">
        <f t="shared" si="3"/>
        <v>0</v>
      </c>
      <c r="L54" s="21">
        <f t="shared" si="3"/>
        <v>0</v>
      </c>
      <c r="M54" s="21">
        <f t="shared" si="3"/>
        <v>29.916050796039855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0.18920835542207362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0.64852848811494179</v>
      </c>
      <c r="C58" s="23">
        <f t="shared" ref="C58:P58" ca="1" si="4">C54*C56</f>
        <v>0</v>
      </c>
      <c r="D58" s="23">
        <f t="shared" si="4"/>
        <v>0</v>
      </c>
      <c r="E58" s="23">
        <f t="shared" si="4"/>
        <v>0</v>
      </c>
      <c r="F58" s="23">
        <f t="shared" si="4"/>
        <v>0</v>
      </c>
      <c r="G58" s="23">
        <f t="shared" si="4"/>
        <v>178.13193325576654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9434.3028349204396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12735</v>
      </c>
      <c r="C8" s="546">
        <f>B48</f>
        <v>0</v>
      </c>
      <c r="D8" s="1001"/>
      <c r="E8" s="1001">
        <f>E48</f>
        <v>0</v>
      </c>
      <c r="F8" s="1002"/>
      <c r="G8" s="547"/>
      <c r="H8" s="1001">
        <f>I48</f>
        <v>0</v>
      </c>
      <c r="I8" s="1001">
        <f>G48+F48</f>
        <v>0</v>
      </c>
      <c r="J8" s="1001">
        <f>H48+D48+C48</f>
        <v>14982.352941176472</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22169.30283492044</v>
      </c>
      <c r="C10" s="559">
        <f t="shared" ref="C10:L10" si="0">SUM(C8:C9)</f>
        <v>0</v>
      </c>
      <c r="D10" s="559">
        <f t="shared" si="0"/>
        <v>0</v>
      </c>
      <c r="E10" s="559">
        <f t="shared" si="0"/>
        <v>0</v>
      </c>
      <c r="F10" s="559">
        <f t="shared" si="0"/>
        <v>0</v>
      </c>
      <c r="G10" s="559">
        <f t="shared" si="0"/>
        <v>0</v>
      </c>
      <c r="H10" s="559">
        <f t="shared" si="0"/>
        <v>0</v>
      </c>
      <c r="I10" s="559">
        <f t="shared" si="0"/>
        <v>0</v>
      </c>
      <c r="J10" s="559">
        <f t="shared" si="0"/>
        <v>14982.352941176472</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18192.857142857145</v>
      </c>
      <c r="C17" s="571">
        <f>B49</f>
        <v>0</v>
      </c>
      <c r="D17" s="572"/>
      <c r="E17" s="572">
        <f>E49</f>
        <v>0</v>
      </c>
      <c r="F17" s="1007"/>
      <c r="G17" s="573"/>
      <c r="H17" s="571">
        <f>I49</f>
        <v>0</v>
      </c>
      <c r="I17" s="572">
        <f>G49+F49</f>
        <v>0</v>
      </c>
      <c r="J17" s="572">
        <f>H49+D49+C49</f>
        <v>21403.361344537818</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18192.857142857145</v>
      </c>
      <c r="C20" s="558">
        <f>SUM(C17:C19)</f>
        <v>0</v>
      </c>
      <c r="D20" s="558">
        <f t="shared" ref="D20:L20" si="1">SUM(D17:D19)</f>
        <v>0</v>
      </c>
      <c r="E20" s="558">
        <f t="shared" si="1"/>
        <v>0</v>
      </c>
      <c r="F20" s="558">
        <f t="shared" si="1"/>
        <v>0</v>
      </c>
      <c r="G20" s="558">
        <f t="shared" si="1"/>
        <v>0</v>
      </c>
      <c r="H20" s="558">
        <f t="shared" si="1"/>
        <v>0</v>
      </c>
      <c r="I20" s="558">
        <f t="shared" si="1"/>
        <v>0</v>
      </c>
      <c r="J20" s="558">
        <f t="shared" si="1"/>
        <v>21403.361344537818</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44001</v>
      </c>
      <c r="C28" s="777">
        <v>9880</v>
      </c>
      <c r="D28" s="630"/>
      <c r="E28" s="629"/>
      <c r="F28" s="629"/>
      <c r="G28" s="629" t="s">
        <v>926</v>
      </c>
      <c r="H28" s="629" t="s">
        <v>927</v>
      </c>
      <c r="I28" s="629"/>
      <c r="J28" s="776"/>
      <c r="K28" s="776"/>
      <c r="L28" s="629" t="s">
        <v>928</v>
      </c>
      <c r="M28" s="629">
        <v>2830</v>
      </c>
      <c r="N28" s="629">
        <v>12735</v>
      </c>
      <c r="O28" s="629">
        <v>18192.857142857145</v>
      </c>
      <c r="P28" s="629">
        <v>0</v>
      </c>
      <c r="Q28" s="629">
        <v>36385.71428571429</v>
      </c>
      <c r="R28" s="629">
        <v>0</v>
      </c>
      <c r="S28" s="629">
        <v>0</v>
      </c>
      <c r="T28" s="629">
        <v>0</v>
      </c>
      <c r="U28" s="629">
        <v>0</v>
      </c>
      <c r="V28" s="629">
        <v>0</v>
      </c>
      <c r="W28" s="629">
        <v>0</v>
      </c>
      <c r="X28" s="629">
        <v>11</v>
      </c>
      <c r="Y28" s="629" t="s">
        <v>105</v>
      </c>
      <c r="Z28" s="631" t="s">
        <v>105</v>
      </c>
    </row>
    <row r="29" spans="1:26" s="566" customFormat="1" hidden="1">
      <c r="A29" s="585" t="s">
        <v>269</v>
      </c>
      <c r="B29" s="586"/>
      <c r="C29" s="586"/>
      <c r="D29" s="586"/>
      <c r="E29" s="586"/>
      <c r="F29" s="586"/>
      <c r="G29" s="586"/>
      <c r="H29" s="586"/>
      <c r="I29" s="586"/>
      <c r="J29" s="586"/>
      <c r="K29" s="586"/>
      <c r="L29" s="587"/>
      <c r="M29" s="587">
        <f>SUM(M28:M28)</f>
        <v>2830</v>
      </c>
      <c r="N29" s="587">
        <f>SUM(N28:N28)</f>
        <v>12735</v>
      </c>
      <c r="O29" s="587">
        <f>SUM(O28:O28)</f>
        <v>18192.857142857145</v>
      </c>
      <c r="P29" s="587">
        <f>SUM(P28:P28)</f>
        <v>0</v>
      </c>
      <c r="Q29" s="587">
        <f>SUM(Q28:Q28)</f>
        <v>36385.71428571429</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2830</v>
      </c>
      <c r="N32" s="592">
        <f>SUMIF($Z$28:$Z$28,"landbouw",N28:N28)</f>
        <v>12735</v>
      </c>
      <c r="O32" s="592">
        <f>SUMIF($Z$28:$Z$28,"landbouw",O28:O28)</f>
        <v>18192.857142857145</v>
      </c>
      <c r="P32" s="592">
        <f>SUMIF($Z$28:$Z$28,"landbouw",P28:P28)</f>
        <v>0</v>
      </c>
      <c r="Q32" s="592">
        <f>SUMIF($Z$28:$Z$28,"landbouw",Q28:Q28)</f>
        <v>36385.71428571429</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14982.352941176472</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21403.361344537818</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2021-11-11T13:25:45Z</dcterms:modified>
</cp:coreProperties>
</file>