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5609485-1CB8-4F4D-B166-8C89F8F7037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B17" i="18"/>
  <c r="G12" i="18"/>
  <c r="F12" i="18"/>
  <c r="E12" i="18"/>
  <c r="D12" i="18"/>
  <c r="C12" i="18"/>
  <c r="L10" i="18"/>
  <c r="K10" i="18"/>
  <c r="G10" i="18"/>
  <c r="D10" i="18"/>
  <c r="B6" i="18"/>
  <c r="B5" i="18"/>
  <c r="B4" i="18"/>
  <c r="J9" i="18" l="1"/>
  <c r="I9" i="18"/>
  <c r="I51" i="18"/>
  <c r="H17" i="18" s="1"/>
  <c r="G51" i="18"/>
  <c r="I17" i="18" s="1"/>
  <c r="I20" i="18" s="1"/>
  <c r="F51" i="18"/>
  <c r="C51" i="18"/>
  <c r="B51" i="18"/>
  <c r="C17" i="18" s="1"/>
  <c r="C20" i="18" s="1"/>
  <c r="B20" i="18"/>
  <c r="C47" i="18"/>
  <c r="O18" i="18"/>
  <c r="H20" i="18"/>
  <c r="G20" i="18"/>
  <c r="K20" i="18"/>
  <c r="B10" i="18"/>
  <c r="O19" i="18"/>
  <c r="O9" i="18"/>
  <c r="D51" i="18"/>
  <c r="H51" i="18"/>
  <c r="E50" i="18"/>
  <c r="E8" i="18" s="1"/>
  <c r="E10" i="18" s="1"/>
  <c r="E51" i="18"/>
  <c r="E17" i="18" s="1"/>
  <c r="E20" i="18" s="1"/>
  <c r="N6" i="17"/>
  <c r="I50" i="18" l="1"/>
  <c r="H8" i="18" s="1"/>
  <c r="H10" i="18" s="1"/>
  <c r="G50" i="18"/>
  <c r="F50" i="18"/>
  <c r="D50" i="18"/>
  <c r="C50" i="18"/>
  <c r="B50" i="18"/>
  <c r="C8" i="18" s="1"/>
  <c r="C10" i="18" s="1"/>
  <c r="H50"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<sst xmlns="http://schemas.openxmlformats.org/spreadsheetml/2006/main" count="2526" uniqueCount="929">
  <si>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</si>
  <si>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</si>
  <si>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</si>
  <si>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</si>
  <si>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</si>
  <si>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</si>
  <si>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</si>
  <si>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</si>
  <si>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</si>
  <si>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</si>
  <si>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</si>
  <si>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</si>
  <si>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</si>
  <si>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</si>
  <si>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</si>
  <si>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</si>
  <si>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</si>
  <si>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</si>
  <si>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</si>
  <si>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</si>
  <si>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</si>
  <si>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</si>
  <si>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</si>
  <si>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</si>
  <si>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</si>
  <si>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</si>
  <si>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</si>
  <si>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</si>
  <si>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</si>
  <si>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</si>
  <si>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</si>
  <si>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</si>
  <si>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</si>
  <si>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</si>
  <si>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</si>
  <si>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</si>
  <si>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</si>
  <si>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</si>
  <si>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</si>
  <si>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</si>
  <si>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</si>
  <si>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</si>
  <si>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</si>
  <si>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</si>
  <si>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</si>
  <si>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</si>
  <si>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</si>
  <si>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</si>
  <si>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</si>
  <si>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</si>
  <si>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</si>
  <si>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</si>
  <si>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</si>
  <si>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</si>
  <si>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</si>
  <si>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</si>
  <si>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</si>
  <si>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</si>
  <si>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</si>
  <si>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</si>
  <si>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</si>
  <si>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</si>
  <si>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</si>
  <si>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</si>
  <si>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</si>
  <si>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</si>
  <si>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</si>
  <si>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</si>
  <si>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</si>
  <si>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</si>
  <si>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</si>
  <si>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</si>
  <si>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</si>
  <si>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</si>
  <si>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</si>
  <si>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</si>
  <si>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</si>
  <si>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</si>
  <si>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</si>
  <si>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</si>
  <si>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</si>
  <si>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</si>
  <si>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</si>
  <si>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</si>
  <si>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</si>
  <si>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</si>
  <si>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</si>
  <si>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</si>
  <si>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</si>
  <si>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</si>
  <si>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</si>
  <si>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</si>
  <si>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</si>
  <si>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</si>
  <si>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</si>
  <si>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</si>
  <si>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</si>
  <si>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</si>
  <si>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</si>
  <si>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</si>
  <si>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</si>
  <si>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</si>
  <si>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</si>
  <si>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</si>
  <si>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</si>
  <si>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</si>
  <si>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</si>
  <si>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</si>
  <si>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</si>
  <si>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</si>
  <si>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</si>
  <si>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</si>
  <si>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</si>
  <si>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</si>
  <si>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</si>
  <si>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</si>
  <si>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</si>
  <si>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</si>
  <si>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</si>
  <si>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</si>
  <si>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</si>
  <si>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</si>
  <si>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</si>
  <si>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</si>
  <si>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</si>
  <si>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</si>
  <si>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</si>
  <si>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</si>
  <si>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</si>
  <si>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</si>
  <si>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</si>
  <si>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</si>
  <si>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</si>
  <si>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</si>
  <si>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</si>
  <si>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</si>
  <si>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</si>
  <si>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</si>
  <si>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</si>
  <si>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</si>
  <si>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</si>
  <si>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</si>
  <si>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</si>
  <si>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</si>
  <si>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</si>
  <si>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</si>
  <si>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</si>
  <si>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</si>
  <si>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</si>
  <si>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</si>
  <si>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</si>
  <si>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</si>
  <si>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</si>
  <si>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</si>
  <si>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</si>
  <si>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</si>
  <si>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</si>
  <si>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</si>
  <si>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</si>
  <si>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</si>
  <si>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</si>
  <si>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</si>
  <si>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</si>
  <si>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</si>
  <si>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</si>
  <si>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</si>
  <si>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</si>
  <si>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</si>
  <si>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</si>
  <si>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</si>
  <si>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</si>
  <si>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</si>
  <si>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</si>
  <si>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</si>
  <si>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</si>
  <si>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</si>
  <si>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</si>
  <si>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</si>
  <si>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</si>
  <si>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</si>
  <si>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</si>
  <si>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</si>
  <si>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</si>
  <si>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</si>
  <si>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</si>
  <si>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</si>
  <si>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</si>
  <si>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</si>
  <si>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</si>
  <si>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</si>
  <si>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</si>
  <si>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</si>
  <si>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</si>
  <si>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</si>
  <si>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</si>
  <si>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</si>
  <si>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</si>
  <si>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</si>
  <si>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</si>
  <si>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</si>
  <si>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</si>
  <si>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</si>
  <si>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</si>
  <si>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</si>
  <si>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</si>
  <si>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</si>
  <si>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</si>
  <si>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</si>
  <si>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</si>
  <si>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</si>
  <si>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</si>
  <si>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</si>
  <si>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</si>
  <si>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</si>
  <si>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</si>
  <si>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</si>
  <si>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</si>
  <si>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</si>
  <si>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</si>
  <si>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</si>
  <si>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</si>
  <si>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</si>
  <si>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</si>
  <si>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</si>
  <si>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</si>
  <si>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</si>
  <si>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</si>
  <si>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</si>
  <si>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</si>
  <si>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</si>
  <si>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</si>
  <si>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</si>
  <si>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</si>
  <si>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</si>
  <si>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</si>
  <si>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</si>
  <si>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</si>
  <si>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</si>
  <si>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</si>
  <si>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</si>
  <si>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</si>
  <si>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</si>
  <si>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</si>
  <si>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</si>
  <si>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</si>
  <si>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</si>
  <si>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</si>
  <si>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</si>
  <si>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</si>
  <si>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</si>
  <si>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</si>
  <si>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</si>
  <si>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</si>
  <si>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</si>
  <si>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</si>
  <si>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</si>
  <si>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</si>
  <si>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</si>
  <si>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</si>
  <si>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</si>
  <si>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</si>
  <si>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</si>
  <si>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</si>
  <si>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</si>
  <si>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</si>
  <si>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</si>
  <si>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</si>
  <si>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</si>
  <si>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</si>
  <si>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</si>
  <si>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</si>
  <si>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</si>
  <si>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</si>
  <si>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</si>
  <si>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</si>
  <si>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</si>
  <si>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</si>
  <si>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</si>
  <si>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</si>
  <si>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</si>
  <si>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</si>
  <si>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</si>
  <si>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</si>
  <si>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</si>
  <si>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</si>
  <si>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</si>
  <si>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</si>
  <si>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</si>
  <si>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</si>
  <si>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</si>
  <si>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</si>
  <si>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</si>
  <si>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</si>
  <si>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</si>
  <si>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</si>
  <si>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</si>
  <si>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</si>
  <si>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</si>
  <si>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</si>
  <si>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</si>
  <si>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</si>
  <si>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</si>
  <si>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</si>
  <si>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</si>
  <si>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</si>
  <si>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</si>
  <si>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</si>
  <si>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</si>
  <si>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</si>
  <si>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</si>
  <si>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</si>
  <si>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</si>
  <si>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</si>
  <si>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</si>
  <si>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</si>
  <si>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</si>
  <si>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</si>
  <si>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</si>
  <si>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</si>
  <si>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</si>
  <si>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</si>
  <si>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</si>
  <si>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</si>
  <si>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</si>
  <si>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</si>
  <si>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</si>
  <si>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</si>
  <si>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</si>
  <si>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</si>
  <si>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</si>
  <si>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</si>
  <si>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</si>
  <si>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</si>
  <si>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</si>
  <si>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</si>
  <si>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</si>
  <si>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</si>
  <si>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</si>
  <si>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</si>
  <si>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</si>
  <si>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</si>
  <si>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</si>
  <si>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</si>
  <si>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</si>
  <si>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</si>
  <si>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</si>
  <si>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</si>
  <si>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</si>
  <si>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</si>
  <si>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</si>
  <si>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</si>
  <si>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</si>
  <si>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</si>
  <si>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</si>
  <si>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</si>
  <si>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</si>
  <si>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</si>
  <si>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</si>
  <si>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</si>
  <si>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</si>
  <si>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</si>
  <si>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</si>
  <si>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</si>
  <si>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</si>
  <si>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</si>
  <si>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</si>
  <si>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</si>
  <si>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</si>
  <si>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</si>
  <si>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</si>
  <si>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</si>
  <si>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</si>
  <si>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</si>
  <si>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</si>
  <si>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</si>
  <si>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</si>
  <si>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</si>
  <si>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</si>
  <si>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</si>
  <si>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</si>
  <si>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</si>
  <si>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</si>
  <si>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</si>
  <si>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</si>
  <si>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</si>
  <si>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</si>
  <si>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</si>
  <si>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</si>
  <si>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</si>
  <si>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</si>
  <si>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</si>
  <si>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</si>
  <si>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</si>
  <si>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</si>
  <si>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</si>
  <si>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</si>
  <si>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</si>
  <si>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</si>
  <si>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</si>
  <si>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</si>
  <si>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</si>
  <si>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</si>
  <si>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</si>
  <si>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</si>
  <si>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</si>
  <si>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</si>
  <si>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</si>
  <si>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</si>
  <si>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</si>
  <si>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</si>
  <si>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</si>
  <si>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</si>
  <si>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</si>
  <si>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</si>
  <si>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</si>
  <si>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</si>
  <si>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</si>
  <si>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</si>
  <si>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</si>
  <si>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</si>
  <si>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</si>
  <si>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</si>
  <si>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</si>
  <si>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</si>
  <si>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</si>
  <si>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</si>
  <si>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</si>
  <si>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</si>
  <si>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</si>
  <si>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</si>
  <si>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</si>
  <si>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</si>
  <si>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</si>
  <si>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</si>
  <si>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</si>
  <si>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</si>
  <si>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</si>
  <si>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</si>
  <si>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</si>
  <si>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</si>
  <si>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</si>
  <si>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</si>
  <si>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</si>
  <si>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</si>
  <si>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</si>
  <si>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</si>
  <si>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</si>
  <si>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</si>
  <si>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</si>
  <si>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</si>
  <si>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</si>
  <si>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</si>
  <si>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</si>
  <si>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</si>
  <si>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</si>
  <si>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</si>
  <si>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</si>
  <si>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</si>
  <si>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</si>
  <si>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</si>
  <si>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</si>
  <si>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</si>
  <si>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</si>
  <si>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</si>
  <si>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</si>
  <si>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</si>
  <si>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</si>
  <si>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</si>
  <si>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</si>
  <si>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</si>
  <si>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</si>
  <si>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</si>
  <si>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</si>
  <si>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</si>
  <si>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</si>
  <si>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</si>
  <si>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</si>
  <si>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</si>
  <si>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</si>
  <si>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</si>
  <si>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</si>
  <si>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</si>
  <si>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</si>
  <si>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</si>
  <si>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</si>
  <si>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</si>
  <si>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</si>
  <si>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</si>
  <si>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</si>
  <si>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</si>
  <si>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</si>
  <si>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</si>
  <si>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</si>
  <si>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</si>
  <si>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</si>
  <si>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</si>
  <si>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</si>
  <si>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</si>
  <si>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</si>
  <si>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</si>
  <si>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</si>
  <si>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</si>
  <si>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</si>
  <si>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</si>
  <si>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</si>
  <si>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</si>
  <si>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</si>
  <si>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</si>
  <si>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</si>
  <si>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</si>
  <si>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</si>
  <si>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</si>
  <si>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</si>
  <si>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</si>
  <si>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</si>
  <si>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</si>
  <si>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</si>
  <si>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</si>
  <si>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</si>
  <si>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</si>
  <si>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</si>
  <si>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</si>
  <si>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</si>
  <si>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</si>
  <si>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</si>
  <si>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</si>
  <si>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</si>
  <si>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</si>
  <si>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</si>
  <si>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</si>
  <si>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</si>
  <si>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</si>
  <si>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</si>
  <si>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</si>
  <si>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</si>
  <si>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</si>
  <si>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</si>
  <si>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</si>
  <si>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</si>
  <si>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</si>
  <si>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</si>
  <si>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</si>
  <si>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</si>
  <si>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</si>
  <si>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</si>
  <si>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</si>
  <si>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</si>
  <si>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</si>
  <si>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</si>
  <si>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</si>
  <si>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</si>
  <si>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</si>
  <si>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</si>
  <si>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</si>
  <si>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</si>
  <si>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</si>
  <si>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</si>
  <si>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</si>
  <si>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</si>
  <si>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</si>
  <si>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</si>
  <si>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</si>
  <si>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</si>
  <si>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</si>
  <si>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</si>
  <si>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</si>
  <si>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</si>
  <si>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</si>
  <si>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</si>
  <si>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</si>
  <si>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</si>
  <si>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</si>
  <si>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</si>
  <si>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</si>
  <si>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</si>
  <si>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</si>
  <si>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</si>
  <si>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</si>
  <si>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</si>
  <si>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</si>
  <si>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</si>
  <si>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</si>
  <si>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</si>
  <si>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</si>
  <si>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</si>
  <si>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</si>
  <si>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</si>
  <si>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</si>
  <si>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</si>
  <si>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</si>
  <si>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</si>
  <si>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</si>
  <si>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</si>
  <si>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</si>
  <si>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</si>
  <si>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</si>
  <si>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</si>
  <si>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</si>
  <si>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</si>
  <si>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</si>
  <si>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</si>
  <si>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</si>
  <si>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</si>
  <si>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</si>
  <si>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</si>
  <si>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</si>
  <si>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</si>
  <si>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</si>
  <si>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</si>
  <si>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</si>
  <si>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</si>
  <si>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</si>
  <si>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</si>
  <si>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</si>
  <si>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</si>
  <si>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</si>
  <si>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</si>
  <si>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</si>
  <si>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</si>
  <si>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</si>
  <si>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</si>
  <si>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</si>
  <si>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</si>
  <si>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</si>
  <si>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</si>
  <si>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</si>
  <si>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</si>
  <si>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</si>
  <si>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</si>
  <si>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</si>
  <si>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</si>
  <si>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</si>
  <si>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</si>
  <si>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</si>
  <si>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</si>
  <si>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</si>
  <si>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</si>
  <si>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</si>
  <si>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</si>
  <si>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</si>
  <si>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</si>
  <si>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</si>
  <si>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</si>
  <si>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</si>
  <si>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</si>
  <si>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</si>
  <si>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</si>
  <si>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</si>
  <si>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</si>
  <si>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</si>
  <si>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</si>
  <si>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</si>
  <si>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</si>
  <si>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</si>
  <si>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</si>
  <si>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</si>
  <si>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</si>
  <si>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</si>
  <si>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</si>
  <si>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</si>
  <si>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</si>
  <si>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</si>
  <si>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</si>
  <si>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</si>
  <si>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</si>
  <si>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</si>
  <si>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</si>
  <si>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</si>
  <si>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</si>
  <si>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</si>
  <si>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</si>
  <si>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</si>
  <si>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</si>
  <si>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</si>
  <si>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</si>
  <si>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</si>
  <si>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</si>
  <si>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</si>
  <si>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</si>
  <si>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</si>
  <si>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</si>
  <si>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</si>
  <si>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</si>
  <si>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</si>
  <si>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</si>
  <si>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</si>
  <si>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</si>
  <si>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</si>
  <si>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</si>
  <si>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</si>
  <si>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</si>
  <si>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</si>
  <si>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</si>
  <si>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</si>
  <si>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</si>
  <si>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</si>
  <si>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</si>
  <si>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</si>
  <si>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</si>
  <si>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</si>
  <si>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</si>
  <si>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</si>
  <si>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</si>
  <si>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</si>
  <si>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</si>
  <si>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</si>
  <si>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</si>
  <si>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</si>
  <si>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</si>
  <si>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</si>
  <si>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</si>
  <si>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</si>
  <si>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</si>
  <si>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</si>
  <si>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</si>
  <si>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</si>
  <si>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</si>
  <si>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</si>
  <si>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</si>
  <si>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</si>
  <si>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</si>
  <si>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</si>
  <si>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</si>
  <si>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</si>
  <si>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</si>
  <si>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</si>
  <si>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</si>
  <si>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</si>
  <si>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</si>
  <si>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</si>
  <si>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</si>
  <si>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</si>
  <si>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</si>
  <si>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</si>
  <si>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</si>
  <si>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</si>
  <si>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</si>
  <si>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</si>
  <si>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</si>
  <si>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</si>
  <si>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</si>
  <si>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</si>
  <si>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</si>
  <si>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</si>
  <si>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</si>
  <si>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</si>
  <si>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</si>
  <si>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</si>
  <si>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</si>
  <si>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</si>
  <si>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</si>
  <si>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</si>
  <si>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</si>
  <si>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</si>
  <si>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</si>
  <si>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</si>
  <si>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</si>
  <si>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</si>
  <si>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</si>
  <si>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</si>
  <si>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</si>
  <si>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</si>
  <si>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</si>
  <si>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</si>
  <si>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</si>
  <si>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</si>
  <si>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</si>
  <si>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</si>
  <si>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</si>
  <si>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</si>
  <si>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</si>
  <si>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</si>
  <si>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</si>
  <si>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</si>
  <si>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</si>
  <si>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</si>
  <si>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</si>
  <si>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</si>
  <si>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</si>
  <si>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</si>
  <si>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</si>
  <si>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</si>
  <si>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</si>
  <si>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</si>
  <si>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</si>
  <si>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</si>
  <si>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</si>
  <si>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</si>
  <si>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</si>
  <si>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</si>
  <si>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</si>
  <si>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</si>
  <si>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</si>
  <si>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</si>
  <si>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</si>
  <si>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</si>
  <si>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</si>
  <si>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</si>
  <si>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</si>
  <si>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</si>
  <si>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</si>
  <si>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</si>
  <si>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</si>
  <si>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</si>
  <si>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</si>
  <si>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</si>
  <si>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</si>
  <si>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</si>
  <si>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</si>
  <si>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</si>
  <si>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</si>
  <si>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</si>
  <si>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</si>
  <si>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</si>
  <si>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</si>
  <si>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</si>
  <si>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</si>
  <si>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</si>
  <si>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</si>
  <si>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</si>
  <si>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</si>
  <si>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</si>
  <si>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</si>
  <si>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</si>
  <si>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</si>
  <si>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</si>
  <si>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</si>
  <si>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</si>
  <si>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</si>
  <si>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</si>
  <si>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</si>
  <si>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</si>
  <si>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</si>
  <si>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</si>
  <si>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</si>
  <si>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</si>
  <si>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</si>
  <si>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</si>
  <si>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</si>
  <si>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</si>
  <si>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</si>
  <si>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</si>
  <si>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</si>
  <si>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</si>
  <si>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</si>
  <si>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</si>
  <si>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</si>
  <si>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</si>
  <si>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</si>
  <si>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</si>
  <si>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</si>
  <si>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</si>
  <si>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</si>
  <si>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</si>
  <si>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</si>
  <si>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</si>
  <si>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</si>
  <si>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</si>
  <si>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</si>
  <si>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</si>
  <si>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</si>
  <si>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</si>
  <si>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</si>
  <si>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</si>
  <si>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</si>
  <si>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</si>
  <si>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</si>
  <si>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</si>
  <si>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</si>
  <si>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</si>
  <si>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</si>
  <si>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</si>
  <si>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</si>
  <si>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</si>
  <si>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</si>
  <si>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</si>
  <si>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</si>
  <si>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</si>
  <si>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</si>
  <si>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</si>
  <si>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</si>
  <si>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</si>
  <si>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</si>
  <si>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</si>
  <si>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</si>
  <si>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</si>
  <si>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</si>
  <si>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</si>
  <si>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</si>
  <si>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</si>
  <si>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</si>
  <si>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</si>
  <si>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</si>
  <si>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</si>
  <si>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</si>
  <si>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</si>
  <si>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</si>
  <si>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</si>
  <si>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</si>
  <si>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</si>
  <si>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</si>
  <si>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</si>
  <si>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</si>
  <si>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</si>
  <si>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</si>
  <si>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</si>
  <si>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</si>
  <si>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</si>
  <si>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</si>
  <si>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</si>
  <si>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</si>
  <si>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</si>
  <si>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</si>
  <si>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</si>
  <si>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</si>
  <si>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</si>
  <si>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</si>
  <si>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</si>
  <si>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</si>
  <si>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43002</t>
  </si>
  <si>
    <t>ASSENEDE</t>
  </si>
  <si>
    <t>Cultuurgrond (ha)</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</si>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</sst>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02C4E6F1-F2CA-46C6-9775-2EF40898AE11}"/>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142197.5997893512</c:v>
                </c:pt>
                <c:pt idx="1">
                  <c:v>21395.797588622641</c:v>
                </c:pt>
                <c:pt idx="2">
                  <c:v>1070.8910000000001</c:v>
                </c:pt>
                <c:pt idx="3">
                  <c:v>43487.888040863276</c:v>
                </c:pt>
                <c:pt idx="4">
                  <c:v>11415.505363462951</c:v>
                </c:pt>
                <c:pt idx="5">
                  <c:v>113972.47280865355</c:v>
                </c:pt>
                <c:pt idx="6">
                  <c:v>1544.7909441431329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142197.5997893512</c:v>
                </c:pt>
                <c:pt idx="1">
                  <c:v>21395.797588622641</c:v>
                </c:pt>
                <c:pt idx="2">
                  <c:v>1070.8910000000001</c:v>
                </c:pt>
                <c:pt idx="3">
                  <c:v>43487.888040863276</c:v>
                </c:pt>
                <c:pt idx="4">
                  <c:v>11415.505363462951</c:v>
                </c:pt>
                <c:pt idx="5">
                  <c:v>113972.47280865355</c:v>
                </c:pt>
                <c:pt idx="6">
                  <c:v>1544.7909441431329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30855.931508287624</c:v>
                </c:pt>
                <c:pt idx="2">
                  <c:v>4242.2086415248705</c:v>
                </c:pt>
                <c:pt idx="3">
                  <c:v>216.43808142968535</c:v>
                </c:pt>
                <c:pt idx="4">
                  <c:v>10737.407489052159</c:v>
                </c:pt>
                <c:pt idx="5">
                  <c:v>2372.0679499967337</c:v>
                </c:pt>
                <c:pt idx="6">
                  <c:v>28810.815917299944</c:v>
                </c:pt>
                <c:pt idx="7">
                  <c:v>394.35403632449339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30855.931508287624</c:v>
                </c:pt>
                <c:pt idx="2">
                  <c:v>4242.2086415248705</c:v>
                </c:pt>
                <c:pt idx="3">
                  <c:v>216.43808142968535</c:v>
                </c:pt>
                <c:pt idx="4">
                  <c:v>10737.407489052159</c:v>
                </c:pt>
                <c:pt idx="5">
                  <c:v>2372.0679499967337</c:v>
                </c:pt>
                <c:pt idx="6">
                  <c:v>28810.815917299944</c:v>
                </c:pt>
                <c:pt idx="7">
                  <c:v>394.35403632449339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43002</v>
      </c>
      <c r="B6" s="385"/>
      <c r="C6" s="386"/>
    </row>
    <row r="7" spans="1:7" s="383" customFormat="1" ht="15.75" customHeight="1">
      <c r="A7" s="387" t="str">
        <f>txtMunicipality</f>
        <v>ASSENEDE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10231.808337359333</v>
      </c>
      <c r="D10" s="676">
        <f ca="1">tertiair!C16</f>
        <v>0</v>
      </c>
      <c r="E10" s="676">
        <f ca="1">tertiair!D16</f>
        <v>9230.9846730639492</v>
      </c>
      <c r="F10" s="676">
        <f>tertiair!E16</f>
        <v>128.55783969418371</v>
      </c>
      <c r="G10" s="676">
        <f ca="1">tertiair!F16</f>
        <v>1860.8671401218414</v>
      </c>
      <c r="H10" s="676">
        <f>tertiair!G16</f>
        <v>0</v>
      </c>
      <c r="I10" s="676">
        <f>tertiair!H16</f>
        <v>0</v>
      </c>
      <c r="J10" s="676">
        <f>tertiair!I16</f>
        <v>0</v>
      </c>
      <c r="K10" s="676">
        <f>tertiair!J16</f>
        <v>0</v>
      </c>
      <c r="L10" s="676">
        <f>tertiair!K16</f>
        <v>0</v>
      </c>
      <c r="M10" s="676">
        <f ca="1">tertiair!L16</f>
        <v>0</v>
      </c>
      <c r="N10" s="676">
        <f>tertiair!M16</f>
        <v>0</v>
      </c>
      <c r="O10" s="676">
        <f ca="1">tertiair!N16</f>
        <v>992.27726504999691</v>
      </c>
      <c r="P10" s="676">
        <f>tertiair!O16</f>
        <v>3.1266666666666669</v>
      </c>
      <c r="Q10" s="677">
        <f>tertiair!P16</f>
        <v>19.066666666666666</v>
      </c>
      <c r="R10" s="679">
        <f ca="1">SUM(C10:Q10)</f>
        <v>22466.688588622637</v>
      </c>
      <c r="S10" s="67"/>
    </row>
    <row r="11" spans="1:19" s="444" customFormat="1">
      <c r="A11" s="791" t="s">
        <v>214</v>
      </c>
      <c r="B11" s="796"/>
      <c r="C11" s="676">
        <f>huishoudens!B8</f>
        <v>28376.378749038293</v>
      </c>
      <c r="D11" s="676">
        <f>huishoudens!C8</f>
        <v>0</v>
      </c>
      <c r="E11" s="676">
        <f>huishoudens!D8</f>
        <v>39079.804551276633</v>
      </c>
      <c r="F11" s="676">
        <f>huishoudens!E8</f>
        <v>1999.6602080451348</v>
      </c>
      <c r="G11" s="676">
        <f>huishoudens!F8</f>
        <v>61280.532428089187</v>
      </c>
      <c r="H11" s="676">
        <f>huishoudens!G8</f>
        <v>0</v>
      </c>
      <c r="I11" s="676">
        <f>huishoudens!H8</f>
        <v>0</v>
      </c>
      <c r="J11" s="676">
        <f>huishoudens!I8</f>
        <v>0</v>
      </c>
      <c r="K11" s="676">
        <f>huishoudens!J8</f>
        <v>1160.531263961411</v>
      </c>
      <c r="L11" s="676">
        <f>huishoudens!K8</f>
        <v>0</v>
      </c>
      <c r="M11" s="676">
        <f>huishoudens!L8</f>
        <v>0</v>
      </c>
      <c r="N11" s="676">
        <f>huishoudens!M8</f>
        <v>0</v>
      </c>
      <c r="O11" s="676">
        <f>huishoudens!N8</f>
        <v>9691.1125889405266</v>
      </c>
      <c r="P11" s="676">
        <f>huishoudens!O8</f>
        <v>228.2466666666667</v>
      </c>
      <c r="Q11" s="677">
        <f>huishoudens!P8</f>
        <v>381.33333333333337</v>
      </c>
      <c r="R11" s="679">
        <f>SUM(C11:Q11)</f>
        <v>142197.5997893512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4029.9721602026766</v>
      </c>
      <c r="D13" s="676">
        <f>industrie!C18</f>
        <v>0</v>
      </c>
      <c r="E13" s="676">
        <f>industrie!D18</f>
        <v>5222.81341112471</v>
      </c>
      <c r="F13" s="676">
        <f>industrie!E18</f>
        <v>305.58745375073147</v>
      </c>
      <c r="G13" s="676">
        <f>industrie!F18</f>
        <v>1619.6012176797353</v>
      </c>
      <c r="H13" s="676">
        <f>industrie!G18</f>
        <v>0</v>
      </c>
      <c r="I13" s="676">
        <f>industrie!H18</f>
        <v>0</v>
      </c>
      <c r="J13" s="676">
        <f>industrie!I18</f>
        <v>0</v>
      </c>
      <c r="K13" s="676">
        <f>industrie!J18</f>
        <v>2.1439441465516791</v>
      </c>
      <c r="L13" s="676">
        <f>industrie!K18</f>
        <v>0</v>
      </c>
      <c r="M13" s="676">
        <f>industrie!L18</f>
        <v>0</v>
      </c>
      <c r="N13" s="676">
        <f>industrie!M18</f>
        <v>0</v>
      </c>
      <c r="O13" s="676">
        <f>industrie!N18</f>
        <v>235.38717655854717</v>
      </c>
      <c r="P13" s="676">
        <f>industrie!O18</f>
        <v>0</v>
      </c>
      <c r="Q13" s="677">
        <f>industrie!P18</f>
        <v>0</v>
      </c>
      <c r="R13" s="679">
        <f>SUM(C13:Q13)</f>
        <v>11415.505363462951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42638.159246600299</v>
      </c>
      <c r="D16" s="711">
        <f t="shared" ref="D16:R16" ca="1" si="0">SUM(D9:D15)</f>
        <v>0</v>
      </c>
      <c r="E16" s="711">
        <f t="shared" ca="1" si="0"/>
        <v>53533.602635465293</v>
      </c>
      <c r="F16" s="711">
        <f t="shared" si="0"/>
        <v>2433.8055014900501</v>
      </c>
      <c r="G16" s="711">
        <f t="shared" ca="1" si="0"/>
        <v>64761.000785890763</v>
      </c>
      <c r="H16" s="711">
        <f t="shared" si="0"/>
        <v>0</v>
      </c>
      <c r="I16" s="711">
        <f t="shared" si="0"/>
        <v>0</v>
      </c>
      <c r="J16" s="711">
        <f t="shared" si="0"/>
        <v>0</v>
      </c>
      <c r="K16" s="711">
        <f t="shared" si="0"/>
        <v>1162.6752081079626</v>
      </c>
      <c r="L16" s="711">
        <f t="shared" si="0"/>
        <v>0</v>
      </c>
      <c r="M16" s="711">
        <f t="shared" ca="1" si="0"/>
        <v>0</v>
      </c>
      <c r="N16" s="711">
        <f t="shared" si="0"/>
        <v>0</v>
      </c>
      <c r="O16" s="711">
        <f t="shared" ca="1" si="0"/>
        <v>10918.77703054907</v>
      </c>
      <c r="P16" s="711">
        <f t="shared" si="0"/>
        <v>231.37333333333336</v>
      </c>
      <c r="Q16" s="711">
        <f t="shared" si="0"/>
        <v>400.40000000000003</v>
      </c>
      <c r="R16" s="711">
        <f t="shared" ca="1" si="0"/>
        <v>176079.79374143679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7.5587080403362661</v>
      </c>
      <c r="D19" s="676">
        <f>transport!C54</f>
        <v>0</v>
      </c>
      <c r="E19" s="676">
        <f>transport!D54</f>
        <v>0</v>
      </c>
      <c r="F19" s="676">
        <f>transport!E54</f>
        <v>0</v>
      </c>
      <c r="G19" s="676">
        <f>transport!F54</f>
        <v>0</v>
      </c>
      <c r="H19" s="676">
        <f>transport!G54</f>
        <v>1471.2597142881639</v>
      </c>
      <c r="I19" s="676">
        <f>transport!H54</f>
        <v>0</v>
      </c>
      <c r="J19" s="676">
        <f>transport!I54</f>
        <v>0</v>
      </c>
      <c r="K19" s="676">
        <f>transport!J54</f>
        <v>0</v>
      </c>
      <c r="L19" s="676">
        <f>transport!K54</f>
        <v>0</v>
      </c>
      <c r="M19" s="676">
        <f>transport!L54</f>
        <v>0</v>
      </c>
      <c r="N19" s="676">
        <f>transport!M54</f>
        <v>65.972521814632657</v>
      </c>
      <c r="O19" s="676">
        <f>transport!N54</f>
        <v>0</v>
      </c>
      <c r="P19" s="676">
        <f>transport!O54</f>
        <v>0</v>
      </c>
      <c r="Q19" s="677">
        <f>transport!P54</f>
        <v>0</v>
      </c>
      <c r="R19" s="679">
        <f>SUM(C19:Q19)</f>
        <v>1544.7909441431329</v>
      </c>
      <c r="S19" s="67"/>
    </row>
    <row r="20" spans="1:19" s="444" customFormat="1">
      <c r="A20" s="791" t="s">
        <v>296</v>
      </c>
      <c r="B20" s="796"/>
      <c r="C20" s="676">
        <f>transport!B14</f>
        <v>9.5148343122675847</v>
      </c>
      <c r="D20" s="676">
        <f>transport!C14</f>
        <v>0</v>
      </c>
      <c r="E20" s="676">
        <f>transport!D14</f>
        <v>9.5373027996160324</v>
      </c>
      <c r="F20" s="676">
        <f>transport!E14</f>
        <v>337.50955916084735</v>
      </c>
      <c r="G20" s="676">
        <f>transport!F14</f>
        <v>0</v>
      </c>
      <c r="H20" s="676">
        <f>transport!G14</f>
        <v>92434.854812644015</v>
      </c>
      <c r="I20" s="676">
        <f>transport!H14</f>
        <v>16266.045909188761</v>
      </c>
      <c r="J20" s="676">
        <f>transport!I14</f>
        <v>0</v>
      </c>
      <c r="K20" s="676">
        <f>transport!J14</f>
        <v>0</v>
      </c>
      <c r="L20" s="676">
        <f>transport!K14</f>
        <v>0</v>
      </c>
      <c r="M20" s="676">
        <f>transport!L14</f>
        <v>0</v>
      </c>
      <c r="N20" s="676">
        <f>transport!M14</f>
        <v>4915.0103905480291</v>
      </c>
      <c r="O20" s="676">
        <f>transport!N14</f>
        <v>0</v>
      </c>
      <c r="P20" s="676">
        <f>transport!O14</f>
        <v>0</v>
      </c>
      <c r="Q20" s="677">
        <f>transport!P14</f>
        <v>0</v>
      </c>
      <c r="R20" s="679">
        <f>SUM(C20:Q20)</f>
        <v>113972.47280865355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17.073542352603852</v>
      </c>
      <c r="D22" s="794">
        <f t="shared" ref="D22:R22" si="1">SUM(D18:D21)</f>
        <v>0</v>
      </c>
      <c r="E22" s="794">
        <f t="shared" si="1"/>
        <v>9.5373027996160324</v>
      </c>
      <c r="F22" s="794">
        <f t="shared" si="1"/>
        <v>337.50955916084735</v>
      </c>
      <c r="G22" s="794">
        <f t="shared" si="1"/>
        <v>0</v>
      </c>
      <c r="H22" s="794">
        <f t="shared" si="1"/>
        <v>93906.114526932171</v>
      </c>
      <c r="I22" s="794">
        <f t="shared" si="1"/>
        <v>16266.045909188761</v>
      </c>
      <c r="J22" s="794">
        <f t="shared" si="1"/>
        <v>0</v>
      </c>
      <c r="K22" s="794">
        <f t="shared" si="1"/>
        <v>0</v>
      </c>
      <c r="L22" s="794">
        <f t="shared" si="1"/>
        <v>0</v>
      </c>
      <c r="M22" s="794">
        <f t="shared" si="1"/>
        <v>0</v>
      </c>
      <c r="N22" s="794">
        <f t="shared" si="1"/>
        <v>4980.9829123626614</v>
      </c>
      <c r="O22" s="794">
        <f t="shared" si="1"/>
        <v>0</v>
      </c>
      <c r="P22" s="794">
        <f t="shared" si="1"/>
        <v>0</v>
      </c>
      <c r="Q22" s="794">
        <f t="shared" si="1"/>
        <v>0</v>
      </c>
      <c r="R22" s="794">
        <f t="shared" si="1"/>
        <v>115517.26375279669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6690.239163592646</v>
      </c>
      <c r="D24" s="676">
        <f>+landbouw!C8</f>
        <v>9119.5178571428569</v>
      </c>
      <c r="E24" s="676">
        <f>+landbouw!D8</f>
        <v>3504.6883501859302</v>
      </c>
      <c r="F24" s="676">
        <f>+landbouw!E8</f>
        <v>84.30563224168543</v>
      </c>
      <c r="G24" s="676">
        <f>+landbouw!F8</f>
        <v>23083.001119450517</v>
      </c>
      <c r="H24" s="676">
        <f>+landbouw!G8</f>
        <v>0</v>
      </c>
      <c r="I24" s="676">
        <f>+landbouw!H8</f>
        <v>0</v>
      </c>
      <c r="J24" s="676">
        <f>+landbouw!I8</f>
        <v>0</v>
      </c>
      <c r="K24" s="676">
        <f>+landbouw!J8</f>
        <v>1006.1359182496453</v>
      </c>
      <c r="L24" s="676">
        <f>+landbouw!K8</f>
        <v>0</v>
      </c>
      <c r="M24" s="676">
        <f>+landbouw!L8</f>
        <v>0</v>
      </c>
      <c r="N24" s="676">
        <f>+landbouw!M8</f>
        <v>0</v>
      </c>
      <c r="O24" s="676">
        <f>+landbouw!N8</f>
        <v>0</v>
      </c>
      <c r="P24" s="676">
        <f>+landbouw!O8</f>
        <v>0</v>
      </c>
      <c r="Q24" s="677">
        <f>+landbouw!P8</f>
        <v>0</v>
      </c>
      <c r="R24" s="679">
        <f>SUM(C24:Q24)</f>
        <v>43487.888040863276</v>
      </c>
      <c r="S24" s="67"/>
    </row>
    <row r="25" spans="1:19" s="444" customFormat="1" ht="15" thickBot="1">
      <c r="A25" s="813" t="s">
        <v>833</v>
      </c>
      <c r="B25" s="977"/>
      <c r="C25" s="978">
        <f>IF(Onbekend_ele_kWh="---",0,Onbekend_ele_kWh)/1000+IF(REST_rest_ele_kWh="---",0,REST_rest_ele_kWh)/1000</f>
        <v>845.53178309638599</v>
      </c>
      <c r="D25" s="978"/>
      <c r="E25" s="978">
        <f>IF(onbekend_gas_kWh="---",0,onbekend_gas_kWh)/1000+IF(REST_rest_gas_kWh="---",0,REST_rest_gas_kWh)/1000</f>
        <v>1938.63622023433</v>
      </c>
      <c r="F25" s="978"/>
      <c r="G25" s="978"/>
      <c r="H25" s="978"/>
      <c r="I25" s="978"/>
      <c r="J25" s="978"/>
      <c r="K25" s="978"/>
      <c r="L25" s="978"/>
      <c r="M25" s="978"/>
      <c r="N25" s="978"/>
      <c r="O25" s="978"/>
      <c r="P25" s="978"/>
      <c r="Q25" s="979"/>
      <c r="R25" s="679">
        <f>SUM(C25:Q25)</f>
        <v>2784.1680033307161</v>
      </c>
      <c r="S25" s="67"/>
    </row>
    <row r="26" spans="1:19" s="444" customFormat="1" ht="15.75" thickBot="1">
      <c r="A26" s="684" t="s">
        <v>834</v>
      </c>
      <c r="B26" s="799"/>
      <c r="C26" s="794">
        <f>SUM(C24:C25)</f>
        <v>7535.7709466890319</v>
      </c>
      <c r="D26" s="794">
        <f t="shared" ref="D26:R26" si="2">SUM(D24:D25)</f>
        <v>9119.5178571428569</v>
      </c>
      <c r="E26" s="794">
        <f t="shared" si="2"/>
        <v>5443.32457042026</v>
      </c>
      <c r="F26" s="794">
        <f t="shared" si="2"/>
        <v>84.30563224168543</v>
      </c>
      <c r="G26" s="794">
        <f t="shared" si="2"/>
        <v>23083.001119450517</v>
      </c>
      <c r="H26" s="794">
        <f t="shared" si="2"/>
        <v>0</v>
      </c>
      <c r="I26" s="794">
        <f t="shared" si="2"/>
        <v>0</v>
      </c>
      <c r="J26" s="794">
        <f t="shared" si="2"/>
        <v>0</v>
      </c>
      <c r="K26" s="794">
        <f t="shared" si="2"/>
        <v>1006.1359182496453</v>
      </c>
      <c r="L26" s="794">
        <f t="shared" si="2"/>
        <v>0</v>
      </c>
      <c r="M26" s="794">
        <f t="shared" si="2"/>
        <v>0</v>
      </c>
      <c r="N26" s="794">
        <f t="shared" si="2"/>
        <v>0</v>
      </c>
      <c r="O26" s="794">
        <f t="shared" si="2"/>
        <v>0</v>
      </c>
      <c r="P26" s="794">
        <f t="shared" si="2"/>
        <v>0</v>
      </c>
      <c r="Q26" s="794">
        <f t="shared" si="2"/>
        <v>0</v>
      </c>
      <c r="R26" s="794">
        <f t="shared" si="2"/>
        <v>46272.056044193989</v>
      </c>
      <c r="S26" s="67"/>
    </row>
    <row r="27" spans="1:19" s="444" customFormat="1" ht="17.25" thickTop="1" thickBot="1">
      <c r="A27" s="685" t="s">
        <v>109</v>
      </c>
      <c r="B27" s="786"/>
      <c r="C27" s="686">
        <f ca="1">C22+C16+C26</f>
        <v>50191.003735641934</v>
      </c>
      <c r="D27" s="686">
        <f t="shared" ref="D27:R27" ca="1" si="3">D22+D16+D26</f>
        <v>9119.5178571428569</v>
      </c>
      <c r="E27" s="686">
        <f t="shared" ca="1" si="3"/>
        <v>58986.464508685167</v>
      </c>
      <c r="F27" s="686">
        <f t="shared" si="3"/>
        <v>2855.6206928925831</v>
      </c>
      <c r="G27" s="686">
        <f t="shared" ca="1" si="3"/>
        <v>87844.001905341283</v>
      </c>
      <c r="H27" s="686">
        <f t="shared" si="3"/>
        <v>93906.114526932171</v>
      </c>
      <c r="I27" s="686">
        <f t="shared" si="3"/>
        <v>16266.045909188761</v>
      </c>
      <c r="J27" s="686">
        <f t="shared" si="3"/>
        <v>0</v>
      </c>
      <c r="K27" s="686">
        <f t="shared" si="3"/>
        <v>2168.8111263576079</v>
      </c>
      <c r="L27" s="686">
        <f t="shared" si="3"/>
        <v>0</v>
      </c>
      <c r="M27" s="686">
        <f t="shared" ca="1" si="3"/>
        <v>0</v>
      </c>
      <c r="N27" s="686">
        <f t="shared" si="3"/>
        <v>4980.9829123626614</v>
      </c>
      <c r="O27" s="686">
        <f t="shared" ca="1" si="3"/>
        <v>10918.77703054907</v>
      </c>
      <c r="P27" s="686">
        <f t="shared" si="3"/>
        <v>231.37333333333336</v>
      </c>
      <c r="Q27" s="686">
        <f t="shared" si="3"/>
        <v>400.40000000000003</v>
      </c>
      <c r="R27" s="686">
        <f t="shared" ca="1" si="3"/>
        <v>337869.11353842745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2067.9536629725271</v>
      </c>
      <c r="D40" s="676">
        <f ca="1">tertiair!C20</f>
        <v>0</v>
      </c>
      <c r="E40" s="676">
        <f ca="1">tertiair!D20</f>
        <v>1864.6589039589178</v>
      </c>
      <c r="F40" s="676">
        <f>tertiair!E20</f>
        <v>29.182629610579703</v>
      </c>
      <c r="G40" s="676">
        <f ca="1">tertiair!F20</f>
        <v>496.85152641253171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4458.646722954556</v>
      </c>
    </row>
    <row r="41" spans="1:18">
      <c r="A41" s="804" t="s">
        <v>214</v>
      </c>
      <c r="B41" s="811"/>
      <c r="C41" s="676">
        <f ca="1">huishoudens!B12</f>
        <v>5735.1578959613462</v>
      </c>
      <c r="D41" s="676">
        <f ca="1">huishoudens!C12</f>
        <v>0</v>
      </c>
      <c r="E41" s="676">
        <f>huishoudens!D12</f>
        <v>7894.1205193578808</v>
      </c>
      <c r="F41" s="676">
        <f>huishoudens!E12</f>
        <v>453.92286722624561</v>
      </c>
      <c r="G41" s="676">
        <f>huishoudens!F12</f>
        <v>16361.902158299814</v>
      </c>
      <c r="H41" s="676">
        <f>huishoudens!G12</f>
        <v>0</v>
      </c>
      <c r="I41" s="676">
        <f>huishoudens!H12</f>
        <v>0</v>
      </c>
      <c r="J41" s="676">
        <f>huishoudens!I12</f>
        <v>0</v>
      </c>
      <c r="K41" s="676">
        <f>huishoudens!J12</f>
        <v>410.82806744233949</v>
      </c>
      <c r="L41" s="676">
        <f>huishoudens!K12</f>
        <v>0</v>
      </c>
      <c r="M41" s="676">
        <f>huishoudens!L12</f>
        <v>0</v>
      </c>
      <c r="N41" s="676">
        <f>huishoudens!M12</f>
        <v>0</v>
      </c>
      <c r="O41" s="676">
        <f>huishoudens!N12</f>
        <v>0</v>
      </c>
      <c r="P41" s="676">
        <f>huishoudens!O12</f>
        <v>0</v>
      </c>
      <c r="Q41" s="753">
        <f>huishoudens!P12</f>
        <v>0</v>
      </c>
      <c r="R41" s="832">
        <f t="shared" ca="1" si="4"/>
        <v>30855.931508287624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814.49880759975736</v>
      </c>
      <c r="D43" s="676">
        <f ca="1">industrie!C22</f>
        <v>0</v>
      </c>
      <c r="E43" s="676">
        <f>industrie!D22</f>
        <v>1055.0083090471915</v>
      </c>
      <c r="F43" s="676">
        <f>industrie!E22</f>
        <v>69.368352001416042</v>
      </c>
      <c r="G43" s="676">
        <f>industrie!F22</f>
        <v>432.43352512048938</v>
      </c>
      <c r="H43" s="676">
        <f>industrie!G22</f>
        <v>0</v>
      </c>
      <c r="I43" s="676">
        <f>industrie!H22</f>
        <v>0</v>
      </c>
      <c r="J43" s="676">
        <f>industrie!I22</f>
        <v>0</v>
      </c>
      <c r="K43" s="676">
        <f>industrie!J22</f>
        <v>0.7589562278792944</v>
      </c>
      <c r="L43" s="676">
        <f>industrie!K22</f>
        <v>0</v>
      </c>
      <c r="M43" s="676">
        <f>industrie!L22</f>
        <v>0</v>
      </c>
      <c r="N43" s="676">
        <f>industrie!M22</f>
        <v>0</v>
      </c>
      <c r="O43" s="676">
        <f>industrie!N22</f>
        <v>0</v>
      </c>
      <c r="P43" s="676">
        <f>industrie!O22</f>
        <v>0</v>
      </c>
      <c r="Q43" s="753">
        <f>industrie!P22</f>
        <v>0</v>
      </c>
      <c r="R43" s="831">
        <f t="shared" ca="1" si="4"/>
        <v>2372.0679499967337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8617.6103665336304</v>
      </c>
      <c r="D46" s="711">
        <f t="shared" ref="D46:Q46" ca="1" si="5">SUM(D39:D45)</f>
        <v>0</v>
      </c>
      <c r="E46" s="711">
        <f t="shared" ca="1" si="5"/>
        <v>10813.78773236399</v>
      </c>
      <c r="F46" s="711">
        <f t="shared" si="5"/>
        <v>552.47384883824134</v>
      </c>
      <c r="G46" s="711">
        <f t="shared" ca="1" si="5"/>
        <v>17291.187209832835</v>
      </c>
      <c r="H46" s="711">
        <f t="shared" si="5"/>
        <v>0</v>
      </c>
      <c r="I46" s="711">
        <f t="shared" si="5"/>
        <v>0</v>
      </c>
      <c r="J46" s="711">
        <f t="shared" si="5"/>
        <v>0</v>
      </c>
      <c r="K46" s="711">
        <f t="shared" si="5"/>
        <v>411.5870236702188</v>
      </c>
      <c r="L46" s="711">
        <f t="shared" si="5"/>
        <v>0</v>
      </c>
      <c r="M46" s="711">
        <f t="shared" ca="1" si="5"/>
        <v>0</v>
      </c>
      <c r="N46" s="711">
        <f t="shared" si="5"/>
        <v>0</v>
      </c>
      <c r="O46" s="711">
        <f t="shared" ca="1" si="5"/>
        <v>0</v>
      </c>
      <c r="P46" s="711">
        <f t="shared" si="5"/>
        <v>0</v>
      </c>
      <c r="Q46" s="711">
        <f t="shared" si="5"/>
        <v>0</v>
      </c>
      <c r="R46" s="711">
        <f ca="1">SUM(R39:R45)</f>
        <v>37686.646181238917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1.52769260955365</v>
      </c>
      <c r="D49" s="676">
        <f ca="1">transport!C58</f>
        <v>0</v>
      </c>
      <c r="E49" s="676">
        <f>transport!D58</f>
        <v>0</v>
      </c>
      <c r="F49" s="676">
        <f>transport!E58</f>
        <v>0</v>
      </c>
      <c r="G49" s="676">
        <f>transport!F58</f>
        <v>0</v>
      </c>
      <c r="H49" s="676">
        <f>transport!G58</f>
        <v>392.82634371493975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394.35403632449339</v>
      </c>
    </row>
    <row r="50" spans="1:18">
      <c r="A50" s="807" t="s">
        <v>296</v>
      </c>
      <c r="B50" s="817"/>
      <c r="C50" s="682">
        <f ca="1">transport!B18</f>
        <v>1.923045840957236</v>
      </c>
      <c r="D50" s="682">
        <f>transport!C18</f>
        <v>0</v>
      </c>
      <c r="E50" s="682">
        <f>transport!D18</f>
        <v>1.9265351655224388</v>
      </c>
      <c r="F50" s="682">
        <f>transport!E18</f>
        <v>76.614669929512345</v>
      </c>
      <c r="G50" s="682">
        <f>transport!F18</f>
        <v>0</v>
      </c>
      <c r="H50" s="682">
        <f>transport!G18</f>
        <v>24680.106234975952</v>
      </c>
      <c r="I50" s="682">
        <f>transport!H18</f>
        <v>4050.2454313880012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28810.815917299944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3.4507384505108858</v>
      </c>
      <c r="D52" s="711">
        <f t="shared" ref="D52:Q52" ca="1" si="6">SUM(D48:D51)</f>
        <v>0</v>
      </c>
      <c r="E52" s="711">
        <f t="shared" si="6"/>
        <v>1.9265351655224388</v>
      </c>
      <c r="F52" s="711">
        <f t="shared" si="6"/>
        <v>76.614669929512345</v>
      </c>
      <c r="G52" s="711">
        <f t="shared" si="6"/>
        <v>0</v>
      </c>
      <c r="H52" s="711">
        <f t="shared" si="6"/>
        <v>25072.932578690892</v>
      </c>
      <c r="I52" s="711">
        <f t="shared" si="6"/>
        <v>4050.2454313880012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29205.169953624438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1352.1661204303098</v>
      </c>
      <c r="D54" s="682">
        <f ca="1">+landbouw!C12</f>
        <v>2138.8235294117649</v>
      </c>
      <c r="E54" s="682">
        <f>+landbouw!D12</f>
        <v>707.94704673755791</v>
      </c>
      <c r="F54" s="682">
        <f>+landbouw!E12</f>
        <v>19.137378518862594</v>
      </c>
      <c r="G54" s="682">
        <f>+landbouw!F12</f>
        <v>6163.1612988932884</v>
      </c>
      <c r="H54" s="682">
        <f>+landbouw!G12</f>
        <v>0</v>
      </c>
      <c r="I54" s="682">
        <f>+landbouw!H12</f>
        <v>0</v>
      </c>
      <c r="J54" s="682">
        <f>+landbouw!I12</f>
        <v>0</v>
      </c>
      <c r="K54" s="682">
        <f>+landbouw!J12</f>
        <v>356.17211506037444</v>
      </c>
      <c r="L54" s="682">
        <f>+landbouw!K12</f>
        <v>0</v>
      </c>
      <c r="M54" s="682">
        <f>+landbouw!L12</f>
        <v>0</v>
      </c>
      <c r="N54" s="682">
        <f>+landbouw!M12</f>
        <v>0</v>
      </c>
      <c r="O54" s="682">
        <f>+landbouw!N12</f>
        <v>0</v>
      </c>
      <c r="P54" s="682">
        <f>+landbouw!O12</f>
        <v>0</v>
      </c>
      <c r="Q54" s="683">
        <f>+landbouw!P12</f>
        <v>0</v>
      </c>
      <c r="R54" s="710">
        <f ca="1">SUM(C54:Q54)</f>
        <v>10737.407489052159</v>
      </c>
    </row>
    <row r="55" spans="1:18" ht="15" thickBot="1">
      <c r="A55" s="807" t="s">
        <v>833</v>
      </c>
      <c r="B55" s="817"/>
      <c r="C55" s="682">
        <f ca="1">C25*'EF ele_warmte'!B12</f>
        <v>170.89066667027981</v>
      </c>
      <c r="D55" s="682"/>
      <c r="E55" s="682">
        <f>E25*EF_CO2_aardgas</f>
        <v>391.60451648733471</v>
      </c>
      <c r="F55" s="682"/>
      <c r="G55" s="682"/>
      <c r="H55" s="682"/>
      <c r="I55" s="682"/>
      <c r="J55" s="682"/>
      <c r="K55" s="682"/>
      <c r="L55" s="682"/>
      <c r="M55" s="682"/>
      <c r="N55" s="682"/>
      <c r="O55" s="682"/>
      <c r="P55" s="682"/>
      <c r="Q55" s="683"/>
      <c r="R55" s="710">
        <f ca="1">SUM(C55:Q55)</f>
        <v>562.49518315761452</v>
      </c>
    </row>
    <row r="56" spans="1:18" ht="15.75" thickBot="1">
      <c r="A56" s="805" t="s">
        <v>834</v>
      </c>
      <c r="B56" s="818"/>
      <c r="C56" s="711">
        <f ca="1">SUM(C54:C55)</f>
        <v>1523.0567871005896</v>
      </c>
      <c r="D56" s="711">
        <f t="shared" ref="D56:Q56" ca="1" si="7">SUM(D54:D55)</f>
        <v>2138.8235294117649</v>
      </c>
      <c r="E56" s="711">
        <f t="shared" si="7"/>
        <v>1099.5515632248926</v>
      </c>
      <c r="F56" s="711">
        <f t="shared" si="7"/>
        <v>19.137378518862594</v>
      </c>
      <c r="G56" s="711">
        <f t="shared" si="7"/>
        <v>6163.1612988932884</v>
      </c>
      <c r="H56" s="711">
        <f t="shared" si="7"/>
        <v>0</v>
      </c>
      <c r="I56" s="711">
        <f t="shared" si="7"/>
        <v>0</v>
      </c>
      <c r="J56" s="711">
        <f t="shared" si="7"/>
        <v>0</v>
      </c>
      <c r="K56" s="711">
        <f t="shared" si="7"/>
        <v>356.17211506037444</v>
      </c>
      <c r="L56" s="711">
        <f t="shared" si="7"/>
        <v>0</v>
      </c>
      <c r="M56" s="711">
        <f t="shared" si="7"/>
        <v>0</v>
      </c>
      <c r="N56" s="711">
        <f t="shared" si="7"/>
        <v>0</v>
      </c>
      <c r="O56" s="711">
        <f t="shared" si="7"/>
        <v>0</v>
      </c>
      <c r="P56" s="711">
        <f t="shared" si="7"/>
        <v>0</v>
      </c>
      <c r="Q56" s="712">
        <f t="shared" si="7"/>
        <v>0</v>
      </c>
      <c r="R56" s="713">
        <f ca="1">SUM(R54:R55)</f>
        <v>11299.902672209773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10144.117892084731</v>
      </c>
      <c r="D61" s="719">
        <f t="shared" ref="D61:Q61" ca="1" si="8">D46+D52+D56</f>
        <v>2138.8235294117649</v>
      </c>
      <c r="E61" s="719">
        <f t="shared" ca="1" si="8"/>
        <v>11915.265830754404</v>
      </c>
      <c r="F61" s="719">
        <f t="shared" si="8"/>
        <v>648.22589728661637</v>
      </c>
      <c r="G61" s="719">
        <f t="shared" ca="1" si="8"/>
        <v>23454.348508726122</v>
      </c>
      <c r="H61" s="719">
        <f t="shared" si="8"/>
        <v>25072.932578690892</v>
      </c>
      <c r="I61" s="719">
        <f t="shared" si="8"/>
        <v>4050.2454313880012</v>
      </c>
      <c r="J61" s="719">
        <f t="shared" si="8"/>
        <v>0</v>
      </c>
      <c r="K61" s="719">
        <f t="shared" si="8"/>
        <v>767.75913873059324</v>
      </c>
      <c r="L61" s="719">
        <f t="shared" si="8"/>
        <v>0</v>
      </c>
      <c r="M61" s="719">
        <f t="shared" ca="1" si="8"/>
        <v>0</v>
      </c>
      <c r="N61" s="719">
        <f t="shared" si="8"/>
        <v>0</v>
      </c>
      <c r="O61" s="719">
        <f t="shared" ca="1" si="8"/>
        <v>0</v>
      </c>
      <c r="P61" s="719">
        <f t="shared" si="8"/>
        <v>0</v>
      </c>
      <c r="Q61" s="719">
        <f t="shared" si="8"/>
        <v>0</v>
      </c>
      <c r="R61" s="719">
        <f ca="1">R46+R52+R56</f>
        <v>78191.718807073135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0.20211028146626064</v>
      </c>
      <c r="D63" s="762">
        <f t="shared" ca="1" si="9"/>
        <v>0.23453252276232264</v>
      </c>
      <c r="E63" s="984">
        <f t="shared" ca="1" si="9"/>
        <v>0.20200000000000001</v>
      </c>
      <c r="F63" s="762">
        <f t="shared" si="9"/>
        <v>0.22700000000000001</v>
      </c>
      <c r="G63" s="762">
        <f t="shared" ca="1" si="9"/>
        <v>0.26699999999999996</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4680.9094641645806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83.662499999999994</v>
      </c>
      <c r="C76" s="729">
        <f>'lokale energieproductie'!B8*IFERROR(SUM(D76:H76)/SUM(D76:O76),0)</f>
        <v>6299.9999999999991</v>
      </c>
      <c r="D76" s="994">
        <f>'lokale energieproductie'!C8</f>
        <v>7411.7647058823522</v>
      </c>
      <c r="E76" s="995">
        <f>'lokale energieproductie'!D8</f>
        <v>0</v>
      </c>
      <c r="F76" s="995">
        <f>'lokale energieproductie'!E8</f>
        <v>0</v>
      </c>
      <c r="G76" s="995">
        <f>'lokale energieproductie'!F8</f>
        <v>0</v>
      </c>
      <c r="H76" s="995">
        <f>'lokale energieproductie'!G8</f>
        <v>0</v>
      </c>
      <c r="I76" s="995">
        <f>'lokale energieproductie'!I8</f>
        <v>0</v>
      </c>
      <c r="J76" s="995">
        <f>'lokale energieproductie'!J8</f>
        <v>98.42647058823529</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1497.1764705882354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4764.571964164581</v>
      </c>
      <c r="C78" s="734">
        <f>SUM(C72:C77)</f>
        <v>6299.9999999999991</v>
      </c>
      <c r="D78" s="735">
        <f t="shared" ref="D78:H78" si="10">SUM(D76:D77)</f>
        <v>7411.7647058823522</v>
      </c>
      <c r="E78" s="735">
        <f t="shared" si="10"/>
        <v>0</v>
      </c>
      <c r="F78" s="735">
        <f t="shared" si="10"/>
        <v>0</v>
      </c>
      <c r="G78" s="735">
        <f t="shared" si="10"/>
        <v>0</v>
      </c>
      <c r="H78" s="735">
        <f t="shared" si="10"/>
        <v>0</v>
      </c>
      <c r="I78" s="735">
        <f>SUM(I76:I77)</f>
        <v>0</v>
      </c>
      <c r="J78" s="735">
        <f>SUM(J76:J77)</f>
        <v>98.42647058823529</v>
      </c>
      <c r="K78" s="735">
        <f t="shared" ref="K78:L78" si="11">SUM(K76:K77)</f>
        <v>0</v>
      </c>
      <c r="L78" s="735">
        <f t="shared" si="11"/>
        <v>0</v>
      </c>
      <c r="M78" s="735">
        <f>SUM(M76:M77)</f>
        <v>0</v>
      </c>
      <c r="N78" s="735">
        <f>SUM(N76:N77)</f>
        <v>0</v>
      </c>
      <c r="O78" s="842">
        <f>SUM(O76:O77)</f>
        <v>0</v>
      </c>
      <c r="P78" s="736">
        <v>0</v>
      </c>
      <c r="Q78" s="736">
        <f>SUM(Q76:Q77)</f>
        <v>1497.1764705882354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119.51785714285715</v>
      </c>
      <c r="C87" s="745">
        <f>'lokale energieproductie'!B17*IFERROR(SUM(D87:H87)/SUM(D87:O87),0)</f>
        <v>9000</v>
      </c>
      <c r="D87" s="756">
        <f>'lokale energieproductie'!C17</f>
        <v>10588.235294117647</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140.609243697479</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2138.8235294117649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119.51785714285715</v>
      </c>
      <c r="C90" s="734">
        <f>SUM(C87:C89)</f>
        <v>9000</v>
      </c>
      <c r="D90" s="734">
        <f t="shared" ref="D90:H90" si="12">SUM(D87:D89)</f>
        <v>10588.235294117647</v>
      </c>
      <c r="E90" s="734">
        <f t="shared" si="12"/>
        <v>0</v>
      </c>
      <c r="F90" s="734">
        <f t="shared" si="12"/>
        <v>0</v>
      </c>
      <c r="G90" s="734">
        <f t="shared" si="12"/>
        <v>0</v>
      </c>
      <c r="H90" s="734">
        <f t="shared" si="12"/>
        <v>0</v>
      </c>
      <c r="I90" s="734">
        <f>SUM(I87:I89)</f>
        <v>0</v>
      </c>
      <c r="J90" s="734">
        <f>SUM(J87:J89)</f>
        <v>140.609243697479</v>
      </c>
      <c r="K90" s="734">
        <f t="shared" ref="K90:L90" si="13">SUM(K87:K89)</f>
        <v>0</v>
      </c>
      <c r="L90" s="734">
        <f t="shared" si="13"/>
        <v>0</v>
      </c>
      <c r="M90" s="734">
        <f>SUM(M87:M89)</f>
        <v>0</v>
      </c>
      <c r="N90" s="734">
        <f>SUM(N87:N89)</f>
        <v>0</v>
      </c>
      <c r="O90" s="734">
        <f>SUM(O87:O89)</f>
        <v>0</v>
      </c>
      <c r="P90" s="734">
        <v>0</v>
      </c>
      <c r="Q90" s="734">
        <f>SUM(Q87:Q89)</f>
        <v>2138.8235294117649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28376.378749038293</v>
      </c>
      <c r="C4" s="448">
        <f>huishoudens!C8</f>
        <v>0</v>
      </c>
      <c r="D4" s="448">
        <f>huishoudens!D8</f>
        <v>39079.804551276633</v>
      </c>
      <c r="E4" s="448">
        <f>huishoudens!E8</f>
        <v>1999.6602080451348</v>
      </c>
      <c r="F4" s="448">
        <f>huishoudens!F8</f>
        <v>61280.532428089187</v>
      </c>
      <c r="G4" s="448">
        <f>huishoudens!G8</f>
        <v>0</v>
      </c>
      <c r="H4" s="448">
        <f>huishoudens!H8</f>
        <v>0</v>
      </c>
      <c r="I4" s="448">
        <f>huishoudens!I8</f>
        <v>0</v>
      </c>
      <c r="J4" s="448">
        <f>huishoudens!J8</f>
        <v>1160.531263961411</v>
      </c>
      <c r="K4" s="448">
        <f>huishoudens!K8</f>
        <v>0</v>
      </c>
      <c r="L4" s="448">
        <f>huishoudens!L8</f>
        <v>0</v>
      </c>
      <c r="M4" s="448">
        <f>huishoudens!M8</f>
        <v>0</v>
      </c>
      <c r="N4" s="448">
        <f>huishoudens!N8</f>
        <v>9691.1125889405266</v>
      </c>
      <c r="O4" s="448">
        <f>huishoudens!O8</f>
        <v>228.2466666666667</v>
      </c>
      <c r="P4" s="449">
        <f>huishoudens!P8</f>
        <v>381.33333333333337</v>
      </c>
      <c r="Q4" s="450">
        <f>SUM(B4:P4)</f>
        <v>142197.5997893512</v>
      </c>
    </row>
    <row r="5" spans="1:17">
      <c r="A5" s="447" t="s">
        <v>149</v>
      </c>
      <c r="B5" s="448">
        <f ca="1">tertiair!B16</f>
        <v>9160.917337359333</v>
      </c>
      <c r="C5" s="448">
        <f ca="1">tertiair!C16</f>
        <v>0</v>
      </c>
      <c r="D5" s="448">
        <f ca="1">tertiair!D16</f>
        <v>9230.9846730639492</v>
      </c>
      <c r="E5" s="448">
        <f>tertiair!E16</f>
        <v>128.55783969418371</v>
      </c>
      <c r="F5" s="448">
        <f ca="1">tertiair!F16</f>
        <v>1860.8671401218414</v>
      </c>
      <c r="G5" s="448">
        <f>tertiair!G16</f>
        <v>0</v>
      </c>
      <c r="H5" s="448">
        <f>tertiair!H16</f>
        <v>0</v>
      </c>
      <c r="I5" s="448">
        <f>tertiair!I16</f>
        <v>0</v>
      </c>
      <c r="J5" s="448">
        <f>tertiair!J16</f>
        <v>0</v>
      </c>
      <c r="K5" s="448">
        <f>tertiair!K16</f>
        <v>0</v>
      </c>
      <c r="L5" s="448">
        <f ca="1">tertiair!L16</f>
        <v>0</v>
      </c>
      <c r="M5" s="448">
        <f>tertiair!M16</f>
        <v>0</v>
      </c>
      <c r="N5" s="448">
        <f ca="1">tertiair!N16</f>
        <v>992.27726504999691</v>
      </c>
      <c r="O5" s="448">
        <f>tertiair!O16</f>
        <v>3.1266666666666669</v>
      </c>
      <c r="P5" s="449">
        <f>tertiair!P16</f>
        <v>19.066666666666666</v>
      </c>
      <c r="Q5" s="447">
        <f t="shared" ref="Q5:Q14" ca="1" si="0">SUM(B5:P5)</f>
        <v>21395.797588622641</v>
      </c>
    </row>
    <row r="6" spans="1:17">
      <c r="A6" s="447" t="s">
        <v>187</v>
      </c>
      <c r="B6" s="448">
        <f>'openbare verlichting'!B8</f>
        <v>1070.8910000000001</v>
      </c>
      <c r="C6" s="448"/>
      <c r="D6" s="448"/>
      <c r="E6" s="448"/>
      <c r="F6" s="448"/>
      <c r="G6" s="448"/>
      <c r="H6" s="448"/>
      <c r="I6" s="448"/>
      <c r="J6" s="448"/>
      <c r="K6" s="448"/>
      <c r="L6" s="448"/>
      <c r="M6" s="448"/>
      <c r="N6" s="448"/>
      <c r="O6" s="448"/>
      <c r="P6" s="449"/>
      <c r="Q6" s="447">
        <f t="shared" si="0"/>
        <v>1070.8910000000001</v>
      </c>
    </row>
    <row r="7" spans="1:17">
      <c r="A7" s="447" t="s">
        <v>105</v>
      </c>
      <c r="B7" s="448">
        <f>landbouw!B8</f>
        <v>6690.239163592646</v>
      </c>
      <c r="C7" s="448">
        <f>landbouw!C8</f>
        <v>9119.5178571428569</v>
      </c>
      <c r="D7" s="448">
        <f>landbouw!D8</f>
        <v>3504.6883501859302</v>
      </c>
      <c r="E7" s="448">
        <f>landbouw!E8</f>
        <v>84.30563224168543</v>
      </c>
      <c r="F7" s="448">
        <f>landbouw!F8</f>
        <v>23083.001119450517</v>
      </c>
      <c r="G7" s="448">
        <f>landbouw!G8</f>
        <v>0</v>
      </c>
      <c r="H7" s="448">
        <f>landbouw!H8</f>
        <v>0</v>
      </c>
      <c r="I7" s="448">
        <f>landbouw!I8</f>
        <v>0</v>
      </c>
      <c r="J7" s="448">
        <f>landbouw!J8</f>
        <v>1006.1359182496453</v>
      </c>
      <c r="K7" s="448">
        <f>landbouw!K8</f>
        <v>0</v>
      </c>
      <c r="L7" s="448">
        <f>landbouw!L8</f>
        <v>0</v>
      </c>
      <c r="M7" s="448">
        <f>landbouw!M8</f>
        <v>0</v>
      </c>
      <c r="N7" s="448">
        <f>landbouw!N8</f>
        <v>0</v>
      </c>
      <c r="O7" s="448">
        <f>landbouw!O8</f>
        <v>0</v>
      </c>
      <c r="P7" s="449">
        <f>landbouw!P8</f>
        <v>0</v>
      </c>
      <c r="Q7" s="447">
        <f t="shared" si="0"/>
        <v>43487.888040863276</v>
      </c>
    </row>
    <row r="8" spans="1:17">
      <c r="A8" s="447" t="s">
        <v>639</v>
      </c>
      <c r="B8" s="448">
        <f>industrie!B18</f>
        <v>4029.9721602026766</v>
      </c>
      <c r="C8" s="448">
        <f>industrie!C18</f>
        <v>0</v>
      </c>
      <c r="D8" s="448">
        <f>industrie!D18</f>
        <v>5222.81341112471</v>
      </c>
      <c r="E8" s="448">
        <f>industrie!E18</f>
        <v>305.58745375073147</v>
      </c>
      <c r="F8" s="448">
        <f>industrie!F18</f>
        <v>1619.6012176797353</v>
      </c>
      <c r="G8" s="448">
        <f>industrie!G18</f>
        <v>0</v>
      </c>
      <c r="H8" s="448">
        <f>industrie!H18</f>
        <v>0</v>
      </c>
      <c r="I8" s="448">
        <f>industrie!I18</f>
        <v>0</v>
      </c>
      <c r="J8" s="448">
        <f>industrie!J18</f>
        <v>2.1439441465516791</v>
      </c>
      <c r="K8" s="448">
        <f>industrie!K18</f>
        <v>0</v>
      </c>
      <c r="L8" s="448">
        <f>industrie!L18</f>
        <v>0</v>
      </c>
      <c r="M8" s="448">
        <f>industrie!M18</f>
        <v>0</v>
      </c>
      <c r="N8" s="448">
        <f>industrie!N18</f>
        <v>235.38717655854717</v>
      </c>
      <c r="O8" s="448">
        <f>industrie!O18</f>
        <v>0</v>
      </c>
      <c r="P8" s="449">
        <f>industrie!P18</f>
        <v>0</v>
      </c>
      <c r="Q8" s="447">
        <f t="shared" si="0"/>
        <v>11415.505363462951</v>
      </c>
    </row>
    <row r="9" spans="1:17" s="453" customFormat="1">
      <c r="A9" s="451" t="s">
        <v>557</v>
      </c>
      <c r="B9" s="452">
        <f>transport!B14</f>
        <v>9.5148343122675847</v>
      </c>
      <c r="C9" s="452">
        <f>transport!C14</f>
        <v>0</v>
      </c>
      <c r="D9" s="452">
        <f>transport!D14</f>
        <v>9.5373027996160324</v>
      </c>
      <c r="E9" s="452">
        <f>transport!E14</f>
        <v>337.50955916084735</v>
      </c>
      <c r="F9" s="452">
        <f>transport!F14</f>
        <v>0</v>
      </c>
      <c r="G9" s="452">
        <f>transport!G14</f>
        <v>92434.854812644015</v>
      </c>
      <c r="H9" s="452">
        <f>transport!H14</f>
        <v>16266.045909188761</v>
      </c>
      <c r="I9" s="452">
        <f>transport!I14</f>
        <v>0</v>
      </c>
      <c r="J9" s="452">
        <f>transport!J14</f>
        <v>0</v>
      </c>
      <c r="K9" s="452">
        <f>transport!K14</f>
        <v>0</v>
      </c>
      <c r="L9" s="452">
        <f>transport!L14</f>
        <v>0</v>
      </c>
      <c r="M9" s="452">
        <f>transport!M14</f>
        <v>4915.0103905480291</v>
      </c>
      <c r="N9" s="452">
        <f>transport!N14</f>
        <v>0</v>
      </c>
      <c r="O9" s="452">
        <f>transport!O14</f>
        <v>0</v>
      </c>
      <c r="P9" s="452">
        <f>transport!P14</f>
        <v>0</v>
      </c>
      <c r="Q9" s="451">
        <f>SUM(B9:P9)</f>
        <v>113972.47280865355</v>
      </c>
    </row>
    <row r="10" spans="1:17">
      <c r="A10" s="447" t="s">
        <v>547</v>
      </c>
      <c r="B10" s="448">
        <f>transport!B54</f>
        <v>7.5587080403362661</v>
      </c>
      <c r="C10" s="448">
        <f>transport!C54</f>
        <v>0</v>
      </c>
      <c r="D10" s="448">
        <f>transport!D54</f>
        <v>0</v>
      </c>
      <c r="E10" s="448">
        <f>transport!E54</f>
        <v>0</v>
      </c>
      <c r="F10" s="448">
        <f>transport!F54</f>
        <v>0</v>
      </c>
      <c r="G10" s="448">
        <f>transport!G54</f>
        <v>1471.2597142881639</v>
      </c>
      <c r="H10" s="448">
        <f>transport!H54</f>
        <v>0</v>
      </c>
      <c r="I10" s="448">
        <f>transport!I54</f>
        <v>0</v>
      </c>
      <c r="J10" s="448">
        <f>transport!J54</f>
        <v>0</v>
      </c>
      <c r="K10" s="448">
        <f>transport!K54</f>
        <v>0</v>
      </c>
      <c r="L10" s="448">
        <f>transport!L54</f>
        <v>0</v>
      </c>
      <c r="M10" s="448">
        <f>transport!M54</f>
        <v>65.972521814632657</v>
      </c>
      <c r="N10" s="448">
        <f>transport!N54</f>
        <v>0</v>
      </c>
      <c r="O10" s="448">
        <f>transport!O54</f>
        <v>0</v>
      </c>
      <c r="P10" s="449">
        <f>transport!P54</f>
        <v>0</v>
      </c>
      <c r="Q10" s="447">
        <f t="shared" si="0"/>
        <v>1544.7909441431329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845.53178309638599</v>
      </c>
      <c r="C14" s="455"/>
      <c r="D14" s="455">
        <f>'SEAP template'!E25</f>
        <v>1938.63622023433</v>
      </c>
      <c r="E14" s="455"/>
      <c r="F14" s="455"/>
      <c r="G14" s="455"/>
      <c r="H14" s="455"/>
      <c r="I14" s="455"/>
      <c r="J14" s="455"/>
      <c r="K14" s="455"/>
      <c r="L14" s="455"/>
      <c r="M14" s="455"/>
      <c r="N14" s="455"/>
      <c r="O14" s="455"/>
      <c r="P14" s="456"/>
      <c r="Q14" s="447">
        <f t="shared" si="0"/>
        <v>2784.1680033307161</v>
      </c>
    </row>
    <row r="15" spans="1:17" s="460" customFormat="1">
      <c r="A15" s="457" t="s">
        <v>551</v>
      </c>
      <c r="B15" s="458">
        <f ca="1">SUM(B4:B14)</f>
        <v>50191.003735641942</v>
      </c>
      <c r="C15" s="458">
        <f t="shared" ref="C15:Q15" ca="1" si="1">SUM(C4:C14)</f>
        <v>9119.5178571428569</v>
      </c>
      <c r="D15" s="458">
        <f t="shared" ca="1" si="1"/>
        <v>58986.464508685167</v>
      </c>
      <c r="E15" s="458">
        <f t="shared" si="1"/>
        <v>2855.6206928925831</v>
      </c>
      <c r="F15" s="458">
        <f t="shared" ca="1" si="1"/>
        <v>87844.001905341283</v>
      </c>
      <c r="G15" s="458">
        <f t="shared" si="1"/>
        <v>93906.114526932171</v>
      </c>
      <c r="H15" s="458">
        <f t="shared" si="1"/>
        <v>16266.045909188761</v>
      </c>
      <c r="I15" s="458">
        <f t="shared" si="1"/>
        <v>0</v>
      </c>
      <c r="J15" s="458">
        <f t="shared" si="1"/>
        <v>2168.8111263576084</v>
      </c>
      <c r="K15" s="458">
        <f t="shared" si="1"/>
        <v>0</v>
      </c>
      <c r="L15" s="458">
        <f t="shared" ca="1" si="1"/>
        <v>0</v>
      </c>
      <c r="M15" s="458">
        <f t="shared" si="1"/>
        <v>4980.9829123626614</v>
      </c>
      <c r="N15" s="458">
        <f t="shared" ca="1" si="1"/>
        <v>10918.77703054907</v>
      </c>
      <c r="O15" s="458">
        <f t="shared" si="1"/>
        <v>231.37333333333336</v>
      </c>
      <c r="P15" s="458">
        <f t="shared" si="1"/>
        <v>400.40000000000003</v>
      </c>
      <c r="Q15" s="458">
        <f t="shared" ca="1" si="1"/>
        <v>337869.11353842745</v>
      </c>
    </row>
    <row r="17" spans="1:17">
      <c r="A17" s="461" t="s">
        <v>552</v>
      </c>
      <c r="B17" s="767">
        <f ca="1">huishoudens!B10</f>
        <v>0.20211028146626064</v>
      </c>
      <c r="C17" s="767">
        <f ca="1">huishoudens!C10</f>
        <v>0.23453252276232264</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5735.1578959613462</v>
      </c>
      <c r="C22" s="448">
        <f t="shared" ref="C22:C32" ca="1" si="3">C4*$C$17</f>
        <v>0</v>
      </c>
      <c r="D22" s="448">
        <f t="shared" ref="D22:D32" si="4">D4*$D$17</f>
        <v>7894.1205193578808</v>
      </c>
      <c r="E22" s="448">
        <f t="shared" ref="E22:E32" si="5">E4*$E$17</f>
        <v>453.92286722624561</v>
      </c>
      <c r="F22" s="448">
        <f t="shared" ref="F22:F32" si="6">F4*$F$17</f>
        <v>16361.902158299814</v>
      </c>
      <c r="G22" s="448">
        <f t="shared" ref="G22:G32" si="7">G4*$G$17</f>
        <v>0</v>
      </c>
      <c r="H22" s="448">
        <f t="shared" ref="H22:H32" si="8">H4*$H$17</f>
        <v>0</v>
      </c>
      <c r="I22" s="448">
        <f t="shared" ref="I22:I32" si="9">I4*$I$17</f>
        <v>0</v>
      </c>
      <c r="J22" s="448">
        <f t="shared" ref="J22:J32" si="10">J4*$J$17</f>
        <v>410.82806744233949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30855.931508287624</v>
      </c>
    </row>
    <row r="23" spans="1:17">
      <c r="A23" s="447" t="s">
        <v>149</v>
      </c>
      <c r="B23" s="448">
        <f t="shared" ca="1" si="2"/>
        <v>1851.5155815428418</v>
      </c>
      <c r="C23" s="448">
        <f t="shared" ca="1" si="3"/>
        <v>0</v>
      </c>
      <c r="D23" s="448">
        <f t="shared" ca="1" si="4"/>
        <v>1864.6589039589178</v>
      </c>
      <c r="E23" s="448">
        <f t="shared" si="5"/>
        <v>29.182629610579703</v>
      </c>
      <c r="F23" s="448">
        <f t="shared" ca="1" si="6"/>
        <v>496.85152641253171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4242.2086415248705</v>
      </c>
    </row>
    <row r="24" spans="1:17">
      <c r="A24" s="447" t="s">
        <v>187</v>
      </c>
      <c r="B24" s="448">
        <f t="shared" ca="1" si="2"/>
        <v>216.43808142968535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216.43808142968535</v>
      </c>
    </row>
    <row r="25" spans="1:17">
      <c r="A25" s="447" t="s">
        <v>105</v>
      </c>
      <c r="B25" s="448">
        <f t="shared" ca="1" si="2"/>
        <v>1352.1661204303098</v>
      </c>
      <c r="C25" s="448">
        <f t="shared" ca="1" si="3"/>
        <v>2138.8235294117649</v>
      </c>
      <c r="D25" s="448">
        <f t="shared" si="4"/>
        <v>707.94704673755791</v>
      </c>
      <c r="E25" s="448">
        <f t="shared" si="5"/>
        <v>19.137378518862594</v>
      </c>
      <c r="F25" s="448">
        <f t="shared" si="6"/>
        <v>6163.1612988932884</v>
      </c>
      <c r="G25" s="448">
        <f t="shared" si="7"/>
        <v>0</v>
      </c>
      <c r="H25" s="448">
        <f t="shared" si="8"/>
        <v>0</v>
      </c>
      <c r="I25" s="448">
        <f t="shared" si="9"/>
        <v>0</v>
      </c>
      <c r="J25" s="448">
        <f t="shared" si="10"/>
        <v>356.17211506037444</v>
      </c>
      <c r="K25" s="448">
        <f t="shared" si="11"/>
        <v>0</v>
      </c>
      <c r="L25" s="448">
        <f t="shared" si="12"/>
        <v>0</v>
      </c>
      <c r="M25" s="448">
        <f t="shared" si="13"/>
        <v>0</v>
      </c>
      <c r="N25" s="448">
        <f t="shared" si="14"/>
        <v>0</v>
      </c>
      <c r="O25" s="448">
        <f t="shared" si="15"/>
        <v>0</v>
      </c>
      <c r="P25" s="449">
        <f t="shared" si="16"/>
        <v>0</v>
      </c>
      <c r="Q25" s="447">
        <f t="shared" ca="1" si="17"/>
        <v>10737.407489052159</v>
      </c>
    </row>
    <row r="26" spans="1:17">
      <c r="A26" s="447" t="s">
        <v>639</v>
      </c>
      <c r="B26" s="448">
        <f t="shared" ca="1" si="2"/>
        <v>814.49880759975736</v>
      </c>
      <c r="C26" s="448">
        <f t="shared" ca="1" si="3"/>
        <v>0</v>
      </c>
      <c r="D26" s="448">
        <f t="shared" si="4"/>
        <v>1055.0083090471915</v>
      </c>
      <c r="E26" s="448">
        <f t="shared" si="5"/>
        <v>69.368352001416042</v>
      </c>
      <c r="F26" s="448">
        <f t="shared" si="6"/>
        <v>432.43352512048938</v>
      </c>
      <c r="G26" s="448">
        <f t="shared" si="7"/>
        <v>0</v>
      </c>
      <c r="H26" s="448">
        <f t="shared" si="8"/>
        <v>0</v>
      </c>
      <c r="I26" s="448">
        <f t="shared" si="9"/>
        <v>0</v>
      </c>
      <c r="J26" s="448">
        <f t="shared" si="10"/>
        <v>0.7589562278792944</v>
      </c>
      <c r="K26" s="448">
        <f t="shared" si="11"/>
        <v>0</v>
      </c>
      <c r="L26" s="448">
        <f t="shared" si="12"/>
        <v>0</v>
      </c>
      <c r="M26" s="448">
        <f t="shared" si="13"/>
        <v>0</v>
      </c>
      <c r="N26" s="448">
        <f t="shared" si="14"/>
        <v>0</v>
      </c>
      <c r="O26" s="448">
        <f t="shared" si="15"/>
        <v>0</v>
      </c>
      <c r="P26" s="449">
        <f t="shared" si="16"/>
        <v>0</v>
      </c>
      <c r="Q26" s="447">
        <f t="shared" ca="1" si="17"/>
        <v>2372.0679499967337</v>
      </c>
    </row>
    <row r="27" spans="1:17" s="453" customFormat="1">
      <c r="A27" s="451" t="s">
        <v>557</v>
      </c>
      <c r="B27" s="761">
        <f t="shared" ca="1" si="2"/>
        <v>1.923045840957236</v>
      </c>
      <c r="C27" s="452">
        <f t="shared" ca="1" si="3"/>
        <v>0</v>
      </c>
      <c r="D27" s="452">
        <f t="shared" si="4"/>
        <v>1.9265351655224388</v>
      </c>
      <c r="E27" s="452">
        <f t="shared" si="5"/>
        <v>76.614669929512345</v>
      </c>
      <c r="F27" s="452">
        <f t="shared" si="6"/>
        <v>0</v>
      </c>
      <c r="G27" s="452">
        <f t="shared" si="7"/>
        <v>24680.106234975952</v>
      </c>
      <c r="H27" s="452">
        <f t="shared" si="8"/>
        <v>4050.2454313880012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28810.815917299944</v>
      </c>
    </row>
    <row r="28" spans="1:17">
      <c r="A28" s="447" t="s">
        <v>547</v>
      </c>
      <c r="B28" s="448">
        <f t="shared" ca="1" si="2"/>
        <v>1.52769260955365</v>
      </c>
      <c r="C28" s="448">
        <f t="shared" ca="1" si="3"/>
        <v>0</v>
      </c>
      <c r="D28" s="448">
        <f t="shared" si="4"/>
        <v>0</v>
      </c>
      <c r="E28" s="448">
        <f t="shared" si="5"/>
        <v>0</v>
      </c>
      <c r="F28" s="448">
        <f t="shared" si="6"/>
        <v>0</v>
      </c>
      <c r="G28" s="448">
        <f t="shared" si="7"/>
        <v>392.82634371493975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394.35403632449339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170.89066667027981</v>
      </c>
      <c r="C32" s="448">
        <f t="shared" ca="1" si="3"/>
        <v>0</v>
      </c>
      <c r="D32" s="448">
        <f t="shared" si="4"/>
        <v>391.60451648733471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562.49518315761452</v>
      </c>
    </row>
    <row r="33" spans="1:17" s="460" customFormat="1">
      <c r="A33" s="457" t="s">
        <v>551</v>
      </c>
      <c r="B33" s="458">
        <f ca="1">SUM(B22:B32)</f>
        <v>10144.117892084731</v>
      </c>
      <c r="C33" s="458">
        <f t="shared" ref="C33:Q33" ca="1" si="18">SUM(C22:C32)</f>
        <v>2138.8235294117649</v>
      </c>
      <c r="D33" s="458">
        <f t="shared" ca="1" si="18"/>
        <v>11915.265830754404</v>
      </c>
      <c r="E33" s="458">
        <f t="shared" si="18"/>
        <v>648.22589728661626</v>
      </c>
      <c r="F33" s="458">
        <f t="shared" ca="1" si="18"/>
        <v>23454.348508726122</v>
      </c>
      <c r="G33" s="458">
        <f t="shared" si="18"/>
        <v>25072.932578690892</v>
      </c>
      <c r="H33" s="458">
        <f t="shared" si="18"/>
        <v>4050.2454313880012</v>
      </c>
      <c r="I33" s="458">
        <f t="shared" si="18"/>
        <v>0</v>
      </c>
      <c r="J33" s="458">
        <f t="shared" si="18"/>
        <v>767.75913873059312</v>
      </c>
      <c r="K33" s="458">
        <f t="shared" si="18"/>
        <v>0</v>
      </c>
      <c r="L33" s="458">
        <f t="shared" ca="1" si="18"/>
        <v>0</v>
      </c>
      <c r="M33" s="458">
        <f t="shared" si="18"/>
        <v>0</v>
      </c>
      <c r="N33" s="458">
        <f t="shared" ca="1" si="18"/>
        <v>0</v>
      </c>
      <c r="O33" s="458">
        <f t="shared" si="18"/>
        <v>0</v>
      </c>
      <c r="P33" s="458">
        <f t="shared" si="18"/>
        <v>0</v>
      </c>
      <c r="Q33" s="458">
        <f t="shared" ca="1" si="18"/>
        <v>78191.718807073121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4680.9094641645806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83.662499999999994</v>
      </c>
      <c r="C8" s="1020">
        <f>'SEAP template'!C76</f>
        <v>6299.9999999999991</v>
      </c>
      <c r="D8" s="1020">
        <f>'SEAP template'!D76</f>
        <v>7411.7647058823522</v>
      </c>
      <c r="E8" s="1020">
        <f>'SEAP template'!E76</f>
        <v>0</v>
      </c>
      <c r="F8" s="1020">
        <f>'SEAP template'!F76</f>
        <v>0</v>
      </c>
      <c r="G8" s="1020">
        <f>'SEAP template'!G76</f>
        <v>0</v>
      </c>
      <c r="H8" s="1020">
        <f>'SEAP template'!H76</f>
        <v>0</v>
      </c>
      <c r="I8" s="1020">
        <f>'SEAP template'!I76</f>
        <v>0</v>
      </c>
      <c r="J8" s="1020">
        <f>'SEAP template'!J76</f>
        <v>98.42647058823529</v>
      </c>
      <c r="K8" s="1020">
        <f>'SEAP template'!K76</f>
        <v>0</v>
      </c>
      <c r="L8" s="1020">
        <f>'SEAP template'!L76</f>
        <v>0</v>
      </c>
      <c r="M8" s="1020">
        <f>'SEAP template'!M76</f>
        <v>0</v>
      </c>
      <c r="N8" s="1020">
        <f>'SEAP template'!N76</f>
        <v>0</v>
      </c>
      <c r="O8" s="1020">
        <f>'SEAP template'!O76</f>
        <v>0</v>
      </c>
      <c r="P8" s="1021">
        <f>'SEAP template'!Q76</f>
        <v>1497.1764705882354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4764.571964164581</v>
      </c>
      <c r="C10" s="1024">
        <f>SUM(C4:C9)</f>
        <v>6299.9999999999991</v>
      </c>
      <c r="D10" s="1024">
        <f t="shared" ref="D10:H10" si="0">SUM(D8:D9)</f>
        <v>7411.7647058823522</v>
      </c>
      <c r="E10" s="1024">
        <f t="shared" si="0"/>
        <v>0</v>
      </c>
      <c r="F10" s="1024">
        <f t="shared" si="0"/>
        <v>0</v>
      </c>
      <c r="G10" s="1024">
        <f t="shared" si="0"/>
        <v>0</v>
      </c>
      <c r="H10" s="1024">
        <f t="shared" si="0"/>
        <v>0</v>
      </c>
      <c r="I10" s="1024">
        <f>SUM(I8:I9)</f>
        <v>0</v>
      </c>
      <c r="J10" s="1024">
        <f>SUM(J8:J9)</f>
        <v>98.42647058823529</v>
      </c>
      <c r="K10" s="1024">
        <f t="shared" ref="K10:L10" si="1">SUM(K8:K9)</f>
        <v>0</v>
      </c>
      <c r="L10" s="1024">
        <f t="shared" si="1"/>
        <v>0</v>
      </c>
      <c r="M10" s="1024">
        <f>SUM(M8:M9)</f>
        <v>0</v>
      </c>
      <c r="N10" s="1024">
        <f>SUM(N8:N9)</f>
        <v>0</v>
      </c>
      <c r="O10" s="1024">
        <f>SUM(O8:O9)</f>
        <v>0</v>
      </c>
      <c r="P10" s="1024">
        <f>SUM(P8:P9)</f>
        <v>1497.1764705882354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0.20211028146626064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119.51785714285715</v>
      </c>
      <c r="C17" s="1026">
        <f>'SEAP template'!C87</f>
        <v>9000</v>
      </c>
      <c r="D17" s="1021">
        <f>'SEAP template'!D87</f>
        <v>10588.235294117647</v>
      </c>
      <c r="E17" s="1021">
        <f>'SEAP template'!E87</f>
        <v>0</v>
      </c>
      <c r="F17" s="1021">
        <f>'SEAP template'!F87</f>
        <v>0</v>
      </c>
      <c r="G17" s="1021">
        <f>'SEAP template'!G87</f>
        <v>0</v>
      </c>
      <c r="H17" s="1021">
        <f>'SEAP template'!H87</f>
        <v>0</v>
      </c>
      <c r="I17" s="1021">
        <f>'SEAP template'!I87</f>
        <v>0</v>
      </c>
      <c r="J17" s="1021">
        <f>'SEAP template'!J87</f>
        <v>140.609243697479</v>
      </c>
      <c r="K17" s="1021">
        <f>'SEAP template'!K87</f>
        <v>0</v>
      </c>
      <c r="L17" s="1021">
        <f>'SEAP template'!L87</f>
        <v>0</v>
      </c>
      <c r="M17" s="1021">
        <f>'SEAP template'!M87</f>
        <v>0</v>
      </c>
      <c r="N17" s="1021">
        <f>'SEAP template'!N87</f>
        <v>0</v>
      </c>
      <c r="O17" s="1021">
        <f>'SEAP template'!O87</f>
        <v>0</v>
      </c>
      <c r="P17" s="1021">
        <f>'SEAP template'!Q87</f>
        <v>2138.8235294117649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119.51785714285715</v>
      </c>
      <c r="C20" s="1024">
        <f>SUM(C17:C19)</f>
        <v>9000</v>
      </c>
      <c r="D20" s="1024">
        <f t="shared" ref="D20:H20" si="2">SUM(D17:D19)</f>
        <v>10588.235294117647</v>
      </c>
      <c r="E20" s="1024">
        <f t="shared" si="2"/>
        <v>0</v>
      </c>
      <c r="F20" s="1024">
        <f t="shared" si="2"/>
        <v>0</v>
      </c>
      <c r="G20" s="1024">
        <f t="shared" si="2"/>
        <v>0</v>
      </c>
      <c r="H20" s="1024">
        <f t="shared" si="2"/>
        <v>0</v>
      </c>
      <c r="I20" s="1024">
        <f>SUM(I17:I19)</f>
        <v>0</v>
      </c>
      <c r="J20" s="1024">
        <f>SUM(J17:J19)</f>
        <v>140.609243697479</v>
      </c>
      <c r="K20" s="1024">
        <f t="shared" ref="K20:L20" si="3">SUM(K17:K19)</f>
        <v>0</v>
      </c>
      <c r="L20" s="1024">
        <f t="shared" si="3"/>
        <v>0</v>
      </c>
      <c r="M20" s="1024">
        <f>SUM(M17:M19)</f>
        <v>0</v>
      </c>
      <c r="N20" s="1024">
        <f>SUM(N17:N19)</f>
        <v>0</v>
      </c>
      <c r="O20" s="1024">
        <f>SUM(O17:O19)</f>
        <v>0</v>
      </c>
      <c r="P20" s="1024">
        <f>SUM(P17:P19)</f>
        <v>2138.8235294117649</v>
      </c>
    </row>
    <row r="22" spans="1:16">
      <c r="A22" s="461" t="s">
        <v>856</v>
      </c>
      <c r="B22" s="767" t="s">
        <v>850</v>
      </c>
      <c r="C22" s="767">
        <f ca="1">'EF ele_warmte'!B22</f>
        <v>0.23453252276232264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0.20211028146626064</v>
      </c>
      <c r="C17" s="498">
        <f ca="1">'EF ele_warmte'!B22</f>
        <v>0.23453252276232264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2</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3.1266666666666669</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0.20211028146626064</v>
      </c>
      <c r="C17" s="498">
        <f ca="1">'EF ele_warmte'!B22</f>
        <v>0.23453252276232264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0.20211028146626064</v>
      </c>
      <c r="C29" s="499">
        <f ca="1">'EF ele_warmte'!B22</f>
        <v>0.23453252276232264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5826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6755</v>
      </c>
      <c r="C14" s="327"/>
      <c r="D14" s="327"/>
      <c r="E14" s="327"/>
      <c r="F14" s="327"/>
    </row>
    <row r="15" spans="1:6">
      <c r="A15" s="1296" t="s">
        <v>177</v>
      </c>
      <c r="B15" s="1297">
        <v>75</v>
      </c>
      <c r="C15" s="327"/>
      <c r="D15" s="327"/>
      <c r="E15" s="327"/>
      <c r="F15" s="327"/>
    </row>
    <row r="16" spans="1:6">
      <c r="A16" s="1296" t="s">
        <v>6</v>
      </c>
      <c r="B16" s="1297">
        <v>3559</v>
      </c>
      <c r="C16" s="327"/>
      <c r="D16" s="327"/>
      <c r="E16" s="327"/>
      <c r="F16" s="327"/>
    </row>
    <row r="17" spans="1:6">
      <c r="A17" s="1296" t="s">
        <v>7</v>
      </c>
      <c r="B17" s="1297">
        <v>2127</v>
      </c>
      <c r="C17" s="327"/>
      <c r="D17" s="327"/>
      <c r="E17" s="327"/>
      <c r="F17" s="327"/>
    </row>
    <row r="18" spans="1:6">
      <c r="A18" s="1296" t="s">
        <v>8</v>
      </c>
      <c r="B18" s="1297">
        <v>4061</v>
      </c>
      <c r="C18" s="327"/>
      <c r="D18" s="327"/>
      <c r="E18" s="327"/>
      <c r="F18" s="327"/>
    </row>
    <row r="19" spans="1:6">
      <c r="A19" s="1296" t="s">
        <v>9</v>
      </c>
      <c r="B19" s="1297">
        <v>3509</v>
      </c>
      <c r="C19" s="327"/>
      <c r="D19" s="327"/>
      <c r="E19" s="327"/>
      <c r="F19" s="327"/>
    </row>
    <row r="20" spans="1:6">
      <c r="A20" s="1296" t="s">
        <v>10</v>
      </c>
      <c r="B20" s="1297">
        <v>2179</v>
      </c>
      <c r="C20" s="327"/>
      <c r="D20" s="327"/>
      <c r="E20" s="327"/>
      <c r="F20" s="327"/>
    </row>
    <row r="21" spans="1:6">
      <c r="A21" s="1296" t="s">
        <v>11</v>
      </c>
      <c r="B21" s="1297">
        <v>23638</v>
      </c>
      <c r="C21" s="327"/>
      <c r="D21" s="327"/>
      <c r="E21" s="327"/>
      <c r="F21" s="327"/>
    </row>
    <row r="22" spans="1:6">
      <c r="A22" s="1296" t="s">
        <v>12</v>
      </c>
      <c r="B22" s="1297">
        <v>41115</v>
      </c>
      <c r="C22" s="327"/>
      <c r="D22" s="327"/>
      <c r="E22" s="327"/>
      <c r="F22" s="327"/>
    </row>
    <row r="23" spans="1:6">
      <c r="A23" s="1296" t="s">
        <v>13</v>
      </c>
      <c r="B23" s="1297">
        <v>1080</v>
      </c>
      <c r="C23" s="327"/>
      <c r="D23" s="327"/>
      <c r="E23" s="327"/>
      <c r="F23" s="327"/>
    </row>
    <row r="24" spans="1:6">
      <c r="A24" s="1296" t="s">
        <v>14</v>
      </c>
      <c r="B24" s="1297">
        <v>50</v>
      </c>
      <c r="C24" s="327"/>
      <c r="D24" s="327"/>
      <c r="E24" s="327"/>
      <c r="F24" s="327"/>
    </row>
    <row r="25" spans="1:6">
      <c r="A25" s="1296" t="s">
        <v>15</v>
      </c>
      <c r="B25" s="1297">
        <v>5890</v>
      </c>
      <c r="C25" s="327"/>
      <c r="D25" s="327"/>
      <c r="E25" s="327"/>
      <c r="F25" s="327"/>
    </row>
    <row r="26" spans="1:6">
      <c r="A26" s="1296" t="s">
        <v>16</v>
      </c>
      <c r="B26" s="1297">
        <v>121</v>
      </c>
      <c r="C26" s="327"/>
      <c r="D26" s="327"/>
      <c r="E26" s="327"/>
      <c r="F26" s="327"/>
    </row>
    <row r="27" spans="1:6">
      <c r="A27" s="1296" t="s">
        <v>17</v>
      </c>
      <c r="B27" s="1297">
        <v>1156</v>
      </c>
      <c r="C27" s="327"/>
      <c r="D27" s="327"/>
      <c r="E27" s="327"/>
      <c r="F27" s="327"/>
    </row>
    <row r="28" spans="1:6">
      <c r="A28" s="1296" t="s">
        <v>18</v>
      </c>
      <c r="B28" s="1298">
        <v>321214</v>
      </c>
      <c r="C28" s="327"/>
      <c r="D28" s="327"/>
      <c r="E28" s="327"/>
      <c r="F28" s="327"/>
    </row>
    <row r="29" spans="1:6">
      <c r="A29" s="1296" t="s">
        <v>922</v>
      </c>
      <c r="B29" s="1298">
        <v>182</v>
      </c>
      <c r="C29" s="327"/>
      <c r="D29" s="327"/>
      <c r="E29" s="327"/>
      <c r="F29" s="327"/>
    </row>
    <row r="30" spans="1:6">
      <c r="A30" s="1291" t="s">
        <v>923</v>
      </c>
      <c r="B30" s="1299">
        <v>42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336431.03017695999</v>
      </c>
      <c r="E38" s="1297">
        <v>6</v>
      </c>
      <c r="F38" s="1297">
        <v>35442.390962216603</v>
      </c>
    </row>
    <row r="39" spans="1:6">
      <c r="A39" s="1296" t="s">
        <v>29</v>
      </c>
      <c r="B39" s="1296" t="s">
        <v>30</v>
      </c>
      <c r="C39" s="1297">
        <v>2446</v>
      </c>
      <c r="D39" s="1297">
        <v>43325725.666603804</v>
      </c>
      <c r="E39" s="1297">
        <v>5461</v>
      </c>
      <c r="F39" s="1297">
        <v>25247791.286440201</v>
      </c>
    </row>
    <row r="40" spans="1:6">
      <c r="A40" s="1296" t="s">
        <v>29</v>
      </c>
      <c r="B40" s="1296" t="s">
        <v>28</v>
      </c>
      <c r="C40" s="1297">
        <v>0</v>
      </c>
      <c r="D40" s="1297">
        <v>0</v>
      </c>
      <c r="E40" s="1297">
        <v>0</v>
      </c>
      <c r="F40" s="1297">
        <v>0</v>
      </c>
    </row>
    <row r="41" spans="1:6">
      <c r="A41" s="1296" t="s">
        <v>31</v>
      </c>
      <c r="B41" s="1296" t="s">
        <v>32</v>
      </c>
      <c r="C41" s="1297">
        <v>42</v>
      </c>
      <c r="D41" s="1297">
        <v>760891.84265253798</v>
      </c>
      <c r="E41" s="1297">
        <v>102</v>
      </c>
      <c r="F41" s="1297">
        <v>633134.34091509099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4283734.4342997298</v>
      </c>
      <c r="E44" s="1297">
        <v>11</v>
      </c>
      <c r="F44" s="1297">
        <v>2293167.2780404701</v>
      </c>
    </row>
    <row r="45" spans="1:6">
      <c r="A45" s="1296" t="s">
        <v>31</v>
      </c>
      <c r="B45" s="1296" t="s">
        <v>36</v>
      </c>
      <c r="C45" s="1297">
        <v>0</v>
      </c>
      <c r="D45" s="1297">
        <v>0</v>
      </c>
      <c r="E45" s="1297">
        <v>3</v>
      </c>
      <c r="F45" s="1297">
        <v>8135.1047852516003</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24</v>
      </c>
      <c r="D48" s="1297">
        <v>608182.63604683999</v>
      </c>
      <c r="E48" s="1297">
        <v>55</v>
      </c>
      <c r="F48" s="1297">
        <v>817586.20195424603</v>
      </c>
    </row>
    <row r="49" spans="1:6">
      <c r="A49" s="1296" t="s">
        <v>31</v>
      </c>
      <c r="B49" s="1296" t="s">
        <v>39</v>
      </c>
      <c r="C49" s="1297">
        <v>0</v>
      </c>
      <c r="D49" s="1297">
        <v>0</v>
      </c>
      <c r="E49" s="1297">
        <v>0</v>
      </c>
      <c r="F49" s="1297">
        <v>0</v>
      </c>
    </row>
    <row r="50" spans="1:6">
      <c r="A50" s="1296" t="s">
        <v>31</v>
      </c>
      <c r="B50" s="1296" t="s">
        <v>40</v>
      </c>
      <c r="C50" s="1297">
        <v>3</v>
      </c>
      <c r="D50" s="1297">
        <v>137449.857649129</v>
      </c>
      <c r="E50" s="1297">
        <v>8</v>
      </c>
      <c r="F50" s="1297">
        <v>277949.23450761801</v>
      </c>
    </row>
    <row r="51" spans="1:6">
      <c r="A51" s="1296" t="s">
        <v>41</v>
      </c>
      <c r="B51" s="1296" t="s">
        <v>42</v>
      </c>
      <c r="C51" s="1297">
        <v>10</v>
      </c>
      <c r="D51" s="1297">
        <v>376092.00743085</v>
      </c>
      <c r="E51" s="1297">
        <v>269</v>
      </c>
      <c r="F51" s="1297">
        <v>5930446.3540915698</v>
      </c>
    </row>
    <row r="52" spans="1:6">
      <c r="A52" s="1296" t="s">
        <v>41</v>
      </c>
      <c r="B52" s="1296" t="s">
        <v>28</v>
      </c>
      <c r="C52" s="1297">
        <v>9</v>
      </c>
      <c r="D52" s="1297">
        <v>23465025.897431601</v>
      </c>
      <c r="E52" s="1297">
        <v>26</v>
      </c>
      <c r="F52" s="1297">
        <v>759792.809501076</v>
      </c>
    </row>
    <row r="53" spans="1:6">
      <c r="A53" s="1296" t="s">
        <v>43</v>
      </c>
      <c r="B53" s="1296" t="s">
        <v>44</v>
      </c>
      <c r="C53" s="1297">
        <v>89</v>
      </c>
      <c r="D53" s="1297">
        <v>1938636.22023433</v>
      </c>
      <c r="E53" s="1297">
        <v>179</v>
      </c>
      <c r="F53" s="1297">
        <v>845531.783096386</v>
      </c>
    </row>
    <row r="54" spans="1:6">
      <c r="A54" s="1296" t="s">
        <v>45</v>
      </c>
      <c r="B54" s="1296" t="s">
        <v>46</v>
      </c>
      <c r="C54" s="1297">
        <v>0</v>
      </c>
      <c r="D54" s="1297">
        <v>0</v>
      </c>
      <c r="E54" s="1297">
        <v>4</v>
      </c>
      <c r="F54" s="1297">
        <v>1070891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18</v>
      </c>
      <c r="D57" s="1297">
        <v>457585.23335686198</v>
      </c>
      <c r="E57" s="1297">
        <v>91</v>
      </c>
      <c r="F57" s="1297">
        <v>965253.39780093904</v>
      </c>
    </row>
    <row r="58" spans="1:6">
      <c r="A58" s="1296" t="s">
        <v>48</v>
      </c>
      <c r="B58" s="1296" t="s">
        <v>50</v>
      </c>
      <c r="C58" s="1297">
        <v>4</v>
      </c>
      <c r="D58" s="1297">
        <v>84393.225069013206</v>
      </c>
      <c r="E58" s="1297">
        <v>11</v>
      </c>
      <c r="F58" s="1297">
        <v>48201.5959704368</v>
      </c>
    </row>
    <row r="59" spans="1:6">
      <c r="A59" s="1296" t="s">
        <v>48</v>
      </c>
      <c r="B59" s="1296" t="s">
        <v>51</v>
      </c>
      <c r="C59" s="1297">
        <v>14</v>
      </c>
      <c r="D59" s="1297">
        <v>657294.61224783701</v>
      </c>
      <c r="E59" s="1297">
        <v>88</v>
      </c>
      <c r="F59" s="1297">
        <v>2027952.78899195</v>
      </c>
    </row>
    <row r="60" spans="1:6">
      <c r="A60" s="1296" t="s">
        <v>48</v>
      </c>
      <c r="B60" s="1296" t="s">
        <v>52</v>
      </c>
      <c r="C60" s="1297">
        <v>27</v>
      </c>
      <c r="D60" s="1297">
        <v>1128664.7639391499</v>
      </c>
      <c r="E60" s="1297">
        <v>52</v>
      </c>
      <c r="F60" s="1297">
        <v>735482.28265106794</v>
      </c>
    </row>
    <row r="61" spans="1:6">
      <c r="A61" s="1296" t="s">
        <v>48</v>
      </c>
      <c r="B61" s="1296" t="s">
        <v>53</v>
      </c>
      <c r="C61" s="1297">
        <v>48</v>
      </c>
      <c r="D61" s="1297">
        <v>2210891.6217249199</v>
      </c>
      <c r="E61" s="1297">
        <v>119</v>
      </c>
      <c r="F61" s="1297">
        <v>1443165.1041874301</v>
      </c>
    </row>
    <row r="62" spans="1:6">
      <c r="A62" s="1296" t="s">
        <v>48</v>
      </c>
      <c r="B62" s="1296" t="s">
        <v>54</v>
      </c>
      <c r="C62" s="1297">
        <v>0</v>
      </c>
      <c r="D62" s="1297">
        <v>0</v>
      </c>
      <c r="E62" s="1297">
        <v>0</v>
      </c>
      <c r="F62" s="1297">
        <v>0</v>
      </c>
    </row>
    <row r="63" spans="1:6">
      <c r="A63" s="1296" t="s">
        <v>48</v>
      </c>
      <c r="B63" s="1296" t="s">
        <v>28</v>
      </c>
      <c r="C63" s="1297">
        <v>120</v>
      </c>
      <c r="D63" s="1297">
        <v>5695078.1634670403</v>
      </c>
      <c r="E63" s="1297">
        <v>196</v>
      </c>
      <c r="F63" s="1297">
        <v>3940862.1677575102</v>
      </c>
    </row>
    <row r="64" spans="1:6">
      <c r="A64" s="1296" t="s">
        <v>55</v>
      </c>
      <c r="B64" s="1296" t="s">
        <v>56</v>
      </c>
      <c r="C64" s="1297">
        <v>0</v>
      </c>
      <c r="D64" s="1297">
        <v>0</v>
      </c>
      <c r="E64" s="1297">
        <v>0</v>
      </c>
      <c r="F64" s="1297">
        <v>0</v>
      </c>
    </row>
    <row r="65" spans="1:6">
      <c r="A65" s="1296" t="s">
        <v>55</v>
      </c>
      <c r="B65" s="1296" t="s">
        <v>28</v>
      </c>
      <c r="C65" s="1297">
        <v>4</v>
      </c>
      <c r="D65" s="1297">
        <v>74875.460925457199</v>
      </c>
      <c r="E65" s="1297">
        <v>3</v>
      </c>
      <c r="F65" s="1297">
        <v>14033.363425294099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17</v>
      </c>
      <c r="F68" s="1299">
        <v>190646.56465484001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96456786</v>
      </c>
      <c r="E73" s="446"/>
      <c r="F73" s="327"/>
    </row>
    <row r="74" spans="1:6">
      <c r="A74" s="1296" t="s">
        <v>63</v>
      </c>
      <c r="B74" s="1296" t="s">
        <v>706</v>
      </c>
      <c r="C74" s="1309" t="s">
        <v>707</v>
      </c>
      <c r="D74" s="1297">
        <v>8748717.7658825386</v>
      </c>
      <c r="E74" s="446"/>
      <c r="F74" s="327"/>
    </row>
    <row r="75" spans="1:6">
      <c r="A75" s="1296" t="s">
        <v>64</v>
      </c>
      <c r="B75" s="1296" t="s">
        <v>704</v>
      </c>
      <c r="C75" s="1309" t="s">
        <v>708</v>
      </c>
      <c r="D75" s="1297">
        <v>30123361</v>
      </c>
      <c r="E75" s="446"/>
      <c r="F75" s="327"/>
    </row>
    <row r="76" spans="1:6">
      <c r="A76" s="1296" t="s">
        <v>64</v>
      </c>
      <c r="B76" s="1296" t="s">
        <v>706</v>
      </c>
      <c r="C76" s="1309" t="s">
        <v>709</v>
      </c>
      <c r="D76" s="1297">
        <v>1370831.7658825382</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408860.46823492361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3128.5874625980919</v>
      </c>
      <c r="C91" s="327"/>
      <c r="D91" s="327"/>
      <c r="E91" s="327"/>
      <c r="F91" s="327"/>
    </row>
    <row r="92" spans="1:6">
      <c r="A92" s="1291" t="s">
        <v>68</v>
      </c>
      <c r="B92" s="1292">
        <v>1552.3220015664883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1118</v>
      </c>
      <c r="C97" s="327"/>
      <c r="D97" s="327"/>
      <c r="E97" s="327"/>
      <c r="F97" s="327"/>
    </row>
    <row r="98" spans="1:6">
      <c r="A98" s="1296" t="s">
        <v>71</v>
      </c>
      <c r="B98" s="1297">
        <v>0</v>
      </c>
      <c r="C98" s="327"/>
      <c r="D98" s="327"/>
      <c r="E98" s="327"/>
      <c r="F98" s="327"/>
    </row>
    <row r="99" spans="1:6">
      <c r="A99" s="1296" t="s">
        <v>72</v>
      </c>
      <c r="B99" s="1297">
        <v>182</v>
      </c>
      <c r="C99" s="327"/>
      <c r="D99" s="327"/>
      <c r="E99" s="327"/>
      <c r="F99" s="327"/>
    </row>
    <row r="100" spans="1:6">
      <c r="A100" s="1296" t="s">
        <v>73</v>
      </c>
      <c r="B100" s="1297">
        <v>600</v>
      </c>
      <c r="C100" s="327"/>
      <c r="D100" s="327"/>
      <c r="E100" s="327"/>
      <c r="F100" s="327"/>
    </row>
    <row r="101" spans="1:6">
      <c r="A101" s="1296" t="s">
        <v>74</v>
      </c>
      <c r="B101" s="1297">
        <v>133</v>
      </c>
      <c r="C101" s="327"/>
      <c r="D101" s="327"/>
      <c r="E101" s="327"/>
      <c r="F101" s="327"/>
    </row>
    <row r="102" spans="1:6">
      <c r="A102" s="1296" t="s">
        <v>75</v>
      </c>
      <c r="B102" s="1297">
        <v>98</v>
      </c>
      <c r="C102" s="327"/>
      <c r="D102" s="327"/>
      <c r="E102" s="327"/>
      <c r="F102" s="327"/>
    </row>
    <row r="103" spans="1:6">
      <c r="A103" s="1296" t="s">
        <v>76</v>
      </c>
      <c r="B103" s="1297">
        <v>340</v>
      </c>
      <c r="C103" s="327"/>
      <c r="D103" s="327"/>
      <c r="E103" s="327"/>
      <c r="F103" s="327"/>
    </row>
    <row r="104" spans="1:6">
      <c r="A104" s="1296" t="s">
        <v>77</v>
      </c>
      <c r="B104" s="1297">
        <v>2839</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2</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14</v>
      </c>
      <c r="C123" s="1297">
        <v>11</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135</v>
      </c>
      <c r="C129" s="327"/>
      <c r="D129" s="327"/>
      <c r="E129" s="327"/>
      <c r="F129" s="327"/>
    </row>
    <row r="130" spans="1:6">
      <c r="A130" s="1296" t="s">
        <v>284</v>
      </c>
      <c r="B130" s="1297">
        <v>2</v>
      </c>
      <c r="C130" s="327"/>
      <c r="D130" s="327"/>
      <c r="E130" s="327"/>
      <c r="F130" s="327"/>
    </row>
    <row r="131" spans="1:6">
      <c r="A131" s="1296" t="s">
        <v>285</v>
      </c>
      <c r="B131" s="1297">
        <v>0</v>
      </c>
      <c r="C131" s="327"/>
      <c r="D131" s="327"/>
      <c r="E131" s="327"/>
      <c r="F131" s="327"/>
    </row>
    <row r="132" spans="1:6">
      <c r="A132" s="1291" t="s">
        <v>286</v>
      </c>
      <c r="B132" s="1292">
        <v>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50191.003735641934</v>
      </c>
      <c r="C3" s="43" t="s">
        <v>163</v>
      </c>
      <c r="D3" s="43"/>
      <c r="E3" s="156"/>
      <c r="F3" s="43"/>
      <c r="G3" s="43"/>
      <c r="H3" s="43"/>
      <c r="I3" s="43"/>
      <c r="J3" s="43"/>
      <c r="K3" s="96"/>
    </row>
    <row r="4" spans="1:11">
      <c r="A4" s="353" t="s">
        <v>164</v>
      </c>
      <c r="B4" s="49">
        <f>IF(ISERROR('SEAP template'!B78+'SEAP template'!C78),0,'SEAP template'!B78+'SEAP template'!C78)</f>
        <v>11064.571964164581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1497.1764705882354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0.20211028146626064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2138.8235294117649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9119.5178571428569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0.23453252276232264</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1070.8910000000001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1070.8910000000001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0.20211028146626064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216.43808142968535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25247.791286440202</v>
      </c>
      <c r="C5" s="17">
        <f>IF(ISERROR('Eigen informatie GS &amp; warmtenet'!B57),0,'Eigen informatie GS &amp; warmtenet'!B57)</f>
        <v>0</v>
      </c>
      <c r="D5" s="30">
        <f>(SUM(HH_hh_gas_kWh,HH_rest_gas_kWh)/1000)*0.902</f>
        <v>39079.804551276633</v>
      </c>
      <c r="E5" s="17">
        <f>B32*B41</f>
        <v>1999.6602080451348</v>
      </c>
      <c r="F5" s="17">
        <f>B36*B45</f>
        <v>61280.532428089187</v>
      </c>
      <c r="G5" s="18"/>
      <c r="H5" s="17"/>
      <c r="I5" s="17"/>
      <c r="J5" s="17">
        <f>B35*B44+C35*C44</f>
        <v>1160.531263961411</v>
      </c>
      <c r="K5" s="17"/>
      <c r="L5" s="17"/>
      <c r="M5" s="17"/>
      <c r="N5" s="17">
        <f>B34*B43+C34*C43</f>
        <v>9691.1125889405266</v>
      </c>
      <c r="O5" s="17">
        <f>B52*B53*B54</f>
        <v>228.2466666666667</v>
      </c>
      <c r="P5" s="17">
        <f>B60*B61*B62/1000-B60*B61*B62/1000/B63</f>
        <v>381.33333333333337</v>
      </c>
    </row>
    <row r="6" spans="1:16">
      <c r="A6" s="16" t="s">
        <v>617</v>
      </c>
      <c r="B6" s="769">
        <f>kWh_PV_kleiner_dan_10kW</f>
        <v>3128.5874625980919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28376.378749038293</v>
      </c>
      <c r="C8" s="21">
        <f>C5</f>
        <v>0</v>
      </c>
      <c r="D8" s="21">
        <f>D5</f>
        <v>39079.804551276633</v>
      </c>
      <c r="E8" s="21">
        <f>E5</f>
        <v>1999.6602080451348</v>
      </c>
      <c r="F8" s="21">
        <f>F5</f>
        <v>61280.532428089187</v>
      </c>
      <c r="G8" s="21"/>
      <c r="H8" s="21"/>
      <c r="I8" s="21"/>
      <c r="J8" s="21">
        <f>J5</f>
        <v>1160.531263961411</v>
      </c>
      <c r="K8" s="21"/>
      <c r="L8" s="21">
        <f>L5</f>
        <v>0</v>
      </c>
      <c r="M8" s="21">
        <f>M5</f>
        <v>0</v>
      </c>
      <c r="N8" s="21">
        <f>N5</f>
        <v>9691.1125889405266</v>
      </c>
      <c r="O8" s="21">
        <f>O5</f>
        <v>228.2466666666667</v>
      </c>
      <c r="P8" s="21">
        <f>P5</f>
        <v>381.33333333333337</v>
      </c>
    </row>
    <row r="9" spans="1:16">
      <c r="B9" s="19"/>
      <c r="C9" s="19"/>
      <c r="D9" s="257"/>
      <c r="E9" s="19"/>
      <c r="F9" s="19"/>
      <c r="G9" s="19"/>
      <c r="H9" s="19"/>
      <c r="I9" s="19"/>
      <c r="J9" s="19"/>
      <c r="K9" s="19"/>
      <c r="L9" s="19"/>
      <c r="M9" s="19"/>
      <c r="N9" s="19"/>
      <c r="O9" s="19"/>
      <c r="P9" s="19"/>
    </row>
    <row r="10" spans="1:16">
      <c r="A10" s="24" t="s">
        <v>207</v>
      </c>
      <c r="B10" s="25">
        <f ca="1">'EF ele_warmte'!B12</f>
        <v>0.20211028146626064</v>
      </c>
      <c r="C10" s="25">
        <f ca="1">'EF ele_warmte'!B22</f>
        <v>0.23453252276232264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5735.1578959613462</v>
      </c>
      <c r="C12" s="23">
        <f ca="1">C10*C8</f>
        <v>0</v>
      </c>
      <c r="D12" s="23">
        <f>D8*D10</f>
        <v>7894.1205193578808</v>
      </c>
      <c r="E12" s="23">
        <f>E10*E8</f>
        <v>453.92286722624561</v>
      </c>
      <c r="F12" s="23">
        <f>F10*F8</f>
        <v>16361.902158299814</v>
      </c>
      <c r="G12" s="23"/>
      <c r="H12" s="23"/>
      <c r="I12" s="23"/>
      <c r="J12" s="23">
        <f>J10*J8</f>
        <v>410.82806744233949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5826</v>
      </c>
      <c r="C26" s="36"/>
      <c r="D26" s="227"/>
    </row>
    <row r="27" spans="1:5" s="15" customFormat="1">
      <c r="A27" s="229" t="s">
        <v>722</v>
      </c>
      <c r="B27" s="37">
        <f>SUM(HH_hh_gas_aantal,HH_rest_gas_aantal)</f>
        <v>2446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2323.6999999999998</v>
      </c>
      <c r="C31" s="34" t="s">
        <v>104</v>
      </c>
      <c r="D31" s="173"/>
    </row>
    <row r="32" spans="1:5">
      <c r="A32" s="170" t="s">
        <v>72</v>
      </c>
      <c r="B32" s="33">
        <f>IF((B21*($B$26-($B$27-0.05*$B$27)-$B$60))&lt;0,0,B21*($B$26-($B$27-0.05*$B$27)-$B$60))</f>
        <v>87.202231549722583</v>
      </c>
      <c r="C32" s="34" t="s">
        <v>104</v>
      </c>
      <c r="D32" s="173"/>
    </row>
    <row r="33" spans="1:6">
      <c r="A33" s="170" t="s">
        <v>73</v>
      </c>
      <c r="B33" s="33">
        <f>IF((B22*($B$26-($B$27-0.05*$B$27)-$B$60))&lt;0,0,B22*($B$26-($B$27-0.05*$B$27)-$B$60))</f>
        <v>586.97329255182115</v>
      </c>
      <c r="C33" s="34" t="s">
        <v>104</v>
      </c>
      <c r="D33" s="173"/>
    </row>
    <row r="34" spans="1:6">
      <c r="A34" s="170" t="s">
        <v>74</v>
      </c>
      <c r="B34" s="33">
        <f>IF((B24*($B$26-($B$27-0.05*$B$27)-$B$60))&lt;0,0,B24*($B$26-($B$27-0.05*$B$27)-$B$60))</f>
        <v>148.92308046035765</v>
      </c>
      <c r="C34" s="33">
        <f>B26*C24</f>
        <v>1191.7669540052657</v>
      </c>
      <c r="D34" s="232"/>
    </row>
    <row r="35" spans="1:6">
      <c r="A35" s="170" t="s">
        <v>76</v>
      </c>
      <c r="B35" s="33">
        <f>IF((B19*($B$26-($B$27-0.05*$B$27)-$B$60))&lt;0,0,B19*($B$26-($B$27-0.05*$B$27)-$B$60))</f>
        <v>55.34470848047723</v>
      </c>
      <c r="C35" s="33">
        <f>B35/2</f>
        <v>27.672354240238615</v>
      </c>
      <c r="D35" s="232"/>
    </row>
    <row r="36" spans="1:6">
      <c r="A36" s="170" t="s">
        <v>77</v>
      </c>
      <c r="B36" s="33">
        <f>IF((B18*($B$26-($B$27-0.05*$B$27)-$B$60))&lt;0,0,B18*($B$26-($B$27-0.05*$B$27)-$B$60))</f>
        <v>2603.8566869576221</v>
      </c>
      <c r="C36" s="34" t="s">
        <v>104</v>
      </c>
      <c r="D36" s="173"/>
    </row>
    <row r="37" spans="1:6">
      <c r="A37" s="170" t="s">
        <v>78</v>
      </c>
      <c r="B37" s="33">
        <f>B60</f>
        <v>20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146</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9160.917337359333</v>
      </c>
      <c r="C5" s="17">
        <f>IF(ISERROR('Eigen informatie GS &amp; warmtenet'!B58),0,'Eigen informatie GS &amp; warmtenet'!B58)</f>
        <v>0</v>
      </c>
      <c r="D5" s="30">
        <f>SUM(D6:D12)</f>
        <v>9230.9846730639492</v>
      </c>
      <c r="E5" s="17">
        <f>SUM(E6:E12)</f>
        <v>128.55783969418371</v>
      </c>
      <c r="F5" s="17">
        <f>SUM(F6:F12)</f>
        <v>1860.8671401218414</v>
      </c>
      <c r="G5" s="18"/>
      <c r="H5" s="17"/>
      <c r="I5" s="17"/>
      <c r="J5" s="17">
        <f>SUM(J6:J12)</f>
        <v>0</v>
      </c>
      <c r="K5" s="17"/>
      <c r="L5" s="17"/>
      <c r="M5" s="17"/>
      <c r="N5" s="17">
        <f>SUM(N6:N12)</f>
        <v>992.27726504999691</v>
      </c>
      <c r="O5" s="17">
        <f>B38*B39*B40</f>
        <v>3.1266666666666669</v>
      </c>
      <c r="P5" s="17">
        <f>B46*B47*B48/1000-B46*B47*B48/1000/B49</f>
        <v>19.066666666666666</v>
      </c>
      <c r="R5" s="32"/>
    </row>
    <row r="6" spans="1:18">
      <c r="A6" s="32" t="s">
        <v>53</v>
      </c>
      <c r="B6" s="37">
        <f>B26</f>
        <v>1443.1651041874302</v>
      </c>
      <c r="C6" s="33"/>
      <c r="D6" s="37">
        <f>IF(ISERROR(TER_kantoor_gas_kWh/1000),0,TER_kantoor_gas_kWh/1000)*0.902</f>
        <v>1994.2242427958777</v>
      </c>
      <c r="E6" s="33">
        <f>$C$26*'E Balans VL '!I12/100/3.6*1000000</f>
        <v>5.6070019656227208</v>
      </c>
      <c r="F6" s="33">
        <f>$C$26*('E Balans VL '!L12+'E Balans VL '!N12)/100/3.6*1000000</f>
        <v>219.49228059141439</v>
      </c>
      <c r="G6" s="34"/>
      <c r="H6" s="33"/>
      <c r="I6" s="33"/>
      <c r="J6" s="33">
        <f>$C$26*('E Balans VL '!D12+'E Balans VL '!E12)/100/3.6*1000000</f>
        <v>0</v>
      </c>
      <c r="K6" s="33"/>
      <c r="L6" s="33"/>
      <c r="M6" s="33"/>
      <c r="N6" s="33">
        <f>$C$26*'E Balans VL '!Y12/100/3.6*1000000</f>
        <v>0.79535685932907929</v>
      </c>
      <c r="O6" s="33"/>
      <c r="P6" s="33"/>
      <c r="R6" s="32"/>
    </row>
    <row r="7" spans="1:18">
      <c r="A7" s="32" t="s">
        <v>52</v>
      </c>
      <c r="B7" s="37">
        <f t="shared" ref="B7:B12" si="0">B27</f>
        <v>735.48228265106798</v>
      </c>
      <c r="C7" s="33"/>
      <c r="D7" s="37">
        <f>IF(ISERROR(TER_horeca_gas_kWh/1000),0,TER_horeca_gas_kWh/1000)*0.902</f>
        <v>1018.0556170731132</v>
      </c>
      <c r="E7" s="33">
        <f>$C$27*'E Balans VL '!I9/100/3.6*1000000</f>
        <v>41.429913617118004</v>
      </c>
      <c r="F7" s="33">
        <f>$C$27*('E Balans VL '!L9+'E Balans VL '!N9)/100/3.6*1000000</f>
        <v>212.06905789118349</v>
      </c>
      <c r="G7" s="34"/>
      <c r="H7" s="33"/>
      <c r="I7" s="33"/>
      <c r="J7" s="33">
        <f>$C$27*('E Balans VL '!D9+'E Balans VL '!E9)/100/3.6*1000000</f>
        <v>0</v>
      </c>
      <c r="K7" s="33"/>
      <c r="L7" s="33"/>
      <c r="M7" s="33"/>
      <c r="N7" s="33">
        <f>$C$27*'E Balans VL '!Y9/100/3.6*1000000</f>
        <v>0.20306283631442598</v>
      </c>
      <c r="O7" s="33"/>
      <c r="P7" s="33"/>
      <c r="R7" s="32"/>
    </row>
    <row r="8" spans="1:18">
      <c r="A8" s="6" t="s">
        <v>51</v>
      </c>
      <c r="B8" s="37">
        <f t="shared" si="0"/>
        <v>2027.95278899195</v>
      </c>
      <c r="C8" s="33"/>
      <c r="D8" s="37">
        <f>IF(ISERROR(TER_handel_gas_kWh/1000),0,TER_handel_gas_kWh/1000)*0.902</f>
        <v>592.87974024754897</v>
      </c>
      <c r="E8" s="33">
        <f>$C$28*'E Balans VL '!I13/100/3.6*1000000</f>
        <v>29.229679848778545</v>
      </c>
      <c r="F8" s="33">
        <f>$C$28*('E Balans VL '!L13+'E Balans VL '!N13)/100/3.6*1000000</f>
        <v>352.30262728147733</v>
      </c>
      <c r="G8" s="34"/>
      <c r="H8" s="33"/>
      <c r="I8" s="33"/>
      <c r="J8" s="33">
        <f>$C$28*('E Balans VL '!D13+'E Balans VL '!E13)/100/3.6*1000000</f>
        <v>0</v>
      </c>
      <c r="K8" s="33"/>
      <c r="L8" s="33"/>
      <c r="M8" s="33"/>
      <c r="N8" s="33">
        <f>$C$28*'E Balans VL '!Y13/100/3.6*1000000</f>
        <v>6.0759723121749687</v>
      </c>
      <c r="O8" s="33"/>
      <c r="P8" s="33"/>
      <c r="R8" s="32"/>
    </row>
    <row r="9" spans="1:18">
      <c r="A9" s="32" t="s">
        <v>50</v>
      </c>
      <c r="B9" s="37">
        <f t="shared" si="0"/>
        <v>48.201595970436799</v>
      </c>
      <c r="C9" s="33"/>
      <c r="D9" s="37">
        <f>IF(ISERROR(TER_gezond_gas_kWh/1000),0,TER_gezond_gas_kWh/1000)*0.902</f>
        <v>76.122689012249921</v>
      </c>
      <c r="E9" s="33">
        <f>$C$29*'E Balans VL '!I10/100/3.6*1000000</f>
        <v>5.1491797891296653E-2</v>
      </c>
      <c r="F9" s="33">
        <f>$C$29*('E Balans VL '!L10+'E Balans VL '!N10)/100/3.6*1000000</f>
        <v>7.8631452042505625</v>
      </c>
      <c r="G9" s="34"/>
      <c r="H9" s="33"/>
      <c r="I9" s="33"/>
      <c r="J9" s="33">
        <f>$C$29*('E Balans VL '!D10+'E Balans VL '!E10)/100/3.6*1000000</f>
        <v>0</v>
      </c>
      <c r="K9" s="33"/>
      <c r="L9" s="33"/>
      <c r="M9" s="33"/>
      <c r="N9" s="33">
        <f>$C$29*'E Balans VL '!Y10/100/3.6*1000000</f>
        <v>0.49620792723368501</v>
      </c>
      <c r="O9" s="33"/>
      <c r="P9" s="33"/>
      <c r="R9" s="32"/>
    </row>
    <row r="10" spans="1:18">
      <c r="A10" s="32" t="s">
        <v>49</v>
      </c>
      <c r="B10" s="37">
        <f t="shared" si="0"/>
        <v>965.25339780093907</v>
      </c>
      <c r="C10" s="33"/>
      <c r="D10" s="37">
        <f>IF(ISERROR(TER_ander_gas_kWh/1000),0,TER_ander_gas_kWh/1000)*0.902</f>
        <v>412.74188048788949</v>
      </c>
      <c r="E10" s="33">
        <f>$C$30*'E Balans VL '!I14/100/3.6*1000000</f>
        <v>4.4390535505452897</v>
      </c>
      <c r="F10" s="33">
        <f>$C$30*('E Balans VL '!L14+'E Balans VL '!N14)/100/3.6*1000000</f>
        <v>289.31689014961722</v>
      </c>
      <c r="G10" s="34"/>
      <c r="H10" s="33"/>
      <c r="I10" s="33"/>
      <c r="J10" s="33">
        <f>$C$30*('E Balans VL '!D14+'E Balans VL '!E14)/100/3.6*1000000</f>
        <v>0</v>
      </c>
      <c r="K10" s="33"/>
      <c r="L10" s="33"/>
      <c r="M10" s="33"/>
      <c r="N10" s="33">
        <f>$C$30*'E Balans VL '!Y14/100/3.6*1000000</f>
        <v>671.88008198821888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3940.8621677575102</v>
      </c>
      <c r="C12" s="33"/>
      <c r="D12" s="37">
        <f>IF(ISERROR(TER_rest_gas_kWh/1000),0,TER_rest_gas_kWh/1000)*0.902</f>
        <v>5136.9605034472706</v>
      </c>
      <c r="E12" s="33">
        <f>$C$32*'E Balans VL '!I8/100/3.6*1000000</f>
        <v>47.80069891422783</v>
      </c>
      <c r="F12" s="33">
        <f>$C$32*('E Balans VL '!L8+'E Balans VL '!N8)/100/3.6*1000000</f>
        <v>779.8231390038984</v>
      </c>
      <c r="G12" s="34"/>
      <c r="H12" s="33"/>
      <c r="I12" s="33"/>
      <c r="J12" s="33">
        <f>$C$32*('E Balans VL '!D8+'E Balans VL '!E8)/100/3.6*1000000</f>
        <v>0</v>
      </c>
      <c r="K12" s="33"/>
      <c r="L12" s="33"/>
      <c r="M12" s="33"/>
      <c r="N12" s="33">
        <f>$C$32*'E Balans VL '!Y8/100/3.6*1000000</f>
        <v>312.82658312672578</v>
      </c>
      <c r="O12" s="33"/>
      <c r="P12" s="33"/>
      <c r="R12" s="32"/>
    </row>
    <row r="13" spans="1:18">
      <c r="A13" s="16" t="s">
        <v>484</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9160.917337359333</v>
      </c>
      <c r="C16" s="21">
        <f t="shared" ca="1" si="1"/>
        <v>0</v>
      </c>
      <c r="D16" s="21">
        <f t="shared" ca="1" si="1"/>
        <v>9230.9846730639492</v>
      </c>
      <c r="E16" s="21">
        <f t="shared" si="1"/>
        <v>128.55783969418371</v>
      </c>
      <c r="F16" s="21">
        <f t="shared" ca="1" si="1"/>
        <v>1860.8671401218414</v>
      </c>
      <c r="G16" s="21">
        <f t="shared" si="1"/>
        <v>0</v>
      </c>
      <c r="H16" s="21">
        <f t="shared" si="1"/>
        <v>0</v>
      </c>
      <c r="I16" s="21">
        <f t="shared" si="1"/>
        <v>0</v>
      </c>
      <c r="J16" s="21">
        <f t="shared" si="1"/>
        <v>0</v>
      </c>
      <c r="K16" s="21">
        <f t="shared" si="1"/>
        <v>0</v>
      </c>
      <c r="L16" s="21">
        <f t="shared" ca="1" si="1"/>
        <v>0</v>
      </c>
      <c r="M16" s="21">
        <f t="shared" si="1"/>
        <v>0</v>
      </c>
      <c r="N16" s="21">
        <f t="shared" ca="1" si="1"/>
        <v>992.27726504999691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0.20211028146626064</v>
      </c>
      <c r="C18" s="25">
        <f ca="1">'EF ele_warmte'!B22</f>
        <v>0.23453252276232264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1851.5155815428418</v>
      </c>
      <c r="C20" s="23">
        <f t="shared" ref="C20:P20" ca="1" si="2">C16*C18</f>
        <v>0</v>
      </c>
      <c r="D20" s="23">
        <f t="shared" ca="1" si="2"/>
        <v>1864.6589039589178</v>
      </c>
      <c r="E20" s="23">
        <f t="shared" si="2"/>
        <v>29.182629610579703</v>
      </c>
      <c r="F20" s="23">
        <f t="shared" ca="1" si="2"/>
        <v>496.85152641253171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1443.1651041874302</v>
      </c>
      <c r="C26" s="39">
        <f>IF(ISERROR(B26*3.6/1000000/'E Balans VL '!Z12*100),0,B26*3.6/1000000/'E Balans VL '!Z12*100)</f>
        <v>3.0653541664004264E-2</v>
      </c>
      <c r="D26" s="235" t="s">
        <v>672</v>
      </c>
      <c r="F26" s="6"/>
    </row>
    <row r="27" spans="1:18">
      <c r="A27" s="230" t="s">
        <v>52</v>
      </c>
      <c r="B27" s="33">
        <f>IF(ISERROR(TER_horeca_ele_kWh/1000),0,TER_horeca_ele_kWh/1000)</f>
        <v>735.48228265106798</v>
      </c>
      <c r="C27" s="39">
        <f>IF(ISERROR(B27*3.6/1000000/'E Balans VL '!Z9*100),0,B27*3.6/1000000/'E Balans VL '!Z9*100)</f>
        <v>5.7188226620807046E-2</v>
      </c>
      <c r="D27" s="235" t="s">
        <v>672</v>
      </c>
      <c r="F27" s="6"/>
    </row>
    <row r="28" spans="1:18">
      <c r="A28" s="170" t="s">
        <v>51</v>
      </c>
      <c r="B28" s="33">
        <f>IF(ISERROR(TER_handel_ele_kWh/1000),0,TER_handel_ele_kWh/1000)</f>
        <v>2027.95278899195</v>
      </c>
      <c r="C28" s="39">
        <f>IF(ISERROR(B28*3.6/1000000/'E Balans VL '!Z13*100),0,B28*3.6/1000000/'E Balans VL '!Z13*100)</f>
        <v>5.8022115954742444E-2</v>
      </c>
      <c r="D28" s="235" t="s">
        <v>672</v>
      </c>
      <c r="F28" s="6"/>
    </row>
    <row r="29" spans="1:18">
      <c r="A29" s="230" t="s">
        <v>50</v>
      </c>
      <c r="B29" s="33">
        <f>IF(ISERROR(TER_gezond_ele_kWh/1000),0,TER_gezond_ele_kWh/1000)</f>
        <v>48.201595970436799</v>
      </c>
      <c r="C29" s="39">
        <f>IF(ISERROR(B29*3.6/1000000/'E Balans VL '!Z10*100),0,B29*3.6/1000000/'E Balans VL '!Z10*100)</f>
        <v>5.2550940315358331E-3</v>
      </c>
      <c r="D29" s="235" t="s">
        <v>672</v>
      </c>
      <c r="F29" s="6"/>
    </row>
    <row r="30" spans="1:18">
      <c r="A30" s="230" t="s">
        <v>49</v>
      </c>
      <c r="B30" s="33">
        <f>IF(ISERROR(TER_ander_ele_kWh/1000),0,TER_ander_ele_kWh/1000)</f>
        <v>965.25339780093907</v>
      </c>
      <c r="C30" s="39">
        <f>IF(ISERROR(B30*3.6/1000000/'E Balans VL '!Z14*100),0,B30*3.6/1000000/'E Balans VL '!Z14*100)</f>
        <v>7.0635054025645863E-2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3940.8621677575102</v>
      </c>
      <c r="C32" s="39">
        <f>IF(ISERROR(B32*3.6/1000000/'E Balans VL '!Z8*100),0,B32*3.6/1000000/'E Balans VL '!Z8*100)</f>
        <v>3.2115635079488739E-2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4029.9721602026766</v>
      </c>
      <c r="C5" s="17">
        <f>IF(ISERROR('Eigen informatie GS &amp; warmtenet'!B59),0,'Eigen informatie GS &amp; warmtenet'!B59)</f>
        <v>0</v>
      </c>
      <c r="D5" s="30">
        <f>SUM(D6:D15)</f>
        <v>5222.81341112471</v>
      </c>
      <c r="E5" s="17">
        <f>SUM(E6:E15)</f>
        <v>305.58745375073147</v>
      </c>
      <c r="F5" s="17">
        <f>SUM(F6:F15)</f>
        <v>1619.6012176797353</v>
      </c>
      <c r="G5" s="18"/>
      <c r="H5" s="17"/>
      <c r="I5" s="17"/>
      <c r="J5" s="17">
        <f>SUM(J6:J15)</f>
        <v>2.1439441465516791</v>
      </c>
      <c r="K5" s="17"/>
      <c r="L5" s="17"/>
      <c r="M5" s="17"/>
      <c r="N5" s="17">
        <f>SUM(N6:N15)</f>
        <v>235.38717655854717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2293.1672780404701</v>
      </c>
      <c r="C8" s="33"/>
      <c r="D8" s="37">
        <f>IF( ISERROR(IND_metaal_Gas_kWH/1000),0,IND_metaal_Gas_kWH/1000)*0.902</f>
        <v>3863.9284597383562</v>
      </c>
      <c r="E8" s="33">
        <f>C30*'E Balans VL '!I18/100/3.6*1000000</f>
        <v>65.868371719329119</v>
      </c>
      <c r="F8" s="33">
        <f>C30*'E Balans VL '!L18/100/3.6*1000000+C30*'E Balans VL '!N18/100/3.6*1000000</f>
        <v>588.15330287238942</v>
      </c>
      <c r="G8" s="34"/>
      <c r="H8" s="33"/>
      <c r="I8" s="33"/>
      <c r="J8" s="40">
        <f>C30*'E Balans VL '!D18/100/3.6*1000000+C30*'E Balans VL '!E18/100/3.6*1000000</f>
        <v>0</v>
      </c>
      <c r="K8" s="33"/>
      <c r="L8" s="33"/>
      <c r="M8" s="33"/>
      <c r="N8" s="33">
        <f>C30*'E Balans VL '!Y18/100/3.6*1000000</f>
        <v>62.264172616409162</v>
      </c>
      <c r="O8" s="33"/>
      <c r="P8" s="33"/>
      <c r="R8" s="32"/>
    </row>
    <row r="9" spans="1:18">
      <c r="A9" s="6" t="s">
        <v>32</v>
      </c>
      <c r="B9" s="37">
        <f t="shared" si="0"/>
        <v>633.134340915091</v>
      </c>
      <c r="C9" s="33"/>
      <c r="D9" s="37">
        <f>IF( ISERROR(IND_andere_gas_kWh/1000),0,IND_andere_gas_kWh/1000)*0.902</f>
        <v>686.32444207258925</v>
      </c>
      <c r="E9" s="33">
        <f>C31*'E Balans VL '!I19/100/3.6*1000000</f>
        <v>171.37389918606743</v>
      </c>
      <c r="F9" s="33">
        <f>C31*'E Balans VL '!L19/100/3.6*1000000+C31*'E Balans VL '!N19/100/3.6*1000000</f>
        <v>421.73447065828441</v>
      </c>
      <c r="G9" s="34"/>
      <c r="H9" s="33"/>
      <c r="I9" s="33"/>
      <c r="J9" s="40">
        <f>C31*'E Balans VL '!D19/100/3.6*1000000+C31*'E Balans VL '!E19/100/3.6*1000000</f>
        <v>0</v>
      </c>
      <c r="K9" s="33"/>
      <c r="L9" s="33"/>
      <c r="M9" s="33"/>
      <c r="N9" s="33">
        <f>C31*'E Balans VL '!Y19/100/3.6*1000000</f>
        <v>53.52731448829519</v>
      </c>
      <c r="O9" s="33"/>
      <c r="P9" s="33"/>
      <c r="R9" s="32"/>
    </row>
    <row r="10" spans="1:18">
      <c r="A10" s="6" t="s">
        <v>40</v>
      </c>
      <c r="B10" s="37">
        <f t="shared" si="0"/>
        <v>277.94923450761803</v>
      </c>
      <c r="C10" s="33"/>
      <c r="D10" s="37">
        <f>IF( ISERROR(IND_voed_gas_kWh/1000),0,IND_voed_gas_kWh/1000)*0.902</f>
        <v>123.97977159951436</v>
      </c>
      <c r="E10" s="33">
        <f>C32*'E Balans VL '!I20/100/3.6*1000000</f>
        <v>22.670178138191112</v>
      </c>
      <c r="F10" s="33">
        <f>C32*'E Balans VL '!L20/100/3.6*1000000+C32*'E Balans VL '!N20/100/3.6*1000000</f>
        <v>414.44752641502612</v>
      </c>
      <c r="G10" s="34"/>
      <c r="H10" s="33"/>
      <c r="I10" s="33"/>
      <c r="J10" s="40">
        <f>C32*'E Balans VL '!D20/100/3.6*1000000+C32*'E Balans VL '!E20/100/3.6*1000000</f>
        <v>3.6769309874255134E-3</v>
      </c>
      <c r="K10" s="33"/>
      <c r="L10" s="33"/>
      <c r="M10" s="33"/>
      <c r="N10" s="33">
        <f>C32*'E Balans VL '!Y20/100/3.6*1000000</f>
        <v>81.651677327403362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8.1351047852516007</v>
      </c>
      <c r="C12" s="33"/>
      <c r="D12" s="37">
        <f>IF( ISERROR(IND_min_gas_kWh/1000),0,IND_min_gas_kWh/1000)*0.902</f>
        <v>0</v>
      </c>
      <c r="E12" s="33">
        <f>C34*'E Balans VL '!I22/100/3.6*1000000</f>
        <v>6.3370693713227413E-2</v>
      </c>
      <c r="F12" s="33">
        <f>C34*'E Balans VL '!L22/100/3.6*1000000+C34*'E Balans VL '!N22/100/3.6*1000000</f>
        <v>3.0680616075392493</v>
      </c>
      <c r="G12" s="34"/>
      <c r="H12" s="33"/>
      <c r="I12" s="33"/>
      <c r="J12" s="40">
        <f>C34*'E Balans VL '!D22/100/3.6*1000000+C34*'E Balans VL '!E22/100/3.6*1000000</f>
        <v>4.4742365042857432E-2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817.58620195424601</v>
      </c>
      <c r="C15" s="33"/>
      <c r="D15" s="37">
        <f>IF( ISERROR(IND_rest_gas_kWh/1000),0,IND_rest_gas_kWh/1000)*0.902</f>
        <v>548.58073771424972</v>
      </c>
      <c r="E15" s="33">
        <f>C37*'E Balans VL '!I15/100/3.6*1000000</f>
        <v>45.611634013430617</v>
      </c>
      <c r="F15" s="33">
        <f>C37*'E Balans VL '!L15/100/3.6*1000000+C37*'E Balans VL '!N15/100/3.6*1000000</f>
        <v>192.19785612649622</v>
      </c>
      <c r="G15" s="34"/>
      <c r="H15" s="33"/>
      <c r="I15" s="33"/>
      <c r="J15" s="40">
        <f>C37*'E Balans VL '!D15/100/3.6*1000000+C37*'E Balans VL '!E15/100/3.6*1000000</f>
        <v>2.0955248505213961</v>
      </c>
      <c r="K15" s="33"/>
      <c r="L15" s="33"/>
      <c r="M15" s="33"/>
      <c r="N15" s="33">
        <f>C37*'E Balans VL '!Y15/100/3.6*1000000</f>
        <v>37.944012126439439</v>
      </c>
      <c r="O15" s="33"/>
      <c r="P15" s="33"/>
      <c r="R15" s="32"/>
    </row>
    <row r="16" spans="1:18">
      <c r="A16" s="16" t="s">
        <v>484</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4029.9721602026766</v>
      </c>
      <c r="C18" s="21">
        <f>C5+C16</f>
        <v>0</v>
      </c>
      <c r="D18" s="21">
        <f>MAX((D5+D16),0)</f>
        <v>5222.81341112471</v>
      </c>
      <c r="E18" s="21">
        <f>MAX((E5+E16),0)</f>
        <v>305.58745375073147</v>
      </c>
      <c r="F18" s="21">
        <f>MAX((F5+F16),0)</f>
        <v>1619.6012176797353</v>
      </c>
      <c r="G18" s="21"/>
      <c r="H18" s="21"/>
      <c r="I18" s="21"/>
      <c r="J18" s="21">
        <f>MAX((J5+J16),0)</f>
        <v>2.1439441465516791</v>
      </c>
      <c r="K18" s="21"/>
      <c r="L18" s="21">
        <f>MAX((L5+L16),0)</f>
        <v>0</v>
      </c>
      <c r="M18" s="21"/>
      <c r="N18" s="21">
        <f>MAX((N5+N16),0)</f>
        <v>235.38717655854717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0.20211028146626064</v>
      </c>
      <c r="C20" s="25">
        <f ca="1">'EF ele_warmte'!B22</f>
        <v>0.23453252276232264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814.49880759975736</v>
      </c>
      <c r="C22" s="23">
        <f ca="1">C18*C20</f>
        <v>0</v>
      </c>
      <c r="D22" s="23">
        <f>D18*D20</f>
        <v>1055.0083090471915</v>
      </c>
      <c r="E22" s="23">
        <f>E18*E20</f>
        <v>69.368352001416042</v>
      </c>
      <c r="F22" s="23">
        <f>F18*F20</f>
        <v>432.43352512048938</v>
      </c>
      <c r="G22" s="23"/>
      <c r="H22" s="23"/>
      <c r="I22" s="23"/>
      <c r="J22" s="23">
        <f>J18*J20</f>
        <v>0.7589562278792944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2293.1672780404701</v>
      </c>
      <c r="C30" s="39">
        <f>IF(ISERROR(B30*3.6/1000000/'E Balans VL '!Z18*100),0,B30*3.6/1000000/'E Balans VL '!Z18*100)</f>
        <v>0.22564180632670128</v>
      </c>
      <c r="D30" s="235" t="s">
        <v>672</v>
      </c>
    </row>
    <row r="31" spans="1:18">
      <c r="A31" s="6" t="s">
        <v>32</v>
      </c>
      <c r="B31" s="37">
        <f>IF( ISERROR(IND_ander_ele_kWh/1000),0,IND_ander_ele_kWh/1000)</f>
        <v>633.134340915091</v>
      </c>
      <c r="C31" s="39">
        <f>IF(ISERROR(B31*3.6/1000000/'E Balans VL '!Z19*100),0,B31*3.6/1000000/'E Balans VL '!Z19*100)</f>
        <v>2.7572495500563499E-2</v>
      </c>
      <c r="D31" s="235" t="s">
        <v>672</v>
      </c>
    </row>
    <row r="32" spans="1:18">
      <c r="A32" s="170" t="s">
        <v>40</v>
      </c>
      <c r="B32" s="37">
        <f>IF( ISERROR(IND_voed_ele_kWh/1000),0,IND_voed_ele_kWh/1000)</f>
        <v>277.94923450761803</v>
      </c>
      <c r="C32" s="39">
        <f>IF(ISERROR(B32*3.6/1000000/'E Balans VL '!Z20*100),0,B32*3.6/1000000/'E Balans VL '!Z20*100)</f>
        <v>5.2736858783790148E-2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8.1351047852516007</v>
      </c>
      <c r="C34" s="39">
        <f>IF(ISERROR(B34*3.6/1000000/'E Balans VL '!Z22*100),0,B34*3.6/1000000/'E Balans VL '!Z22*100)</f>
        <v>1.1438774229823759E-3</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817.58620195424601</v>
      </c>
      <c r="C37" s="39">
        <f>IF(ISERROR(B37*3.6/1000000/'E Balans VL '!Z15*100),0,B37*3.6/1000000/'E Balans VL '!Z15*100)</f>
        <v>6.3005058889083398E-3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6690.239163592646</v>
      </c>
      <c r="C5" s="17">
        <f>'Eigen informatie GS &amp; warmtenet'!B60</f>
        <v>0</v>
      </c>
      <c r="D5" s="30">
        <f>IF(ISERROR(SUM(LB_lb_gas_kWh,LB_rest_gas_kWh)/1000),0,SUM(LB_lb_gas_kWh,LB_rest_gas_kWh)/1000)*0.902</f>
        <v>21504.68835018593</v>
      </c>
      <c r="E5" s="17">
        <f>B17*'E Balans VL '!I25/3.6*1000000/100</f>
        <v>84.30563224168543</v>
      </c>
      <c r="F5" s="17">
        <f>B17*('E Balans VL '!L25/3.6*1000000+'E Balans VL '!N25/3.6*1000000)/100</f>
        <v>23083.001119450517</v>
      </c>
      <c r="G5" s="18"/>
      <c r="H5" s="17"/>
      <c r="I5" s="17"/>
      <c r="J5" s="17">
        <f>('E Balans VL '!D25+'E Balans VL '!E25)/3.6*1000000*landbouw!B17/100</f>
        <v>1006.1359182496453</v>
      </c>
      <c r="K5" s="17"/>
      <c r="L5" s="17">
        <f>L6*(-1)</f>
        <v>0</v>
      </c>
      <c r="M5" s="17"/>
      <c r="N5" s="17">
        <f>N6*(-1)</f>
        <v>239.03571428571428</v>
      </c>
      <c r="O5" s="17"/>
      <c r="P5" s="17"/>
      <c r="R5" s="32"/>
    </row>
    <row r="6" spans="1:18">
      <c r="A6" s="16" t="s">
        <v>484</v>
      </c>
      <c r="B6" s="17" t="s">
        <v>204</v>
      </c>
      <c r="C6" s="17">
        <f>'lokale energieproductie'!O41+'lokale energieproductie'!O34</f>
        <v>9119.5178571428569</v>
      </c>
      <c r="D6" s="305">
        <f>('lokale energieproductie'!P34+'lokale energieproductie'!P41)*(-1)</f>
        <v>-18000</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-239.03571428571428</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6690.239163592646</v>
      </c>
      <c r="C8" s="21">
        <f>C5+C6</f>
        <v>9119.5178571428569</v>
      </c>
      <c r="D8" s="21">
        <f>MAX((D5+D6),0)</f>
        <v>3504.6883501859302</v>
      </c>
      <c r="E8" s="21">
        <f>MAX((E5+E6),0)</f>
        <v>84.30563224168543</v>
      </c>
      <c r="F8" s="21">
        <f>MAX((F5+F6),0)</f>
        <v>23083.001119450517</v>
      </c>
      <c r="G8" s="21"/>
      <c r="H8" s="21"/>
      <c r="I8" s="21"/>
      <c r="J8" s="21">
        <f>MAX((J5+J6),0)</f>
        <v>1006.1359182496453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0.20211028146626064</v>
      </c>
      <c r="C10" s="31">
        <f ca="1">'EF ele_warmte'!B22</f>
        <v>0.23453252276232264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1352.1661204303098</v>
      </c>
      <c r="C12" s="23">
        <f ca="1">C8*C10</f>
        <v>2138.8235294117649</v>
      </c>
      <c r="D12" s="23">
        <f>D8*D10</f>
        <v>707.94704673755791</v>
      </c>
      <c r="E12" s="23">
        <f>E8*E10</f>
        <v>19.137378518862594</v>
      </c>
      <c r="F12" s="23">
        <f>F8*F10</f>
        <v>6163.1612988932884</v>
      </c>
      <c r="G12" s="23"/>
      <c r="H12" s="23"/>
      <c r="I12" s="23"/>
      <c r="J12" s="23">
        <f>J8*J10</f>
        <v>356.17211506037444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0.93307749922261829</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1088.4798097505252</v>
      </c>
      <c r="C26" s="245">
        <f>B26*'GWP N2O_CH4'!B5</f>
        <v>22858.076004761027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465.89358312763983</v>
      </c>
      <c r="C27" s="245">
        <f>B27*'GWP N2O_CH4'!B5</f>
        <v>9783.7652456804371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17.033705549869243</v>
      </c>
      <c r="C28" s="245">
        <f>B28*'GWP N2O_CH4'!B4</f>
        <v>5280.4487204594652</v>
      </c>
      <c r="D28" s="50"/>
    </row>
    <row r="29" spans="1:4">
      <c r="A29" s="41" t="s">
        <v>266</v>
      </c>
      <c r="B29" s="245">
        <f>B34*'ha_N2O bodem landbouw'!B4</f>
        <v>40.23699617160819</v>
      </c>
      <c r="C29" s="245">
        <f>B29*'GWP N2O_CH4'!B4</f>
        <v>12473.468813198539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1.0046775884763258E-2</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3.4253403524163301E-5</v>
      </c>
      <c r="C5" s="434" t="s">
        <v>204</v>
      </c>
      <c r="D5" s="419">
        <f>SUM(D6:D11)</f>
        <v>3.4334290078617722E-5</v>
      </c>
      <c r="E5" s="419">
        <f>SUM(E6:E11)</f>
        <v>1.2150344129790505E-3</v>
      </c>
      <c r="F5" s="432" t="s">
        <v>204</v>
      </c>
      <c r="G5" s="419">
        <f>SUM(G6:G11)</f>
        <v>0.33276547732551842</v>
      </c>
      <c r="H5" s="419">
        <f>SUM(H6:H11)</f>
        <v>5.8557765273079536E-2</v>
      </c>
      <c r="I5" s="434" t="s">
        <v>204</v>
      </c>
      <c r="J5" s="434" t="s">
        <v>204</v>
      </c>
      <c r="K5" s="434" t="s">
        <v>204</v>
      </c>
      <c r="L5" s="434" t="s">
        <v>204</v>
      </c>
      <c r="M5" s="419">
        <f>SUM(M6:M11)</f>
        <v>1.7694037405972904E-2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2.5147845574706322E-5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2.2403746142268128E-5</v>
      </c>
      <c r="E6" s="873">
        <f>vkm_GW_PW*SUMIFS(TableVerdeelsleutelVkm[LPG],TableVerdeelsleutelVkm[Voertuigtype],"Lichte voertuigen")*SUMIFS(TableECFTransport[EnergieConsumptieFactor (PJ per km)],TableECFTransport[Index],CONCATENATE($A6,"_LPG_LPG"))</f>
        <v>8.0636309656272379E-4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0.15805151994167657</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3.8747654383308697E-2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8.9025187687437439E-3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5.291466741863292E-7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8.2804039861482451E-2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1.8874958724804417E-6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3.738729986679202E-3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8.4934995744709685E-6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1.1930543936349596E-5</v>
      </c>
      <c r="E8" s="422">
        <f>vkm_NGW_PW*SUMIFS(TableVerdeelsleutelVkm[LPG],TableVerdeelsleutelVkm[Voertuigtype],"Lichte voertuigen")*SUMIFS(TableECFTransport[EnergieConsumptieFactor (PJ per km)],TableECFTransport[Index],CONCATENATE($A8,"_LPG_LPG"))</f>
        <v>4.0867131641632678E-4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7.5243919359437347E-2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1.9807866415275259E-2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4.3002941988194779E-3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8.2911700799682275E-8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1.6665998162922021E-2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3.5697862309953086E-7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7.5249445173047739E-4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9.5148343122675847</v>
      </c>
      <c r="C14" s="21"/>
      <c r="D14" s="21">
        <f t="shared" ref="D14:M14" si="0">((D5)*10^9/3600)+D12</f>
        <v>9.5373027996160324</v>
      </c>
      <c r="E14" s="21">
        <f t="shared" si="0"/>
        <v>337.50955916084735</v>
      </c>
      <c r="F14" s="21"/>
      <c r="G14" s="21">
        <f t="shared" si="0"/>
        <v>92434.854812644015</v>
      </c>
      <c r="H14" s="21">
        <f t="shared" si="0"/>
        <v>16266.045909188761</v>
      </c>
      <c r="I14" s="21"/>
      <c r="J14" s="21"/>
      <c r="K14" s="21"/>
      <c r="L14" s="21"/>
      <c r="M14" s="21">
        <f t="shared" si="0"/>
        <v>4915.0103905480291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0.20211028146626064</v>
      </c>
      <c r="C16" s="56">
        <f ca="1">'EF ele_warmte'!B22</f>
        <v>0.23453252276232264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1.923045840957236</v>
      </c>
      <c r="C18" s="23"/>
      <c r="D18" s="23">
        <f t="shared" ref="D18:M18" si="1">D14*D16</f>
        <v>1.9265351655224388</v>
      </c>
      <c r="E18" s="23">
        <f t="shared" si="1"/>
        <v>76.614669929512345</v>
      </c>
      <c r="F18" s="23"/>
      <c r="G18" s="23">
        <f t="shared" si="1"/>
        <v>24680.106234975952</v>
      </c>
      <c r="H18" s="23">
        <f t="shared" si="1"/>
        <v>4050.2454313880012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2.7211348945210557E-5</v>
      </c>
      <c r="C50" s="316">
        <f t="shared" ref="C50:P50" si="2">SUM(C51:C52)</f>
        <v>0</v>
      </c>
      <c r="D50" s="316">
        <f t="shared" si="2"/>
        <v>0</v>
      </c>
      <c r="E50" s="316">
        <f t="shared" si="2"/>
        <v>0</v>
      </c>
      <c r="F50" s="316">
        <f t="shared" si="2"/>
        <v>0</v>
      </c>
      <c r="G50" s="316">
        <f t="shared" si="2"/>
        <v>5.29653497143739E-3</v>
      </c>
      <c r="H50" s="316">
        <f t="shared" si="2"/>
        <v>0</v>
      </c>
      <c r="I50" s="316">
        <f t="shared" si="2"/>
        <v>0</v>
      </c>
      <c r="J50" s="316">
        <f t="shared" si="2"/>
        <v>0</v>
      </c>
      <c r="K50" s="316">
        <f t="shared" si="2"/>
        <v>0</v>
      </c>
      <c r="L50" s="316">
        <f t="shared" si="2"/>
        <v>0</v>
      </c>
      <c r="M50" s="316">
        <f t="shared" si="2"/>
        <v>2.3750107853267758E-4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2.7211348945210557E-5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5.29653497143739E-3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2.3750107853267758E-4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7.5587080403362661</v>
      </c>
      <c r="C54" s="21">
        <f t="shared" ref="C54:P54" si="3">(C50)*10^9/3600</f>
        <v>0</v>
      </c>
      <c r="D54" s="21">
        <f t="shared" si="3"/>
        <v>0</v>
      </c>
      <c r="E54" s="21">
        <f t="shared" si="3"/>
        <v>0</v>
      </c>
      <c r="F54" s="21">
        <f t="shared" si="3"/>
        <v>0</v>
      </c>
      <c r="G54" s="21">
        <f t="shared" si="3"/>
        <v>1471.2597142881639</v>
      </c>
      <c r="H54" s="21">
        <f t="shared" si="3"/>
        <v>0</v>
      </c>
      <c r="I54" s="21">
        <f t="shared" si="3"/>
        <v>0</v>
      </c>
      <c r="J54" s="21">
        <f t="shared" si="3"/>
        <v>0</v>
      </c>
      <c r="K54" s="21">
        <f t="shared" si="3"/>
        <v>0</v>
      </c>
      <c r="L54" s="21">
        <f t="shared" si="3"/>
        <v>0</v>
      </c>
      <c r="M54" s="21">
        <f t="shared" si="3"/>
        <v>65.972521814632657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0.20211028146626064</v>
      </c>
      <c r="C56" s="56">
        <f ca="1">'EF ele_warmte'!B22</f>
        <v>0.23453252276232264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1.52769260955365</v>
      </c>
      <c r="C58" s="23">
        <f t="shared" ref="C58:P58" ca="1" si="4">C54*C56</f>
        <v>0</v>
      </c>
      <c r="D58" s="23">
        <f t="shared" si="4"/>
        <v>0</v>
      </c>
      <c r="E58" s="23">
        <f t="shared" si="4"/>
        <v>0</v>
      </c>
      <c r="F58" s="23">
        <f t="shared" si="4"/>
        <v>0</v>
      </c>
      <c r="G58" s="23">
        <f t="shared" si="4"/>
        <v>392.82634371493975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4680.9094641645806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6383.6624999999995</v>
      </c>
      <c r="C8" s="546">
        <f>B50</f>
        <v>7411.7647058823522</v>
      </c>
      <c r="D8" s="1001"/>
      <c r="E8" s="1001">
        <f>E50</f>
        <v>0</v>
      </c>
      <c r="F8" s="1002"/>
      <c r="G8" s="547"/>
      <c r="H8" s="1001">
        <f>I50</f>
        <v>0</v>
      </c>
      <c r="I8" s="1001">
        <f>G50+F50</f>
        <v>0</v>
      </c>
      <c r="J8" s="1001">
        <f>H50+D50+C50</f>
        <v>98.42647058823529</v>
      </c>
      <c r="K8" s="1001"/>
      <c r="L8" s="1001"/>
      <c r="M8" s="1001"/>
      <c r="N8" s="548"/>
      <c r="O8" s="549">
        <f>C8*$C$12+D8*$D$12+E8*$E$12+F8*$F$12+G8*$G$12+H8*$H$12+I8*$I$12+J8*$J$12</f>
        <v>1497.1764705882354</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11064.571964164581</v>
      </c>
      <c r="C10" s="559">
        <f t="shared" ref="C10:L10" si="0">SUM(C8:C9)</f>
        <v>7411.7647058823522</v>
      </c>
      <c r="D10" s="559">
        <f t="shared" si="0"/>
        <v>0</v>
      </c>
      <c r="E10" s="559">
        <f t="shared" si="0"/>
        <v>0</v>
      </c>
      <c r="F10" s="559">
        <f t="shared" si="0"/>
        <v>0</v>
      </c>
      <c r="G10" s="559">
        <f t="shared" si="0"/>
        <v>0</v>
      </c>
      <c r="H10" s="559">
        <f t="shared" si="0"/>
        <v>0</v>
      </c>
      <c r="I10" s="559">
        <f t="shared" si="0"/>
        <v>0</v>
      </c>
      <c r="J10" s="559">
        <f t="shared" si="0"/>
        <v>98.42647058823529</v>
      </c>
      <c r="K10" s="559">
        <f t="shared" si="0"/>
        <v>0</v>
      </c>
      <c r="L10" s="559">
        <f t="shared" si="0"/>
        <v>0</v>
      </c>
      <c r="M10" s="1004"/>
      <c r="N10" s="1004"/>
      <c r="O10" s="560">
        <f>SUM(O4:O9)</f>
        <v>1497.1764705882354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9119.5178571428569</v>
      </c>
      <c r="C17" s="571">
        <f>B51</f>
        <v>10588.235294117647</v>
      </c>
      <c r="D17" s="572"/>
      <c r="E17" s="572">
        <f>E51</f>
        <v>0</v>
      </c>
      <c r="F17" s="1007"/>
      <c r="G17" s="573"/>
      <c r="H17" s="571">
        <f>I51</f>
        <v>0</v>
      </c>
      <c r="I17" s="572">
        <f>G51+F51</f>
        <v>0</v>
      </c>
      <c r="J17" s="572">
        <f>H51+D51+C51</f>
        <v>140.609243697479</v>
      </c>
      <c r="K17" s="572"/>
      <c r="L17" s="572"/>
      <c r="M17" s="572"/>
      <c r="N17" s="1008"/>
      <c r="O17" s="574">
        <f>C17*$C$22+E17*$E$22+H17*$H$22+I17*$I$22+J17*$J$22+D17*$D$22+F17*$F$22+G17*$G$22+K17*$K$22+L17*$L$22</f>
        <v>2138.8235294117649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9119.5178571428569</v>
      </c>
      <c r="C20" s="558">
        <f>SUM(C17:C19)</f>
        <v>10588.235294117647</v>
      </c>
      <c r="D20" s="558">
        <f t="shared" ref="D20:L20" si="1">SUM(D17:D19)</f>
        <v>0</v>
      </c>
      <c r="E20" s="558">
        <f t="shared" si="1"/>
        <v>0</v>
      </c>
      <c r="F20" s="558">
        <f t="shared" si="1"/>
        <v>0</v>
      </c>
      <c r="G20" s="558">
        <f t="shared" si="1"/>
        <v>0</v>
      </c>
      <c r="H20" s="558">
        <f t="shared" si="1"/>
        <v>0</v>
      </c>
      <c r="I20" s="558">
        <f t="shared" si="1"/>
        <v>0</v>
      </c>
      <c r="J20" s="558">
        <f t="shared" si="1"/>
        <v>140.609243697479</v>
      </c>
      <c r="K20" s="558">
        <f t="shared" si="1"/>
        <v>0</v>
      </c>
      <c r="L20" s="558">
        <f t="shared" si="1"/>
        <v>0</v>
      </c>
      <c r="M20" s="558"/>
      <c r="N20" s="558"/>
      <c r="O20" s="578">
        <f>SUM(O17:O19)</f>
        <v>2138.8235294117649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43002</v>
      </c>
      <c r="C28" s="777">
        <v>9960</v>
      </c>
      <c r="D28" s="630"/>
      <c r="E28" s="629"/>
      <c r="F28" s="629"/>
      <c r="G28" s="629" t="s">
        <v>926</v>
      </c>
      <c r="H28" s="629" t="s">
        <v>927</v>
      </c>
      <c r="I28" s="629"/>
      <c r="J28" s="776"/>
      <c r="K28" s="776"/>
      <c r="L28" s="629" t="s">
        <v>928</v>
      </c>
      <c r="M28" s="629">
        <v>1400</v>
      </c>
      <c r="N28" s="629">
        <v>6300</v>
      </c>
      <c r="O28" s="629">
        <v>9000</v>
      </c>
      <c r="P28" s="629">
        <v>18000</v>
      </c>
      <c r="Q28" s="629">
        <v>0</v>
      </c>
      <c r="R28" s="629">
        <v>0</v>
      </c>
      <c r="S28" s="629">
        <v>0</v>
      </c>
      <c r="T28" s="629">
        <v>0</v>
      </c>
      <c r="U28" s="629">
        <v>0</v>
      </c>
      <c r="V28" s="629">
        <v>0</v>
      </c>
      <c r="W28" s="629">
        <v>0</v>
      </c>
      <c r="X28" s="629">
        <v>10</v>
      </c>
      <c r="Y28" s="629" t="s">
        <v>105</v>
      </c>
      <c r="Z28" s="631" t="s">
        <v>105</v>
      </c>
    </row>
    <row r="29" spans="1:26" s="583" customFormat="1" ht="25.5" hidden="1">
      <c r="A29" s="582"/>
      <c r="B29" s="777">
        <v>43002</v>
      </c>
      <c r="C29" s="777">
        <v>9961</v>
      </c>
      <c r="D29" s="630"/>
      <c r="E29" s="629"/>
      <c r="F29" s="629"/>
      <c r="G29" s="629" t="s">
        <v>926</v>
      </c>
      <c r="H29" s="629" t="s">
        <v>927</v>
      </c>
      <c r="I29" s="629"/>
      <c r="J29" s="776"/>
      <c r="K29" s="776"/>
      <c r="L29" s="629" t="s">
        <v>928</v>
      </c>
      <c r="M29" s="629">
        <v>9.6999999999999993</v>
      </c>
      <c r="N29" s="629">
        <v>43.649999999999991</v>
      </c>
      <c r="O29" s="629">
        <v>62.357142857142847</v>
      </c>
      <c r="P29" s="629">
        <v>0</v>
      </c>
      <c r="Q29" s="629">
        <v>124.71428571428569</v>
      </c>
      <c r="R29" s="629">
        <v>0</v>
      </c>
      <c r="S29" s="629">
        <v>0</v>
      </c>
      <c r="T29" s="629">
        <v>0</v>
      </c>
      <c r="U29" s="629">
        <v>0</v>
      </c>
      <c r="V29" s="629">
        <v>0</v>
      </c>
      <c r="W29" s="629">
        <v>0</v>
      </c>
      <c r="X29" s="629">
        <v>10</v>
      </c>
      <c r="Y29" s="629" t="s">
        <v>105</v>
      </c>
      <c r="Z29" s="631" t="s">
        <v>105</v>
      </c>
    </row>
    <row r="30" spans="1:26" s="583" customFormat="1" ht="25.5" hidden="1">
      <c r="A30" s="582"/>
      <c r="B30" s="777">
        <v>43002</v>
      </c>
      <c r="C30" s="777">
        <v>9968</v>
      </c>
      <c r="D30" s="630"/>
      <c r="E30" s="629"/>
      <c r="F30" s="629"/>
      <c r="G30" s="629" t="s">
        <v>926</v>
      </c>
      <c r="H30" s="629" t="s">
        <v>927</v>
      </c>
      <c r="I30" s="629"/>
      <c r="J30" s="776"/>
      <c r="K30" s="776"/>
      <c r="L30" s="629" t="s">
        <v>928</v>
      </c>
      <c r="M30" s="629">
        <v>9.6999999999999993</v>
      </c>
      <c r="N30" s="629">
        <v>40.012499999999996</v>
      </c>
      <c r="O30" s="629">
        <v>57.160714285714278</v>
      </c>
      <c r="P30" s="629">
        <v>0</v>
      </c>
      <c r="Q30" s="629">
        <v>114.32142857142857</v>
      </c>
      <c r="R30" s="629">
        <v>0</v>
      </c>
      <c r="S30" s="629">
        <v>0</v>
      </c>
      <c r="T30" s="629">
        <v>0</v>
      </c>
      <c r="U30" s="629">
        <v>0</v>
      </c>
      <c r="V30" s="629">
        <v>0</v>
      </c>
      <c r="W30" s="629">
        <v>0</v>
      </c>
      <c r="X30" s="629">
        <v>10</v>
      </c>
      <c r="Y30" s="629" t="s">
        <v>105</v>
      </c>
      <c r="Z30" s="631" t="s">
        <v>105</v>
      </c>
    </row>
    <row r="31" spans="1:26" s="566" customFormat="1" hidden="1">
      <c r="A31" s="585" t="s">
        <v>269</v>
      </c>
      <c r="B31" s="586"/>
      <c r="C31" s="586"/>
      <c r="D31" s="586"/>
      <c r="E31" s="586"/>
      <c r="F31" s="586"/>
      <c r="G31" s="586"/>
      <c r="H31" s="586"/>
      <c r="I31" s="586"/>
      <c r="J31" s="586"/>
      <c r="K31" s="586"/>
      <c r="L31" s="587"/>
      <c r="M31" s="587">
        <f>SUM(M28:M30)</f>
        <v>1419.4</v>
      </c>
      <c r="N31" s="587">
        <f>SUM(N28:N30)</f>
        <v>6383.6624999999995</v>
      </c>
      <c r="O31" s="587">
        <f>SUM(O28:O30)</f>
        <v>9119.5178571428569</v>
      </c>
      <c r="P31" s="587">
        <f>SUM(P28:P30)</f>
        <v>18000</v>
      </c>
      <c r="Q31" s="587">
        <f>SUM(Q28:Q30)</f>
        <v>239.03571428571428</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1419.4</v>
      </c>
      <c r="N34" s="592">
        <f>SUMIF($Z$28:$Z$30,"landbouw",N28:N30)</f>
        <v>6383.6624999999995</v>
      </c>
      <c r="O34" s="592">
        <f>SUMIF($Z$28:$Z$30,"landbouw",O28:O30)</f>
        <v>9119.5178571428569</v>
      </c>
      <c r="P34" s="592">
        <f>SUMIF($Z$28:$Z$30,"landbouw",P28:P30)</f>
        <v>18000</v>
      </c>
      <c r="Q34" s="592">
        <f>SUMIF($Z$28:$Z$30,"landbouw",Q28:Q30)</f>
        <v>239.03571428571428</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0.58823529411764708</v>
      </c>
      <c r="C47" s="612">
        <f>IF(ISERROR(N31/(O31+N31)),0,N31/(N31+O31))</f>
        <v>0.41176470588235292</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7411.7647058823522</v>
      </c>
      <c r="C50" s="621">
        <f t="shared" si="2"/>
        <v>98.42647058823529</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10588.235294117647</v>
      </c>
      <c r="C51" s="624">
        <f t="shared" si="3"/>
        <v>140.609243697479</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2021-11-11T13:25:32Z</dcterms:modified>
</cp:coreProperties>
</file>