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1914270-1FD3-44EA-AEA8-D9BE6DC29E9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I49" i="18"/>
  <c r="H17" i="18" s="1"/>
  <c r="F49" i="18"/>
  <c r="C49" i="18"/>
  <c r="B49" i="18"/>
  <c r="C17" i="18" s="1"/>
  <c r="C20" i="18" s="1"/>
  <c r="B20" i="18"/>
  <c r="C45" i="18"/>
  <c r="O18" i="18"/>
  <c r="H20" i="18"/>
  <c r="G20" i="18"/>
  <c r="K20" i="18"/>
  <c r="B10" i="18"/>
  <c r="O1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<sst xmlns="http://schemas.openxmlformats.org/spreadsheetml/2006/main" count="2516" uniqueCount="929">
  <si>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</si>
  <si>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</si>
  <si>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</si>
  <si>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</si>
  <si>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</si>
  <si>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</si>
  <si>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</si>
  <si>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</si>
  <si>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</si>
  <si>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</si>
  <si>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</si>
  <si>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</si>
  <si>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</si>
  <si>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</si>
  <si>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</si>
  <si>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</si>
  <si>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</si>
  <si>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</si>
  <si>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</si>
  <si>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</si>
  <si>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</si>
  <si>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</si>
  <si>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</si>
  <si>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</si>
  <si>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</si>
  <si>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</si>
  <si>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</si>
  <si>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</si>
  <si>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</si>
  <si>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</si>
  <si>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</si>
  <si>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</si>
  <si>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</si>
  <si>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</si>
  <si>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</si>
  <si>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</si>
  <si>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</si>
  <si>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</si>
  <si>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</si>
  <si>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</si>
  <si>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</si>
  <si>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</si>
  <si>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</si>
  <si>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</si>
  <si>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</si>
  <si>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</si>
  <si>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</si>
  <si>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</si>
  <si>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</si>
  <si>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</si>
  <si>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</si>
  <si>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</si>
  <si>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</si>
  <si>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</si>
  <si>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</si>
  <si>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</si>
  <si>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</si>
  <si>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</si>
  <si>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</si>
  <si>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</si>
  <si>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</si>
  <si>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</si>
  <si>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</si>
  <si>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</si>
  <si>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</si>
  <si>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</si>
  <si>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</si>
  <si>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</si>
  <si>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</si>
  <si>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</si>
  <si>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</si>
  <si>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</si>
  <si>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</si>
  <si>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</si>
  <si>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</si>
  <si>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</si>
  <si>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</si>
  <si>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</si>
  <si>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</si>
  <si>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</si>
  <si>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</si>
  <si>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</si>
  <si>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</si>
  <si>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</si>
  <si>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</si>
  <si>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</si>
  <si>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</si>
  <si>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</si>
  <si>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</si>
  <si>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</si>
  <si>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</si>
  <si>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</si>
  <si>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</si>
  <si>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</si>
  <si>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</si>
  <si>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</si>
  <si>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</si>
  <si>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</si>
  <si>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</si>
  <si>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</si>
  <si>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</si>
  <si>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</si>
  <si>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</si>
  <si>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</si>
  <si>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</si>
  <si>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</si>
  <si>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</si>
  <si>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</si>
  <si>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</si>
  <si>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</si>
  <si>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</si>
  <si>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</si>
  <si>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</si>
  <si>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</si>
  <si>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</si>
  <si>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</si>
  <si>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</si>
  <si>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</si>
  <si>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</si>
  <si>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</si>
  <si>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</si>
  <si>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</si>
  <si>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</si>
  <si>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</si>
  <si>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</si>
  <si>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</si>
  <si>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</si>
  <si>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</si>
  <si>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</si>
  <si>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</si>
  <si>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</si>
  <si>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</si>
  <si>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</si>
  <si>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</si>
  <si>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</si>
  <si>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</si>
  <si>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</si>
  <si>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</si>
  <si>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</si>
  <si>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</si>
  <si>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</si>
  <si>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</si>
  <si>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</si>
  <si>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</si>
  <si>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</si>
  <si>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</si>
  <si>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</si>
  <si>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</si>
  <si>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</si>
  <si>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</si>
  <si>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</si>
  <si>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</si>
  <si>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</si>
  <si>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</si>
  <si>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</si>
  <si>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</si>
  <si>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</si>
  <si>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</si>
  <si>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</si>
  <si>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</si>
  <si>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</si>
  <si>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</si>
  <si>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</si>
  <si>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</si>
  <si>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</si>
  <si>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</si>
  <si>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</si>
  <si>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</si>
  <si>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</si>
  <si>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</si>
  <si>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</si>
  <si>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</si>
  <si>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</si>
  <si>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</si>
  <si>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</si>
  <si>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</si>
  <si>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</si>
  <si>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</si>
  <si>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</si>
  <si>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</si>
  <si>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</si>
  <si>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</si>
  <si>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</si>
  <si>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</si>
  <si>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</si>
  <si>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</si>
  <si>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</si>
  <si>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</si>
  <si>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</si>
  <si>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</si>
  <si>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</si>
  <si>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</si>
  <si>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</si>
  <si>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</si>
  <si>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</si>
  <si>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</si>
  <si>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</si>
  <si>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</si>
  <si>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</si>
  <si>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</si>
  <si>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</si>
  <si>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</si>
  <si>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</si>
  <si>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</si>
  <si>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</si>
  <si>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</si>
  <si>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</si>
  <si>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</si>
  <si>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</si>
  <si>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</si>
  <si>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</si>
  <si>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</si>
  <si>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</si>
  <si>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</si>
  <si>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</si>
  <si>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</si>
  <si>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</si>
  <si>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</si>
  <si>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</si>
  <si>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</si>
  <si>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</si>
  <si>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</si>
  <si>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</si>
  <si>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</si>
  <si>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</si>
  <si>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</si>
  <si>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</si>
  <si>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</si>
  <si>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</si>
  <si>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</si>
  <si>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</si>
  <si>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</si>
  <si>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</si>
  <si>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</si>
  <si>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</si>
  <si>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</si>
  <si>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</si>
  <si>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</si>
  <si>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</si>
  <si>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</si>
  <si>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</si>
  <si>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</si>
  <si>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</si>
  <si>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</si>
  <si>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</si>
  <si>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</si>
  <si>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</si>
  <si>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</si>
  <si>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</si>
  <si>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</si>
  <si>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</si>
  <si>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</si>
  <si>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</si>
  <si>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</si>
  <si>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</si>
  <si>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</si>
  <si>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</si>
  <si>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</si>
  <si>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</si>
  <si>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</si>
  <si>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</si>
  <si>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</si>
  <si>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</si>
  <si>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</si>
  <si>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</si>
  <si>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</si>
  <si>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</si>
  <si>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</si>
  <si>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</si>
  <si>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</si>
  <si>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</si>
  <si>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</si>
  <si>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</si>
  <si>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</si>
  <si>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</si>
  <si>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</si>
  <si>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</si>
  <si>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</si>
  <si>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</si>
  <si>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</si>
  <si>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</si>
  <si>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</si>
  <si>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</si>
  <si>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</si>
  <si>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</si>
  <si>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</si>
  <si>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</si>
  <si>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</si>
  <si>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</si>
  <si>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</si>
  <si>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</si>
  <si>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</si>
  <si>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</si>
  <si>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</si>
  <si>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</si>
  <si>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</si>
  <si>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</si>
  <si>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</si>
  <si>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</si>
  <si>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</si>
  <si>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</si>
  <si>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</si>
  <si>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</si>
  <si>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</si>
  <si>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</si>
  <si>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</si>
  <si>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</si>
  <si>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</si>
  <si>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</si>
  <si>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</si>
  <si>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</si>
  <si>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</si>
  <si>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</si>
  <si>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</si>
  <si>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</si>
  <si>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</si>
  <si>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</si>
  <si>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</si>
  <si>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</si>
  <si>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</si>
  <si>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</si>
  <si>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</si>
  <si>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</si>
  <si>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</si>
  <si>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</si>
  <si>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</si>
  <si>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</si>
  <si>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</si>
  <si>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</si>
  <si>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</si>
  <si>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</si>
  <si>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</si>
  <si>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</si>
  <si>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</si>
  <si>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</si>
  <si>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</si>
  <si>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</si>
  <si>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</si>
  <si>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</si>
  <si>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</si>
  <si>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</si>
  <si>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</si>
  <si>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</si>
  <si>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</si>
  <si>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</si>
  <si>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</si>
  <si>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</si>
  <si>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</si>
  <si>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</si>
  <si>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</si>
  <si>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</si>
  <si>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</si>
  <si>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</si>
  <si>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</si>
  <si>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</si>
  <si>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</si>
  <si>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</si>
  <si>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</si>
  <si>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</si>
  <si>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</si>
  <si>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</si>
  <si>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</si>
  <si>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</si>
  <si>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</si>
  <si>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</si>
  <si>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</si>
  <si>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</si>
  <si>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</si>
  <si>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</si>
  <si>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</si>
  <si>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</si>
  <si>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</si>
  <si>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</si>
  <si>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</si>
  <si>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</si>
  <si>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</si>
  <si>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</si>
  <si>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</si>
  <si>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</si>
  <si>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</si>
  <si>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</si>
  <si>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</si>
  <si>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</si>
  <si>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</si>
  <si>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</si>
  <si>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</si>
  <si>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</si>
  <si>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</si>
  <si>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</si>
  <si>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</si>
  <si>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</si>
  <si>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</si>
  <si>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</si>
  <si>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</si>
  <si>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</si>
  <si>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</si>
  <si>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</si>
  <si>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</si>
  <si>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</si>
  <si>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</si>
  <si>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</si>
  <si>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</si>
  <si>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</si>
  <si>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</si>
  <si>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</si>
  <si>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</si>
  <si>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</si>
  <si>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</si>
  <si>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</si>
  <si>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</si>
  <si>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</si>
  <si>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</si>
  <si>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</si>
  <si>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</si>
  <si>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</si>
  <si>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</si>
  <si>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</si>
  <si>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</si>
  <si>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</si>
  <si>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</si>
  <si>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</si>
  <si>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</si>
  <si>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</si>
  <si>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</si>
  <si>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</si>
  <si>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</si>
  <si>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</si>
  <si>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</si>
  <si>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</si>
  <si>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</si>
  <si>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</si>
  <si>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</si>
  <si>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</si>
  <si>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</si>
  <si>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</si>
  <si>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</si>
  <si>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</si>
  <si>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</si>
  <si>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</si>
  <si>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</si>
  <si>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</si>
  <si>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</si>
  <si>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</si>
  <si>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</si>
  <si>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</si>
  <si>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</si>
  <si>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</si>
  <si>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</si>
  <si>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</si>
  <si>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</si>
  <si>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</si>
  <si>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</si>
  <si>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</si>
  <si>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</si>
  <si>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</si>
  <si>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</si>
  <si>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</si>
  <si>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</si>
  <si>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</si>
  <si>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</si>
  <si>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</si>
  <si>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</si>
  <si>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</si>
  <si>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</si>
  <si>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</si>
  <si>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</si>
  <si>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</si>
  <si>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</si>
  <si>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</si>
  <si>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</si>
  <si>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</si>
  <si>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</si>
  <si>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</si>
  <si>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</si>
  <si>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</si>
  <si>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</si>
  <si>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</si>
  <si>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</si>
  <si>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</si>
  <si>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</si>
  <si>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</si>
  <si>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</si>
  <si>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</si>
  <si>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</si>
  <si>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</si>
  <si>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</si>
  <si>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</si>
  <si>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</si>
  <si>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</si>
  <si>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</si>
  <si>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</si>
  <si>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</si>
  <si>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</si>
  <si>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</si>
  <si>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</si>
  <si>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</si>
  <si>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</si>
  <si>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</si>
  <si>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</si>
  <si>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</si>
  <si>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</si>
  <si>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</si>
  <si>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</si>
  <si>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</si>
  <si>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</si>
  <si>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</si>
  <si>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</si>
  <si>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</si>
  <si>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</si>
  <si>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</si>
  <si>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</si>
  <si>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</si>
  <si>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</si>
  <si>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</si>
  <si>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</si>
  <si>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</si>
  <si>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</si>
  <si>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</si>
  <si>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</si>
  <si>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</si>
  <si>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</si>
  <si>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</si>
  <si>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</si>
  <si>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</si>
  <si>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</si>
  <si>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</si>
  <si>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</si>
  <si>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</si>
  <si>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</si>
  <si>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</si>
  <si>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</si>
  <si>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</si>
  <si>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</si>
  <si>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</si>
  <si>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</si>
  <si>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</si>
  <si>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</si>
  <si>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</si>
  <si>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</si>
  <si>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</si>
  <si>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</si>
  <si>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</si>
  <si>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</si>
  <si>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</si>
  <si>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</si>
  <si>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</si>
  <si>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</si>
  <si>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</si>
  <si>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</si>
  <si>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</si>
  <si>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</si>
  <si>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</si>
  <si>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</si>
  <si>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</si>
  <si>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</si>
  <si>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</si>
  <si>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</si>
  <si>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</si>
  <si>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</si>
  <si>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</si>
  <si>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</si>
  <si>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</si>
  <si>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</si>
  <si>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</si>
  <si>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</si>
  <si>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</si>
  <si>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</si>
  <si>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</si>
  <si>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</si>
  <si>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</si>
  <si>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</si>
  <si>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</si>
  <si>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</si>
  <si>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</si>
  <si>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</si>
  <si>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</si>
  <si>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</si>
  <si>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</si>
  <si>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</si>
  <si>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</si>
  <si>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</si>
  <si>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</si>
  <si>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</si>
  <si>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</si>
  <si>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</si>
  <si>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</si>
  <si>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</si>
  <si>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</si>
  <si>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</si>
  <si>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</si>
  <si>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</si>
  <si>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</si>
  <si>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</si>
  <si>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</si>
  <si>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</si>
  <si>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</si>
  <si>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</si>
  <si>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</si>
  <si>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</si>
  <si>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</si>
  <si>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</si>
  <si>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</si>
  <si>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</si>
  <si>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</si>
  <si>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</si>
  <si>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</si>
  <si>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</si>
  <si>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</si>
  <si>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</si>
  <si>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</si>
  <si>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</si>
  <si>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</si>
  <si>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</si>
  <si>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</si>
  <si>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</si>
  <si>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</si>
  <si>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</si>
  <si>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</si>
  <si>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</si>
  <si>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</si>
  <si>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</si>
  <si>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</si>
  <si>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</si>
  <si>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</si>
  <si>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</si>
  <si>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</si>
  <si>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</si>
  <si>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</si>
  <si>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</si>
  <si>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</si>
  <si>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</si>
  <si>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</si>
  <si>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</si>
  <si>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</si>
  <si>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</si>
  <si>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</si>
  <si>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</si>
  <si>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</si>
  <si>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</si>
  <si>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</si>
  <si>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</si>
  <si>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</si>
  <si>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</si>
  <si>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</si>
  <si>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</si>
  <si>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</si>
  <si>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</si>
  <si>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</si>
  <si>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</si>
  <si>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</si>
  <si>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</si>
  <si>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</si>
  <si>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</si>
  <si>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</si>
  <si>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</si>
  <si>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</si>
  <si>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</si>
  <si>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</si>
  <si>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</si>
  <si>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</si>
  <si>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</si>
  <si>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</si>
  <si>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</si>
  <si>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</si>
  <si>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</si>
  <si>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</si>
  <si>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</si>
  <si>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</si>
  <si>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</si>
  <si>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</si>
  <si>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</si>
  <si>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</si>
  <si>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</si>
  <si>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</si>
  <si>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</si>
  <si>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</si>
  <si>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</si>
  <si>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</si>
  <si>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</si>
  <si>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</si>
  <si>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</si>
  <si>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</si>
  <si>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</si>
  <si>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</si>
  <si>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</si>
  <si>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</si>
  <si>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</si>
  <si>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</si>
  <si>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</si>
  <si>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</si>
  <si>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</si>
  <si>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</si>
  <si>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</si>
  <si>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</si>
  <si>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</si>
  <si>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</si>
  <si>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</si>
  <si>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</si>
  <si>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</si>
  <si>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</si>
  <si>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</si>
  <si>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</si>
  <si>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</si>
  <si>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</si>
  <si>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</si>
  <si>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</si>
  <si>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</si>
  <si>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</si>
  <si>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</si>
  <si>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</si>
  <si>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</si>
  <si>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</si>
  <si>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</si>
  <si>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</si>
  <si>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</si>
  <si>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</si>
  <si>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</si>
  <si>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</si>
  <si>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</si>
  <si>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</si>
  <si>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</si>
  <si>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</si>
  <si>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</si>
  <si>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</si>
  <si>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</si>
  <si>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</si>
  <si>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</si>
  <si>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</si>
  <si>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</si>
  <si>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</si>
  <si>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</si>
  <si>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</si>
  <si>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</si>
  <si>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</si>
  <si>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</si>
  <si>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</si>
  <si>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</si>
  <si>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</si>
  <si>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</si>
  <si>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</si>
  <si>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</si>
  <si>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</si>
  <si>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</si>
  <si>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</si>
  <si>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</si>
  <si>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</si>
  <si>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</si>
  <si>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</si>
  <si>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</si>
  <si>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</si>
  <si>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</si>
  <si>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</si>
  <si>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</si>
  <si>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</si>
  <si>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</si>
  <si>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</si>
  <si>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</si>
  <si>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</si>
  <si>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</si>
  <si>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</si>
  <si>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</si>
  <si>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</si>
  <si>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</si>
  <si>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</si>
  <si>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</si>
  <si>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</si>
  <si>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</si>
  <si>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</si>
  <si>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</si>
  <si>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</si>
  <si>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</si>
  <si>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</si>
  <si>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</si>
  <si>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</si>
  <si>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</si>
  <si>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</si>
  <si>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</si>
  <si>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</si>
  <si>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</si>
  <si>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</si>
  <si>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</si>
  <si>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</si>
  <si>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</si>
  <si>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</si>
  <si>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</si>
  <si>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</si>
  <si>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</si>
  <si>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</si>
  <si>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</si>
  <si>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</si>
  <si>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</si>
  <si>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</si>
  <si>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</si>
  <si>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</si>
  <si>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</si>
  <si>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</si>
  <si>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</si>
  <si>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</si>
  <si>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</si>
  <si>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</si>
  <si>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</si>
  <si>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</si>
  <si>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</si>
  <si>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</si>
  <si>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</si>
  <si>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</si>
  <si>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</si>
  <si>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</si>
  <si>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</si>
  <si>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</si>
  <si>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</si>
  <si>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</si>
  <si>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</si>
  <si>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</si>
  <si>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</si>
  <si>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</si>
  <si>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</si>
  <si>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</si>
  <si>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</si>
  <si>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</si>
  <si>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</si>
  <si>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</si>
  <si>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</si>
  <si>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</si>
  <si>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</si>
  <si>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</si>
  <si>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</si>
  <si>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</si>
  <si>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</si>
  <si>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</si>
  <si>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</si>
  <si>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</si>
  <si>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</si>
  <si>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</si>
  <si>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</si>
  <si>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</si>
  <si>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</si>
  <si>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</si>
  <si>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</si>
  <si>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</si>
  <si>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</si>
  <si>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</si>
  <si>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</si>
  <si>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</si>
  <si>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</si>
  <si>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</si>
  <si>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</si>
  <si>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</si>
  <si>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</si>
  <si>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</si>
  <si>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</si>
  <si>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</si>
  <si>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</si>
  <si>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</si>
  <si>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</si>
  <si>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</si>
  <si>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</si>
  <si>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</si>
  <si>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</si>
  <si>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</si>
  <si>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</si>
  <si>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</si>
  <si>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</si>
  <si>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</si>
  <si>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</si>
  <si>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</si>
  <si>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</si>
  <si>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</si>
  <si>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</si>
  <si>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</si>
  <si>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</si>
  <si>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</si>
  <si>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</si>
  <si>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</si>
  <si>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</si>
  <si>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</si>
  <si>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</si>
  <si>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</si>
  <si>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</si>
  <si>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</si>
  <si>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</si>
  <si>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</si>
  <si>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</si>
  <si>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</si>
  <si>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</si>
  <si>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</si>
  <si>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</si>
  <si>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</si>
  <si>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</si>
  <si>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</si>
  <si>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</si>
  <si>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</si>
  <si>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</si>
  <si>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</si>
  <si>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</si>
  <si>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</si>
  <si>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</si>
  <si>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</si>
  <si>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</si>
  <si>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</si>
  <si>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</si>
  <si>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</si>
  <si>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</si>
  <si>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</si>
  <si>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</si>
  <si>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</si>
  <si>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</si>
  <si>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</si>
  <si>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</si>
  <si>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</si>
  <si>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</si>
  <si>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</si>
  <si>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</si>
  <si>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</si>
  <si>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</si>
  <si>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</si>
  <si>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</si>
  <si>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</si>
  <si>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</si>
  <si>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41048</t>
  </si>
  <si>
    <t>NINOVE</t>
  </si>
  <si>
    <t>Cultuurgrond (ha)</t>
  </si>
  <si>
    <t>Paarden&amp;pony's 200 - 600 kg</t>
  </si>
  <si>
    <t>Paarden&amp;pony's &lt; 200 kg</t>
  </si>
  <si>
    <t>Fluvius</t>
  </si>
  <si>
    <t>referentietaak LNE (2017); Jaarverslag De Lijn</t>
  </si>
  <si>
    <t>biogas - stortgas</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</si>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</sst>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5344DD2-CB73-4569-A2E2-E704BD16B0B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372379.55167549796</c:v>
                </c:pt>
                <c:pt idx="1">
                  <c:v>112624.88054630169</c:v>
                </c:pt>
                <c:pt idx="2">
                  <c:v>2588.5459999999998</c:v>
                </c:pt>
                <c:pt idx="3">
                  <c:v>5953.2609807877916</c:v>
                </c:pt>
                <c:pt idx="4">
                  <c:v>143898.27701135684</c:v>
                </c:pt>
                <c:pt idx="5">
                  <c:v>195083.90934182829</c:v>
                </c:pt>
                <c:pt idx="6">
                  <c:v>3063.9361199937002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372379.55167549796</c:v>
                </c:pt>
                <c:pt idx="1">
                  <c:v>112624.88054630169</c:v>
                </c:pt>
                <c:pt idx="2">
                  <c:v>2588.5459999999998</c:v>
                </c:pt>
                <c:pt idx="3">
                  <c:v>5953.2609807877916</c:v>
                </c:pt>
                <c:pt idx="4">
                  <c:v>143898.27701135684</c:v>
                </c:pt>
                <c:pt idx="5">
                  <c:v>195083.90934182829</c:v>
                </c:pt>
                <c:pt idx="6">
                  <c:v>3063.9361199937002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80385.029056240659</c:v>
                </c:pt>
                <c:pt idx="2">
                  <c:v>23715.060518942733</c:v>
                </c:pt>
                <c:pt idx="3">
                  <c:v>538.06745880553478</c:v>
                </c:pt>
                <c:pt idx="4">
                  <c:v>1515.1949388832438</c:v>
                </c:pt>
                <c:pt idx="5">
                  <c:v>30293.680230274669</c:v>
                </c:pt>
                <c:pt idx="6">
                  <c:v>49362.45324102114</c:v>
                </c:pt>
                <c:pt idx="7">
                  <c:v>782.24749471582152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80385.029056240659</c:v>
                </c:pt>
                <c:pt idx="2">
                  <c:v>23715.060518942733</c:v>
                </c:pt>
                <c:pt idx="3">
                  <c:v>538.06745880553478</c:v>
                </c:pt>
                <c:pt idx="4">
                  <c:v>1515.1949388832438</c:v>
                </c:pt>
                <c:pt idx="5">
                  <c:v>30293.680230274669</c:v>
                </c:pt>
                <c:pt idx="6">
                  <c:v>49362.45324102114</c:v>
                </c:pt>
                <c:pt idx="7">
                  <c:v>782.24749471582152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41048</v>
      </c>
      <c r="B6" s="385"/>
      <c r="C6" s="386"/>
    </row>
    <row r="7" spans="1:7" s="383" customFormat="1" ht="15.75" customHeight="1">
      <c r="A7" s="387" t="str">
        <f>txtMunicipality</f>
        <v>NINOVE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53960.26499300672</v>
      </c>
      <c r="D10" s="676">
        <f ca="1">tertiair!C16</f>
        <v>0</v>
      </c>
      <c r="E10" s="676">
        <f ca="1">tertiair!D16</f>
        <v>50508.563192115602</v>
      </c>
      <c r="F10" s="676">
        <f>tertiair!E16</f>
        <v>723.01870448027796</v>
      </c>
      <c r="G10" s="676">
        <f ca="1">tertiair!F16</f>
        <v>9999.3863233657721</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3.1266666666666669</v>
      </c>
      <c r="Q10" s="677">
        <f>tertiair!P16</f>
        <v>19.066666666666666</v>
      </c>
      <c r="R10" s="679">
        <f ca="1">SUM(C10:Q10)</f>
        <v>115213.42654630169</v>
      </c>
      <c r="S10" s="67"/>
    </row>
    <row r="11" spans="1:19" s="444" customFormat="1">
      <c r="A11" s="791" t="s">
        <v>214</v>
      </c>
      <c r="B11" s="796"/>
      <c r="C11" s="676">
        <f>huishoudens!B8</f>
        <v>70861.520664691998</v>
      </c>
      <c r="D11" s="676">
        <f>huishoudens!C8</f>
        <v>0</v>
      </c>
      <c r="E11" s="676">
        <f>huishoudens!D8</f>
        <v>119121.1445212323</v>
      </c>
      <c r="F11" s="676">
        <f>huishoudens!E8</f>
        <v>4828.0857709595057</v>
      </c>
      <c r="G11" s="676">
        <f>huishoudens!F8</f>
        <v>147958.97096043121</v>
      </c>
      <c r="H11" s="676">
        <f>huishoudens!G8</f>
        <v>0</v>
      </c>
      <c r="I11" s="676">
        <f>huishoudens!H8</f>
        <v>0</v>
      </c>
      <c r="J11" s="676">
        <f>huishoudens!I8</f>
        <v>0</v>
      </c>
      <c r="K11" s="676">
        <f>huishoudens!J8</f>
        <v>2802.0482978772507</v>
      </c>
      <c r="L11" s="676">
        <f>huishoudens!K8</f>
        <v>0</v>
      </c>
      <c r="M11" s="676">
        <f>huishoudens!L8</f>
        <v>0</v>
      </c>
      <c r="N11" s="676">
        <f>huishoudens!M8</f>
        <v>0</v>
      </c>
      <c r="O11" s="676">
        <f>huishoudens!N8</f>
        <v>25729.964793639032</v>
      </c>
      <c r="P11" s="676">
        <f>huishoudens!O8</f>
        <v>257.95</v>
      </c>
      <c r="Q11" s="677">
        <f>huishoudens!P8</f>
        <v>819.86666666666667</v>
      </c>
      <c r="R11" s="679">
        <f>SUM(C11:Q11)</f>
        <v>372379.55167549796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49931.465979242093</v>
      </c>
      <c r="D13" s="676">
        <f>industrie!C18</f>
        <v>0</v>
      </c>
      <c r="E13" s="676">
        <f>industrie!D18</f>
        <v>52780.308537394143</v>
      </c>
      <c r="F13" s="676">
        <f>industrie!E18</f>
        <v>3644.2365789158202</v>
      </c>
      <c r="G13" s="676">
        <f>industrie!F18</f>
        <v>31454.916749645072</v>
      </c>
      <c r="H13" s="676">
        <f>industrie!G18</f>
        <v>0</v>
      </c>
      <c r="I13" s="676">
        <f>industrie!H18</f>
        <v>0</v>
      </c>
      <c r="J13" s="676">
        <f>industrie!I18</f>
        <v>0</v>
      </c>
      <c r="K13" s="676">
        <f>industrie!J18</f>
        <v>77.293497938960286</v>
      </c>
      <c r="L13" s="676">
        <f>industrie!K18</f>
        <v>0</v>
      </c>
      <c r="M13" s="676">
        <f>industrie!L18</f>
        <v>0</v>
      </c>
      <c r="N13" s="676">
        <f>industrie!M18</f>
        <v>0</v>
      </c>
      <c r="O13" s="676">
        <f>industrie!N18</f>
        <v>6010.0556682207534</v>
      </c>
      <c r="P13" s="676">
        <f>industrie!O18</f>
        <v>0</v>
      </c>
      <c r="Q13" s="677">
        <f>industrie!P18</f>
        <v>0</v>
      </c>
      <c r="R13" s="679">
        <f>SUM(C13:Q13)</f>
        <v>143898.27701135684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174753.25163694081</v>
      </c>
      <c r="D16" s="711">
        <f t="shared" ref="D16:R16" ca="1" si="0">SUM(D9:D15)</f>
        <v>0</v>
      </c>
      <c r="E16" s="711">
        <f t="shared" ca="1" si="0"/>
        <v>222410.01625074208</v>
      </c>
      <c r="F16" s="711">
        <f t="shared" si="0"/>
        <v>9195.3410543556038</v>
      </c>
      <c r="G16" s="711">
        <f t="shared" ca="1" si="0"/>
        <v>189413.27403344205</v>
      </c>
      <c r="H16" s="711">
        <f t="shared" si="0"/>
        <v>0</v>
      </c>
      <c r="I16" s="711">
        <f t="shared" si="0"/>
        <v>0</v>
      </c>
      <c r="J16" s="711">
        <f t="shared" si="0"/>
        <v>0</v>
      </c>
      <c r="K16" s="711">
        <f t="shared" si="0"/>
        <v>2879.3417958162108</v>
      </c>
      <c r="L16" s="711">
        <f t="shared" si="0"/>
        <v>0</v>
      </c>
      <c r="M16" s="711">
        <f t="shared" ca="1" si="0"/>
        <v>0</v>
      </c>
      <c r="N16" s="711">
        <f t="shared" si="0"/>
        <v>0</v>
      </c>
      <c r="O16" s="711">
        <f t="shared" ca="1" si="0"/>
        <v>31740.020461859785</v>
      </c>
      <c r="P16" s="711">
        <f t="shared" si="0"/>
        <v>261.07666666666665</v>
      </c>
      <c r="Q16" s="711">
        <f t="shared" si="0"/>
        <v>838.93333333333339</v>
      </c>
      <c r="R16" s="711">
        <f t="shared" ca="1" si="0"/>
        <v>631491.25523315649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14.99193057356973</v>
      </c>
      <c r="D19" s="676">
        <f>transport!C54</f>
        <v>0</v>
      </c>
      <c r="E19" s="676">
        <f>transport!D54</f>
        <v>0</v>
      </c>
      <c r="F19" s="676">
        <f>transport!E54</f>
        <v>0</v>
      </c>
      <c r="G19" s="676">
        <f>transport!F54</f>
        <v>0</v>
      </c>
      <c r="H19" s="676">
        <f>transport!G54</f>
        <v>2918.0943852564696</v>
      </c>
      <c r="I19" s="676">
        <f>transport!H54</f>
        <v>0</v>
      </c>
      <c r="J19" s="676">
        <f>transport!I54</f>
        <v>0</v>
      </c>
      <c r="K19" s="676">
        <f>transport!J54</f>
        <v>0</v>
      </c>
      <c r="L19" s="676">
        <f>transport!K54</f>
        <v>0</v>
      </c>
      <c r="M19" s="676">
        <f>transport!L54</f>
        <v>0</v>
      </c>
      <c r="N19" s="676">
        <f>transport!M54</f>
        <v>130.84980416366062</v>
      </c>
      <c r="O19" s="676">
        <f>transport!N54</f>
        <v>0</v>
      </c>
      <c r="P19" s="676">
        <f>transport!O54</f>
        <v>0</v>
      </c>
      <c r="Q19" s="677">
        <f>transport!P54</f>
        <v>0</v>
      </c>
      <c r="R19" s="679">
        <f>SUM(C19:Q19)</f>
        <v>3063.9361199937002</v>
      </c>
      <c r="S19" s="67"/>
    </row>
    <row r="20" spans="1:19" s="444" customFormat="1">
      <c r="A20" s="791" t="s">
        <v>296</v>
      </c>
      <c r="B20" s="796"/>
      <c r="C20" s="676">
        <f>transport!B14</f>
        <v>14.688060178811421</v>
      </c>
      <c r="D20" s="676">
        <f>transport!C14</f>
        <v>0</v>
      </c>
      <c r="E20" s="676">
        <f>transport!D14</f>
        <v>14.862183977275242</v>
      </c>
      <c r="F20" s="676">
        <f>transport!E14</f>
        <v>524.89882963049467</v>
      </c>
      <c r="G20" s="676">
        <f>transport!F14</f>
        <v>0</v>
      </c>
      <c r="H20" s="676">
        <f>transport!G14</f>
        <v>160808.90104306053</v>
      </c>
      <c r="I20" s="676">
        <f>transport!H14</f>
        <v>25306.302558733965</v>
      </c>
      <c r="J20" s="676">
        <f>transport!I14</f>
        <v>0</v>
      </c>
      <c r="K20" s="676">
        <f>transport!J14</f>
        <v>0</v>
      </c>
      <c r="L20" s="676">
        <f>transport!K14</f>
        <v>0</v>
      </c>
      <c r="M20" s="676">
        <f>transport!L14</f>
        <v>0</v>
      </c>
      <c r="N20" s="676">
        <f>transport!M14</f>
        <v>8414.2566662472109</v>
      </c>
      <c r="O20" s="676">
        <f>transport!N14</f>
        <v>0</v>
      </c>
      <c r="P20" s="676">
        <f>transport!O14</f>
        <v>0</v>
      </c>
      <c r="Q20" s="677">
        <f>transport!P14</f>
        <v>0</v>
      </c>
      <c r="R20" s="679">
        <f>SUM(C20:Q20)</f>
        <v>195083.90934182829</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29.679990752381151</v>
      </c>
      <c r="D22" s="794">
        <f t="shared" ref="D22:R22" si="1">SUM(D18:D21)</f>
        <v>0</v>
      </c>
      <c r="E22" s="794">
        <f t="shared" si="1"/>
        <v>14.862183977275242</v>
      </c>
      <c r="F22" s="794">
        <f t="shared" si="1"/>
        <v>524.89882963049467</v>
      </c>
      <c r="G22" s="794">
        <f t="shared" si="1"/>
        <v>0</v>
      </c>
      <c r="H22" s="794">
        <f t="shared" si="1"/>
        <v>163726.99542831699</v>
      </c>
      <c r="I22" s="794">
        <f t="shared" si="1"/>
        <v>25306.302558733965</v>
      </c>
      <c r="J22" s="794">
        <f t="shared" si="1"/>
        <v>0</v>
      </c>
      <c r="K22" s="794">
        <f t="shared" si="1"/>
        <v>0</v>
      </c>
      <c r="L22" s="794">
        <f t="shared" si="1"/>
        <v>0</v>
      </c>
      <c r="M22" s="794">
        <f t="shared" si="1"/>
        <v>0</v>
      </c>
      <c r="N22" s="794">
        <f t="shared" si="1"/>
        <v>8545.1064704108721</v>
      </c>
      <c r="O22" s="794">
        <f t="shared" si="1"/>
        <v>0</v>
      </c>
      <c r="P22" s="794">
        <f t="shared" si="1"/>
        <v>0</v>
      </c>
      <c r="Q22" s="794">
        <f t="shared" si="1"/>
        <v>0</v>
      </c>
      <c r="R22" s="794">
        <f t="shared" si="1"/>
        <v>198147.845461822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1234.227728083946</v>
      </c>
      <c r="D24" s="676">
        <f>+landbouw!C8</f>
        <v>0</v>
      </c>
      <c r="E24" s="676">
        <f>+landbouw!D8</f>
        <v>259.47171881269901</v>
      </c>
      <c r="F24" s="676">
        <f>+landbouw!E8</f>
        <v>15.552859382452953</v>
      </c>
      <c r="G24" s="676">
        <f>+landbouw!F8</f>
        <v>4258.3948544105087</v>
      </c>
      <c r="H24" s="676">
        <f>+landbouw!G8</f>
        <v>0</v>
      </c>
      <c r="I24" s="676">
        <f>+landbouw!H8</f>
        <v>0</v>
      </c>
      <c r="J24" s="676">
        <f>+landbouw!I8</f>
        <v>0</v>
      </c>
      <c r="K24" s="676">
        <f>+landbouw!J8</f>
        <v>185.61382009818462</v>
      </c>
      <c r="L24" s="676">
        <f>+landbouw!K8</f>
        <v>0</v>
      </c>
      <c r="M24" s="676">
        <f>+landbouw!L8</f>
        <v>0</v>
      </c>
      <c r="N24" s="676">
        <f>+landbouw!M8</f>
        <v>0</v>
      </c>
      <c r="O24" s="676">
        <f>+landbouw!N8</f>
        <v>0</v>
      </c>
      <c r="P24" s="676">
        <f>+landbouw!O8</f>
        <v>0</v>
      </c>
      <c r="Q24" s="677">
        <f>+landbouw!P8</f>
        <v>0</v>
      </c>
      <c r="R24" s="679">
        <f>SUM(C24:Q24)</f>
        <v>5953.2609807877916</v>
      </c>
      <c r="S24" s="67"/>
    </row>
    <row r="25" spans="1:19" s="444" customFormat="1" ht="15" thickBot="1">
      <c r="A25" s="813" t="s">
        <v>833</v>
      </c>
      <c r="B25" s="977"/>
      <c r="C25" s="978">
        <f>IF(Onbekend_ele_kWh="---",0,Onbekend_ele_kWh)/1000+IF(REST_rest_ele_kWh="---",0,REST_rest_ele_kWh)/1000</f>
        <v>2526.5304879462001</v>
      </c>
      <c r="D25" s="978"/>
      <c r="E25" s="978">
        <f>IF(onbekend_gas_kWh="---",0,onbekend_gas_kWh)/1000+IF(REST_rest_gas_kWh="---",0,REST_rest_gas_kWh)/1000</f>
        <v>6493.15004311754</v>
      </c>
      <c r="F25" s="978"/>
      <c r="G25" s="978"/>
      <c r="H25" s="978"/>
      <c r="I25" s="978"/>
      <c r="J25" s="978"/>
      <c r="K25" s="978"/>
      <c r="L25" s="978"/>
      <c r="M25" s="978"/>
      <c r="N25" s="978"/>
      <c r="O25" s="978"/>
      <c r="P25" s="978"/>
      <c r="Q25" s="979"/>
      <c r="R25" s="679">
        <f>SUM(C25:Q25)</f>
        <v>9019.6805310637392</v>
      </c>
      <c r="S25" s="67"/>
    </row>
    <row r="26" spans="1:19" s="444" customFormat="1" ht="15.75" thickBot="1">
      <c r="A26" s="684" t="s">
        <v>834</v>
      </c>
      <c r="B26" s="799"/>
      <c r="C26" s="794">
        <f>SUM(C24:C25)</f>
        <v>3760.7582160301463</v>
      </c>
      <c r="D26" s="794">
        <f t="shared" ref="D26:R26" si="2">SUM(D24:D25)</f>
        <v>0</v>
      </c>
      <c r="E26" s="794">
        <f t="shared" si="2"/>
        <v>6752.6217619302388</v>
      </c>
      <c r="F26" s="794">
        <f t="shared" si="2"/>
        <v>15.552859382452953</v>
      </c>
      <c r="G26" s="794">
        <f t="shared" si="2"/>
        <v>4258.3948544105087</v>
      </c>
      <c r="H26" s="794">
        <f t="shared" si="2"/>
        <v>0</v>
      </c>
      <c r="I26" s="794">
        <f t="shared" si="2"/>
        <v>0</v>
      </c>
      <c r="J26" s="794">
        <f t="shared" si="2"/>
        <v>0</v>
      </c>
      <c r="K26" s="794">
        <f t="shared" si="2"/>
        <v>185.61382009818462</v>
      </c>
      <c r="L26" s="794">
        <f t="shared" si="2"/>
        <v>0</v>
      </c>
      <c r="M26" s="794">
        <f t="shared" si="2"/>
        <v>0</v>
      </c>
      <c r="N26" s="794">
        <f t="shared" si="2"/>
        <v>0</v>
      </c>
      <c r="O26" s="794">
        <f t="shared" si="2"/>
        <v>0</v>
      </c>
      <c r="P26" s="794">
        <f t="shared" si="2"/>
        <v>0</v>
      </c>
      <c r="Q26" s="794">
        <f t="shared" si="2"/>
        <v>0</v>
      </c>
      <c r="R26" s="794">
        <f t="shared" si="2"/>
        <v>14972.941511851532</v>
      </c>
      <c r="S26" s="67"/>
    </row>
    <row r="27" spans="1:19" s="444" customFormat="1" ht="17.25" thickTop="1" thickBot="1">
      <c r="A27" s="685" t="s">
        <v>109</v>
      </c>
      <c r="B27" s="786"/>
      <c r="C27" s="686">
        <f ca="1">C22+C16+C26</f>
        <v>178543.68984372332</v>
      </c>
      <c r="D27" s="686">
        <f t="shared" ref="D27:R27" ca="1" si="3">D22+D16+D26</f>
        <v>0</v>
      </c>
      <c r="E27" s="686">
        <f t="shared" ca="1" si="3"/>
        <v>229177.50019664958</v>
      </c>
      <c r="F27" s="686">
        <f t="shared" si="3"/>
        <v>9735.7927433685509</v>
      </c>
      <c r="G27" s="686">
        <f t="shared" ca="1" si="3"/>
        <v>193671.66888785257</v>
      </c>
      <c r="H27" s="686">
        <f t="shared" si="3"/>
        <v>163726.99542831699</v>
      </c>
      <c r="I27" s="686">
        <f t="shared" si="3"/>
        <v>25306.302558733965</v>
      </c>
      <c r="J27" s="686">
        <f t="shared" si="3"/>
        <v>0</v>
      </c>
      <c r="K27" s="686">
        <f t="shared" si="3"/>
        <v>3064.9556159143954</v>
      </c>
      <c r="L27" s="686">
        <f t="shared" si="3"/>
        <v>0</v>
      </c>
      <c r="M27" s="686">
        <f t="shared" ca="1" si="3"/>
        <v>0</v>
      </c>
      <c r="N27" s="686">
        <f t="shared" si="3"/>
        <v>8545.1064704108721</v>
      </c>
      <c r="O27" s="686">
        <f t="shared" ca="1" si="3"/>
        <v>31740.020461859785</v>
      </c>
      <c r="P27" s="686">
        <f t="shared" si="3"/>
        <v>261.07666666666665</v>
      </c>
      <c r="Q27" s="686">
        <f t="shared" si="3"/>
        <v>838.93333333333339</v>
      </c>
      <c r="R27" s="686">
        <f t="shared" ca="1" si="3"/>
        <v>844612.04220683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11216.436818685232</v>
      </c>
      <c r="D40" s="676">
        <f ca="1">tertiair!C20</f>
        <v>0</v>
      </c>
      <c r="E40" s="676">
        <f ca="1">tertiair!D20</f>
        <v>10202.729764807353</v>
      </c>
      <c r="F40" s="676">
        <f>tertiair!E20</f>
        <v>164.12524591702311</v>
      </c>
      <c r="G40" s="676">
        <f ca="1">tertiair!F20</f>
        <v>2669.8361483386611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24253.12797774827</v>
      </c>
    </row>
    <row r="41" spans="1:18">
      <c r="A41" s="804" t="s">
        <v>214</v>
      </c>
      <c r="B41" s="811"/>
      <c r="C41" s="676">
        <f ca="1">huishoudens!B12</f>
        <v>14729.61204906025</v>
      </c>
      <c r="D41" s="676">
        <f ca="1">huishoudens!C12</f>
        <v>0</v>
      </c>
      <c r="E41" s="676">
        <f>huishoudens!D12</f>
        <v>24062.471193288926</v>
      </c>
      <c r="F41" s="676">
        <f>huishoudens!E12</f>
        <v>1095.9754700078079</v>
      </c>
      <c r="G41" s="676">
        <f>huishoudens!F12</f>
        <v>39505.045246435133</v>
      </c>
      <c r="H41" s="676">
        <f>huishoudens!G12</f>
        <v>0</v>
      </c>
      <c r="I41" s="676">
        <f>huishoudens!H12</f>
        <v>0</v>
      </c>
      <c r="J41" s="676">
        <f>huishoudens!I12</f>
        <v>0</v>
      </c>
      <c r="K41" s="676">
        <f>huishoudens!J12</f>
        <v>991.92509744854669</v>
      </c>
      <c r="L41" s="676">
        <f>huishoudens!K12</f>
        <v>0</v>
      </c>
      <c r="M41" s="676">
        <f>huishoudens!L12</f>
        <v>0</v>
      </c>
      <c r="N41" s="676">
        <f>huishoudens!M12</f>
        <v>0</v>
      </c>
      <c r="O41" s="676">
        <f>huishoudens!N12</f>
        <v>0</v>
      </c>
      <c r="P41" s="676">
        <f>huishoudens!O12</f>
        <v>0</v>
      </c>
      <c r="Q41" s="753">
        <f>huishoudens!P12</f>
        <v>0</v>
      </c>
      <c r="R41" s="832">
        <f t="shared" ca="1" si="4"/>
        <v>80385.029056240659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10378.991531881529</v>
      </c>
      <c r="D43" s="676">
        <f ca="1">industrie!C22</f>
        <v>0</v>
      </c>
      <c r="E43" s="676">
        <f>industrie!D22</f>
        <v>10661.622324553618</v>
      </c>
      <c r="F43" s="676">
        <f>industrie!E22</f>
        <v>827.24170341389117</v>
      </c>
      <c r="G43" s="676">
        <f>industrie!F22</f>
        <v>8398.4627721552351</v>
      </c>
      <c r="H43" s="676">
        <f>industrie!G22</f>
        <v>0</v>
      </c>
      <c r="I43" s="676">
        <f>industrie!H22</f>
        <v>0</v>
      </c>
      <c r="J43" s="676">
        <f>industrie!I22</f>
        <v>0</v>
      </c>
      <c r="K43" s="676">
        <f>industrie!J22</f>
        <v>27.36189827039194</v>
      </c>
      <c r="L43" s="676">
        <f>industrie!K22</f>
        <v>0</v>
      </c>
      <c r="M43" s="676">
        <f>industrie!L22</f>
        <v>0</v>
      </c>
      <c r="N43" s="676">
        <f>industrie!M22</f>
        <v>0</v>
      </c>
      <c r="O43" s="676">
        <f>industrie!N22</f>
        <v>0</v>
      </c>
      <c r="P43" s="676">
        <f>industrie!O22</f>
        <v>0</v>
      </c>
      <c r="Q43" s="753">
        <f>industrie!P22</f>
        <v>0</v>
      </c>
      <c r="R43" s="831">
        <f t="shared" ca="1" si="4"/>
        <v>30293.680230274669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36325.040399627011</v>
      </c>
      <c r="D46" s="711">
        <f t="shared" ref="D46:Q46" ca="1" si="5">SUM(D39:D45)</f>
        <v>0</v>
      </c>
      <c r="E46" s="711">
        <f t="shared" ca="1" si="5"/>
        <v>44926.823282649893</v>
      </c>
      <c r="F46" s="711">
        <f t="shared" si="5"/>
        <v>2087.3424193387223</v>
      </c>
      <c r="G46" s="711">
        <f t="shared" ca="1" si="5"/>
        <v>50573.344166929033</v>
      </c>
      <c r="H46" s="711">
        <f t="shared" si="5"/>
        <v>0</v>
      </c>
      <c r="I46" s="711">
        <f t="shared" si="5"/>
        <v>0</v>
      </c>
      <c r="J46" s="711">
        <f t="shared" si="5"/>
        <v>0</v>
      </c>
      <c r="K46" s="711">
        <f t="shared" si="5"/>
        <v>1019.2869957189387</v>
      </c>
      <c r="L46" s="711">
        <f t="shared" si="5"/>
        <v>0</v>
      </c>
      <c r="M46" s="711">
        <f t="shared" ca="1" si="5"/>
        <v>0</v>
      </c>
      <c r="N46" s="711">
        <f t="shared" si="5"/>
        <v>0</v>
      </c>
      <c r="O46" s="711">
        <f t="shared" ca="1" si="5"/>
        <v>0</v>
      </c>
      <c r="P46" s="711">
        <f t="shared" si="5"/>
        <v>0</v>
      </c>
      <c r="Q46" s="711">
        <f t="shared" si="5"/>
        <v>0</v>
      </c>
      <c r="R46" s="711">
        <f ca="1">SUM(R39:R45)</f>
        <v>134931.83726426359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3.1162938523440062</v>
      </c>
      <c r="D49" s="676">
        <f ca="1">transport!C58</f>
        <v>0</v>
      </c>
      <c r="E49" s="676">
        <f>transport!D58</f>
        <v>0</v>
      </c>
      <c r="F49" s="676">
        <f>transport!E58</f>
        <v>0</v>
      </c>
      <c r="G49" s="676">
        <f>transport!F58</f>
        <v>0</v>
      </c>
      <c r="H49" s="676">
        <f>transport!G58</f>
        <v>779.13120086347749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782.24749471582152</v>
      </c>
    </row>
    <row r="50" spans="1:18">
      <c r="A50" s="807" t="s">
        <v>296</v>
      </c>
      <c r="B50" s="817"/>
      <c r="C50" s="682">
        <f ca="1">transport!B18</f>
        <v>3.0531299096851399</v>
      </c>
      <c r="D50" s="682">
        <f>transport!C18</f>
        <v>0</v>
      </c>
      <c r="E50" s="682">
        <f>transport!D18</f>
        <v>3.0021611634095993</v>
      </c>
      <c r="F50" s="682">
        <f>transport!E18</f>
        <v>119.15203432612229</v>
      </c>
      <c r="G50" s="682">
        <f>transport!F18</f>
        <v>0</v>
      </c>
      <c r="H50" s="682">
        <f>transport!G18</f>
        <v>42935.976578497161</v>
      </c>
      <c r="I50" s="682">
        <f>transport!H18</f>
        <v>6301.2693371247569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49362.45324102114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6.1694237620291457</v>
      </c>
      <c r="D52" s="711">
        <f t="shared" ref="D52:Q52" ca="1" si="6">SUM(D48:D51)</f>
        <v>0</v>
      </c>
      <c r="E52" s="711">
        <f t="shared" si="6"/>
        <v>3.0021611634095993</v>
      </c>
      <c r="F52" s="711">
        <f t="shared" si="6"/>
        <v>119.15203432612229</v>
      </c>
      <c r="G52" s="711">
        <f t="shared" si="6"/>
        <v>0</v>
      </c>
      <c r="H52" s="711">
        <f t="shared" si="6"/>
        <v>43715.107779360638</v>
      </c>
      <c r="I52" s="711">
        <f t="shared" si="6"/>
        <v>6301.2693371247569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50144.700735736958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256.5524341608986</v>
      </c>
      <c r="D54" s="682">
        <f ca="1">+landbouw!C12</f>
        <v>0</v>
      </c>
      <c r="E54" s="682">
        <f>+landbouw!D12</f>
        <v>52.4132872001652</v>
      </c>
      <c r="F54" s="682">
        <f>+landbouw!E12</f>
        <v>3.5304990798168205</v>
      </c>
      <c r="G54" s="682">
        <f>+landbouw!F12</f>
        <v>1136.9914261276058</v>
      </c>
      <c r="H54" s="682">
        <f>+landbouw!G12</f>
        <v>0</v>
      </c>
      <c r="I54" s="682">
        <f>+landbouw!H12</f>
        <v>0</v>
      </c>
      <c r="J54" s="682">
        <f>+landbouw!I12</f>
        <v>0</v>
      </c>
      <c r="K54" s="682">
        <f>+landbouw!J12</f>
        <v>65.707292314757353</v>
      </c>
      <c r="L54" s="682">
        <f>+landbouw!K12</f>
        <v>0</v>
      </c>
      <c r="M54" s="682">
        <f>+landbouw!L12</f>
        <v>0</v>
      </c>
      <c r="N54" s="682">
        <f>+landbouw!M12</f>
        <v>0</v>
      </c>
      <c r="O54" s="682">
        <f>+landbouw!N12</f>
        <v>0</v>
      </c>
      <c r="P54" s="682">
        <f>+landbouw!O12</f>
        <v>0</v>
      </c>
      <c r="Q54" s="683">
        <f>+landbouw!P12</f>
        <v>0</v>
      </c>
      <c r="R54" s="710">
        <f ca="1">SUM(C54:Q54)</f>
        <v>1515.1949388832438</v>
      </c>
    </row>
    <row r="55" spans="1:18" ht="15" thickBot="1">
      <c r="A55" s="807" t="s">
        <v>833</v>
      </c>
      <c r="B55" s="817"/>
      <c r="C55" s="682">
        <f ca="1">C25*'EF ele_warmte'!B12</f>
        <v>525.17662009634739</v>
      </c>
      <c r="D55" s="682"/>
      <c r="E55" s="682">
        <f>E25*EF_CO2_aardgas</f>
        <v>1311.6163087097432</v>
      </c>
      <c r="F55" s="682"/>
      <c r="G55" s="682"/>
      <c r="H55" s="682"/>
      <c r="I55" s="682"/>
      <c r="J55" s="682"/>
      <c r="K55" s="682"/>
      <c r="L55" s="682"/>
      <c r="M55" s="682"/>
      <c r="N55" s="682"/>
      <c r="O55" s="682"/>
      <c r="P55" s="682"/>
      <c r="Q55" s="683"/>
      <c r="R55" s="710">
        <f ca="1">SUM(C55:Q55)</f>
        <v>1836.7929288060905</v>
      </c>
    </row>
    <row r="56" spans="1:18" ht="15.75" thickBot="1">
      <c r="A56" s="805" t="s">
        <v>834</v>
      </c>
      <c r="B56" s="818"/>
      <c r="C56" s="711">
        <f ca="1">SUM(C54:C55)</f>
        <v>781.72905425724593</v>
      </c>
      <c r="D56" s="711">
        <f t="shared" ref="D56:Q56" ca="1" si="7">SUM(D54:D55)</f>
        <v>0</v>
      </c>
      <c r="E56" s="711">
        <f t="shared" si="7"/>
        <v>1364.0295959099085</v>
      </c>
      <c r="F56" s="711">
        <f t="shared" si="7"/>
        <v>3.5304990798168205</v>
      </c>
      <c r="G56" s="711">
        <f t="shared" si="7"/>
        <v>1136.9914261276058</v>
      </c>
      <c r="H56" s="711">
        <f t="shared" si="7"/>
        <v>0</v>
      </c>
      <c r="I56" s="711">
        <f t="shared" si="7"/>
        <v>0</v>
      </c>
      <c r="J56" s="711">
        <f t="shared" si="7"/>
        <v>0</v>
      </c>
      <c r="K56" s="711">
        <f t="shared" si="7"/>
        <v>65.707292314757353</v>
      </c>
      <c r="L56" s="711">
        <f t="shared" si="7"/>
        <v>0</v>
      </c>
      <c r="M56" s="711">
        <f t="shared" si="7"/>
        <v>0</v>
      </c>
      <c r="N56" s="711">
        <f t="shared" si="7"/>
        <v>0</v>
      </c>
      <c r="O56" s="711">
        <f t="shared" si="7"/>
        <v>0</v>
      </c>
      <c r="P56" s="711">
        <f t="shared" si="7"/>
        <v>0</v>
      </c>
      <c r="Q56" s="712">
        <f t="shared" si="7"/>
        <v>0</v>
      </c>
      <c r="R56" s="713">
        <f ca="1">SUM(R54:R55)</f>
        <v>3351.9878676893341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37112.938877646287</v>
      </c>
      <c r="D61" s="719">
        <f t="shared" ref="D61:Q61" ca="1" si="8">D46+D52+D56</f>
        <v>0</v>
      </c>
      <c r="E61" s="719">
        <f t="shared" ca="1" si="8"/>
        <v>46293.85503972321</v>
      </c>
      <c r="F61" s="719">
        <f t="shared" si="8"/>
        <v>2210.0249527446613</v>
      </c>
      <c r="G61" s="719">
        <f t="shared" ca="1" si="8"/>
        <v>51710.335593056639</v>
      </c>
      <c r="H61" s="719">
        <f t="shared" si="8"/>
        <v>43715.107779360638</v>
      </c>
      <c r="I61" s="719">
        <f t="shared" si="8"/>
        <v>6301.2693371247569</v>
      </c>
      <c r="J61" s="719">
        <f t="shared" si="8"/>
        <v>0</v>
      </c>
      <c r="K61" s="719">
        <f t="shared" si="8"/>
        <v>1084.994288033696</v>
      </c>
      <c r="L61" s="719">
        <f t="shared" si="8"/>
        <v>0</v>
      </c>
      <c r="M61" s="719">
        <f t="shared" ca="1" si="8"/>
        <v>0</v>
      </c>
      <c r="N61" s="719">
        <f t="shared" si="8"/>
        <v>0</v>
      </c>
      <c r="O61" s="719">
        <f t="shared" ca="1" si="8"/>
        <v>0</v>
      </c>
      <c r="P61" s="719">
        <f t="shared" si="8"/>
        <v>0</v>
      </c>
      <c r="Q61" s="719">
        <f t="shared" si="8"/>
        <v>0</v>
      </c>
      <c r="R61" s="719">
        <f ca="1">R46+R52+R56</f>
        <v>188428.5258676899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0.20786474677503697</v>
      </c>
      <c r="D63" s="762">
        <f t="shared" ca="1" si="9"/>
        <v>0</v>
      </c>
      <c r="E63" s="984">
        <f t="shared" ca="1" si="9"/>
        <v>0.20199999999999999</v>
      </c>
      <c r="F63" s="762">
        <f t="shared" si="9"/>
        <v>0.22700000000000004</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8424.8397186270322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2187</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6248.5714285714294</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10611.839718627032</v>
      </c>
      <c r="C78" s="734">
        <f>SUM(C72:C77)</f>
        <v>0</v>
      </c>
      <c r="D78" s="735">
        <f t="shared" ref="D78:H78" si="10">SUM(D76:D77)</f>
        <v>0</v>
      </c>
      <c r="E78" s="735">
        <f t="shared" si="10"/>
        <v>0</v>
      </c>
      <c r="F78" s="735">
        <f t="shared" si="10"/>
        <v>0</v>
      </c>
      <c r="G78" s="735">
        <f t="shared" si="10"/>
        <v>0</v>
      </c>
      <c r="H78" s="735">
        <f t="shared" si="10"/>
        <v>0</v>
      </c>
      <c r="I78" s="735">
        <f>SUM(I76:I77)</f>
        <v>0</v>
      </c>
      <c r="J78" s="735">
        <f>SUM(J76:J77)</f>
        <v>6248.5714285714294</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70861.520664691998</v>
      </c>
      <c r="C4" s="448">
        <f>huishoudens!C8</f>
        <v>0</v>
      </c>
      <c r="D4" s="448">
        <f>huishoudens!D8</f>
        <v>119121.1445212323</v>
      </c>
      <c r="E4" s="448">
        <f>huishoudens!E8</f>
        <v>4828.0857709595057</v>
      </c>
      <c r="F4" s="448">
        <f>huishoudens!F8</f>
        <v>147958.97096043121</v>
      </c>
      <c r="G4" s="448">
        <f>huishoudens!G8</f>
        <v>0</v>
      </c>
      <c r="H4" s="448">
        <f>huishoudens!H8</f>
        <v>0</v>
      </c>
      <c r="I4" s="448">
        <f>huishoudens!I8</f>
        <v>0</v>
      </c>
      <c r="J4" s="448">
        <f>huishoudens!J8</f>
        <v>2802.0482978772507</v>
      </c>
      <c r="K4" s="448">
        <f>huishoudens!K8</f>
        <v>0</v>
      </c>
      <c r="L4" s="448">
        <f>huishoudens!L8</f>
        <v>0</v>
      </c>
      <c r="M4" s="448">
        <f>huishoudens!M8</f>
        <v>0</v>
      </c>
      <c r="N4" s="448">
        <f>huishoudens!N8</f>
        <v>25729.964793639032</v>
      </c>
      <c r="O4" s="448">
        <f>huishoudens!O8</f>
        <v>257.95</v>
      </c>
      <c r="P4" s="449">
        <f>huishoudens!P8</f>
        <v>819.86666666666667</v>
      </c>
      <c r="Q4" s="450">
        <f>SUM(B4:P4)</f>
        <v>372379.55167549796</v>
      </c>
    </row>
    <row r="5" spans="1:17">
      <c r="A5" s="447" t="s">
        <v>149</v>
      </c>
      <c r="B5" s="448">
        <f ca="1">tertiair!B16</f>
        <v>51371.718993006718</v>
      </c>
      <c r="C5" s="448">
        <f ca="1">tertiair!C16</f>
        <v>0</v>
      </c>
      <c r="D5" s="448">
        <f ca="1">tertiair!D16</f>
        <v>50508.563192115602</v>
      </c>
      <c r="E5" s="448">
        <f>tertiair!E16</f>
        <v>723.01870448027796</v>
      </c>
      <c r="F5" s="448">
        <f ca="1">tertiair!F16</f>
        <v>9999.3863233657721</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3.1266666666666669</v>
      </c>
      <c r="P5" s="449">
        <f>tertiair!P16</f>
        <v>19.066666666666666</v>
      </c>
      <c r="Q5" s="447">
        <f t="shared" ref="Q5:Q14" ca="1" si="0">SUM(B5:P5)</f>
        <v>112624.88054630169</v>
      </c>
    </row>
    <row r="6" spans="1:17">
      <c r="A6" s="447" t="s">
        <v>187</v>
      </c>
      <c r="B6" s="448">
        <f>'openbare verlichting'!B8</f>
        <v>2588.5459999999998</v>
      </c>
      <c r="C6" s="448"/>
      <c r="D6" s="448"/>
      <c r="E6" s="448"/>
      <c r="F6" s="448"/>
      <c r="G6" s="448"/>
      <c r="H6" s="448"/>
      <c r="I6" s="448"/>
      <c r="J6" s="448"/>
      <c r="K6" s="448"/>
      <c r="L6" s="448"/>
      <c r="M6" s="448"/>
      <c r="N6" s="448"/>
      <c r="O6" s="448"/>
      <c r="P6" s="449"/>
      <c r="Q6" s="447">
        <f t="shared" si="0"/>
        <v>2588.5459999999998</v>
      </c>
    </row>
    <row r="7" spans="1:17">
      <c r="A7" s="447" t="s">
        <v>105</v>
      </c>
      <c r="B7" s="448">
        <f>landbouw!B8</f>
        <v>1234.227728083946</v>
      </c>
      <c r="C7" s="448">
        <f>landbouw!C8</f>
        <v>0</v>
      </c>
      <c r="D7" s="448">
        <f>landbouw!D8</f>
        <v>259.47171881269901</v>
      </c>
      <c r="E7" s="448">
        <f>landbouw!E8</f>
        <v>15.552859382452953</v>
      </c>
      <c r="F7" s="448">
        <f>landbouw!F8</f>
        <v>4258.3948544105087</v>
      </c>
      <c r="G7" s="448">
        <f>landbouw!G8</f>
        <v>0</v>
      </c>
      <c r="H7" s="448">
        <f>landbouw!H8</f>
        <v>0</v>
      </c>
      <c r="I7" s="448">
        <f>landbouw!I8</f>
        <v>0</v>
      </c>
      <c r="J7" s="448">
        <f>landbouw!J8</f>
        <v>185.61382009818462</v>
      </c>
      <c r="K7" s="448">
        <f>landbouw!K8</f>
        <v>0</v>
      </c>
      <c r="L7" s="448">
        <f>landbouw!L8</f>
        <v>0</v>
      </c>
      <c r="M7" s="448">
        <f>landbouw!M8</f>
        <v>0</v>
      </c>
      <c r="N7" s="448">
        <f>landbouw!N8</f>
        <v>0</v>
      </c>
      <c r="O7" s="448">
        <f>landbouw!O8</f>
        <v>0</v>
      </c>
      <c r="P7" s="449">
        <f>landbouw!P8</f>
        <v>0</v>
      </c>
      <c r="Q7" s="447">
        <f t="shared" si="0"/>
        <v>5953.2609807877916</v>
      </c>
    </row>
    <row r="8" spans="1:17">
      <c r="A8" s="447" t="s">
        <v>639</v>
      </c>
      <c r="B8" s="448">
        <f>industrie!B18</f>
        <v>49931.465979242093</v>
      </c>
      <c r="C8" s="448">
        <f>industrie!C18</f>
        <v>0</v>
      </c>
      <c r="D8" s="448">
        <f>industrie!D18</f>
        <v>52780.308537394143</v>
      </c>
      <c r="E8" s="448">
        <f>industrie!E18</f>
        <v>3644.2365789158202</v>
      </c>
      <c r="F8" s="448">
        <f>industrie!F18</f>
        <v>31454.916749645072</v>
      </c>
      <c r="G8" s="448">
        <f>industrie!G18</f>
        <v>0</v>
      </c>
      <c r="H8" s="448">
        <f>industrie!H18</f>
        <v>0</v>
      </c>
      <c r="I8" s="448">
        <f>industrie!I18</f>
        <v>0</v>
      </c>
      <c r="J8" s="448">
        <f>industrie!J18</f>
        <v>77.293497938960286</v>
      </c>
      <c r="K8" s="448">
        <f>industrie!K18</f>
        <v>0</v>
      </c>
      <c r="L8" s="448">
        <f>industrie!L18</f>
        <v>0</v>
      </c>
      <c r="M8" s="448">
        <f>industrie!M18</f>
        <v>0</v>
      </c>
      <c r="N8" s="448">
        <f>industrie!N18</f>
        <v>6010.0556682207534</v>
      </c>
      <c r="O8" s="448">
        <f>industrie!O18</f>
        <v>0</v>
      </c>
      <c r="P8" s="449">
        <f>industrie!P18</f>
        <v>0</v>
      </c>
      <c r="Q8" s="447">
        <f t="shared" si="0"/>
        <v>143898.27701135684</v>
      </c>
    </row>
    <row r="9" spans="1:17" s="453" customFormat="1">
      <c r="A9" s="451" t="s">
        <v>557</v>
      </c>
      <c r="B9" s="452">
        <f>transport!B14</f>
        <v>14.688060178811421</v>
      </c>
      <c r="C9" s="452">
        <f>transport!C14</f>
        <v>0</v>
      </c>
      <c r="D9" s="452">
        <f>transport!D14</f>
        <v>14.862183977275242</v>
      </c>
      <c r="E9" s="452">
        <f>transport!E14</f>
        <v>524.89882963049467</v>
      </c>
      <c r="F9" s="452">
        <f>transport!F14</f>
        <v>0</v>
      </c>
      <c r="G9" s="452">
        <f>transport!G14</f>
        <v>160808.90104306053</v>
      </c>
      <c r="H9" s="452">
        <f>transport!H14</f>
        <v>25306.302558733965</v>
      </c>
      <c r="I9" s="452">
        <f>transport!I14</f>
        <v>0</v>
      </c>
      <c r="J9" s="452">
        <f>transport!J14</f>
        <v>0</v>
      </c>
      <c r="K9" s="452">
        <f>transport!K14</f>
        <v>0</v>
      </c>
      <c r="L9" s="452">
        <f>transport!L14</f>
        <v>0</v>
      </c>
      <c r="M9" s="452">
        <f>transport!M14</f>
        <v>8414.2566662472109</v>
      </c>
      <c r="N9" s="452">
        <f>transport!N14</f>
        <v>0</v>
      </c>
      <c r="O9" s="452">
        <f>transport!O14</f>
        <v>0</v>
      </c>
      <c r="P9" s="452">
        <f>transport!P14</f>
        <v>0</v>
      </c>
      <c r="Q9" s="451">
        <f>SUM(B9:P9)</f>
        <v>195083.90934182829</v>
      </c>
    </row>
    <row r="10" spans="1:17">
      <c r="A10" s="447" t="s">
        <v>547</v>
      </c>
      <c r="B10" s="448">
        <f>transport!B54</f>
        <v>14.99193057356973</v>
      </c>
      <c r="C10" s="448">
        <f>transport!C54</f>
        <v>0</v>
      </c>
      <c r="D10" s="448">
        <f>transport!D54</f>
        <v>0</v>
      </c>
      <c r="E10" s="448">
        <f>transport!E54</f>
        <v>0</v>
      </c>
      <c r="F10" s="448">
        <f>transport!F54</f>
        <v>0</v>
      </c>
      <c r="G10" s="448">
        <f>transport!G54</f>
        <v>2918.0943852564696</v>
      </c>
      <c r="H10" s="448">
        <f>transport!H54</f>
        <v>0</v>
      </c>
      <c r="I10" s="448">
        <f>transport!I54</f>
        <v>0</v>
      </c>
      <c r="J10" s="448">
        <f>transport!J54</f>
        <v>0</v>
      </c>
      <c r="K10" s="448">
        <f>transport!K54</f>
        <v>0</v>
      </c>
      <c r="L10" s="448">
        <f>transport!L54</f>
        <v>0</v>
      </c>
      <c r="M10" s="448">
        <f>transport!M54</f>
        <v>130.84980416366062</v>
      </c>
      <c r="N10" s="448">
        <f>transport!N54</f>
        <v>0</v>
      </c>
      <c r="O10" s="448">
        <f>transport!O54</f>
        <v>0</v>
      </c>
      <c r="P10" s="449">
        <f>transport!P54</f>
        <v>0</v>
      </c>
      <c r="Q10" s="447">
        <f t="shared" si="0"/>
        <v>3063.9361199937002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2526.5304879462001</v>
      </c>
      <c r="C14" s="455"/>
      <c r="D14" s="455">
        <f>'SEAP template'!E25</f>
        <v>6493.15004311754</v>
      </c>
      <c r="E14" s="455"/>
      <c r="F14" s="455"/>
      <c r="G14" s="455"/>
      <c r="H14" s="455"/>
      <c r="I14" s="455"/>
      <c r="J14" s="455"/>
      <c r="K14" s="455"/>
      <c r="L14" s="455"/>
      <c r="M14" s="455"/>
      <c r="N14" s="455"/>
      <c r="O14" s="455"/>
      <c r="P14" s="456"/>
      <c r="Q14" s="447">
        <f t="shared" si="0"/>
        <v>9019.6805310637392</v>
      </c>
    </row>
    <row r="15" spans="1:17" s="460" customFormat="1">
      <c r="A15" s="457" t="s">
        <v>551</v>
      </c>
      <c r="B15" s="458">
        <f ca="1">SUM(B4:B14)</f>
        <v>178543.68984372335</v>
      </c>
      <c r="C15" s="458">
        <f t="shared" ref="C15:Q15" ca="1" si="1">SUM(C4:C14)</f>
        <v>0</v>
      </c>
      <c r="D15" s="458">
        <f t="shared" ca="1" si="1"/>
        <v>229177.50019664961</v>
      </c>
      <c r="E15" s="458">
        <f t="shared" si="1"/>
        <v>9735.7927433685509</v>
      </c>
      <c r="F15" s="458">
        <f t="shared" ca="1" si="1"/>
        <v>193671.66888785257</v>
      </c>
      <c r="G15" s="458">
        <f t="shared" si="1"/>
        <v>163726.99542831699</v>
      </c>
      <c r="H15" s="458">
        <f t="shared" si="1"/>
        <v>25306.302558733965</v>
      </c>
      <c r="I15" s="458">
        <f t="shared" si="1"/>
        <v>0</v>
      </c>
      <c r="J15" s="458">
        <f t="shared" si="1"/>
        <v>3064.9556159143954</v>
      </c>
      <c r="K15" s="458">
        <f t="shared" si="1"/>
        <v>0</v>
      </c>
      <c r="L15" s="458">
        <f t="shared" ca="1" si="1"/>
        <v>0</v>
      </c>
      <c r="M15" s="458">
        <f t="shared" si="1"/>
        <v>8545.1064704108721</v>
      </c>
      <c r="N15" s="458">
        <f t="shared" ca="1" si="1"/>
        <v>31740.020461859785</v>
      </c>
      <c r="O15" s="458">
        <f t="shared" si="1"/>
        <v>261.07666666666665</v>
      </c>
      <c r="P15" s="458">
        <f t="shared" si="1"/>
        <v>838.93333333333339</v>
      </c>
      <c r="Q15" s="458">
        <f t="shared" ca="1" si="1"/>
        <v>844612.04220682988</v>
      </c>
    </row>
    <row r="17" spans="1:17">
      <c r="A17" s="461" t="s">
        <v>552</v>
      </c>
      <c r="B17" s="767">
        <f ca="1">huishoudens!B10</f>
        <v>0.20786474677503694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14729.61204906025</v>
      </c>
      <c r="C22" s="448">
        <f t="shared" ref="C22:C32" ca="1" si="3">C4*$C$17</f>
        <v>0</v>
      </c>
      <c r="D22" s="448">
        <f t="shared" ref="D22:D32" si="4">D4*$D$17</f>
        <v>24062.471193288926</v>
      </c>
      <c r="E22" s="448">
        <f t="shared" ref="E22:E32" si="5">E4*$E$17</f>
        <v>1095.9754700078079</v>
      </c>
      <c r="F22" s="448">
        <f t="shared" ref="F22:F32" si="6">F4*$F$17</f>
        <v>39505.045246435133</v>
      </c>
      <c r="G22" s="448">
        <f t="shared" ref="G22:G32" si="7">G4*$G$17</f>
        <v>0</v>
      </c>
      <c r="H22" s="448">
        <f t="shared" ref="H22:H32" si="8">H4*$H$17</f>
        <v>0</v>
      </c>
      <c r="I22" s="448">
        <f t="shared" ref="I22:I32" si="9">I4*$I$17</f>
        <v>0</v>
      </c>
      <c r="J22" s="448">
        <f t="shared" ref="J22:J32" si="10">J4*$J$17</f>
        <v>991.92509744854669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80385.029056240659</v>
      </c>
    </row>
    <row r="23" spans="1:17">
      <c r="A23" s="447" t="s">
        <v>149</v>
      </c>
      <c r="B23" s="448">
        <f t="shared" ca="1" si="2"/>
        <v>10678.369359879696</v>
      </c>
      <c r="C23" s="448">
        <f t="shared" ca="1" si="3"/>
        <v>0</v>
      </c>
      <c r="D23" s="448">
        <f t="shared" ca="1" si="4"/>
        <v>10202.729764807353</v>
      </c>
      <c r="E23" s="448">
        <f t="shared" si="5"/>
        <v>164.12524591702311</v>
      </c>
      <c r="F23" s="448">
        <f t="shared" ca="1" si="6"/>
        <v>2669.8361483386611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23715.060518942733</v>
      </c>
    </row>
    <row r="24" spans="1:17">
      <c r="A24" s="447" t="s">
        <v>187</v>
      </c>
      <c r="B24" s="448">
        <f t="shared" ca="1" si="2"/>
        <v>538.06745880553478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538.06745880553478</v>
      </c>
    </row>
    <row r="25" spans="1:17">
      <c r="A25" s="447" t="s">
        <v>105</v>
      </c>
      <c r="B25" s="448">
        <f t="shared" ca="1" si="2"/>
        <v>256.5524341608986</v>
      </c>
      <c r="C25" s="448">
        <f t="shared" ca="1" si="3"/>
        <v>0</v>
      </c>
      <c r="D25" s="448">
        <f t="shared" si="4"/>
        <v>52.4132872001652</v>
      </c>
      <c r="E25" s="448">
        <f t="shared" si="5"/>
        <v>3.5304990798168205</v>
      </c>
      <c r="F25" s="448">
        <f t="shared" si="6"/>
        <v>1136.9914261276058</v>
      </c>
      <c r="G25" s="448">
        <f t="shared" si="7"/>
        <v>0</v>
      </c>
      <c r="H25" s="448">
        <f t="shared" si="8"/>
        <v>0</v>
      </c>
      <c r="I25" s="448">
        <f t="shared" si="9"/>
        <v>0</v>
      </c>
      <c r="J25" s="448">
        <f t="shared" si="10"/>
        <v>65.707292314757353</v>
      </c>
      <c r="K25" s="448">
        <f t="shared" si="11"/>
        <v>0</v>
      </c>
      <c r="L25" s="448">
        <f t="shared" si="12"/>
        <v>0</v>
      </c>
      <c r="M25" s="448">
        <f t="shared" si="13"/>
        <v>0</v>
      </c>
      <c r="N25" s="448">
        <f t="shared" si="14"/>
        <v>0</v>
      </c>
      <c r="O25" s="448">
        <f t="shared" si="15"/>
        <v>0</v>
      </c>
      <c r="P25" s="449">
        <f t="shared" si="16"/>
        <v>0</v>
      </c>
      <c r="Q25" s="447">
        <f t="shared" ca="1" si="17"/>
        <v>1515.1949388832438</v>
      </c>
    </row>
    <row r="26" spans="1:17">
      <c r="A26" s="447" t="s">
        <v>639</v>
      </c>
      <c r="B26" s="448">
        <f t="shared" ca="1" si="2"/>
        <v>10378.991531881529</v>
      </c>
      <c r="C26" s="448">
        <f t="shared" ca="1" si="3"/>
        <v>0</v>
      </c>
      <c r="D26" s="448">
        <f t="shared" si="4"/>
        <v>10661.622324553618</v>
      </c>
      <c r="E26" s="448">
        <f t="shared" si="5"/>
        <v>827.24170341389117</v>
      </c>
      <c r="F26" s="448">
        <f t="shared" si="6"/>
        <v>8398.4627721552351</v>
      </c>
      <c r="G26" s="448">
        <f t="shared" si="7"/>
        <v>0</v>
      </c>
      <c r="H26" s="448">
        <f t="shared" si="8"/>
        <v>0</v>
      </c>
      <c r="I26" s="448">
        <f t="shared" si="9"/>
        <v>0</v>
      </c>
      <c r="J26" s="448">
        <f t="shared" si="10"/>
        <v>27.36189827039194</v>
      </c>
      <c r="K26" s="448">
        <f t="shared" si="11"/>
        <v>0</v>
      </c>
      <c r="L26" s="448">
        <f t="shared" si="12"/>
        <v>0</v>
      </c>
      <c r="M26" s="448">
        <f t="shared" si="13"/>
        <v>0</v>
      </c>
      <c r="N26" s="448">
        <f t="shared" si="14"/>
        <v>0</v>
      </c>
      <c r="O26" s="448">
        <f t="shared" si="15"/>
        <v>0</v>
      </c>
      <c r="P26" s="449">
        <f t="shared" si="16"/>
        <v>0</v>
      </c>
      <c r="Q26" s="447">
        <f t="shared" ca="1" si="17"/>
        <v>30293.680230274669</v>
      </c>
    </row>
    <row r="27" spans="1:17" s="453" customFormat="1">
      <c r="A27" s="451" t="s">
        <v>557</v>
      </c>
      <c r="B27" s="761">
        <f t="shared" ca="1" si="2"/>
        <v>3.0531299096851399</v>
      </c>
      <c r="C27" s="452">
        <f t="shared" ca="1" si="3"/>
        <v>0</v>
      </c>
      <c r="D27" s="452">
        <f t="shared" si="4"/>
        <v>3.0021611634095993</v>
      </c>
      <c r="E27" s="452">
        <f t="shared" si="5"/>
        <v>119.15203432612229</v>
      </c>
      <c r="F27" s="452">
        <f t="shared" si="6"/>
        <v>0</v>
      </c>
      <c r="G27" s="452">
        <f t="shared" si="7"/>
        <v>42935.976578497161</v>
      </c>
      <c r="H27" s="452">
        <f t="shared" si="8"/>
        <v>6301.2693371247569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49362.45324102114</v>
      </c>
    </row>
    <row r="28" spans="1:17">
      <c r="A28" s="447" t="s">
        <v>547</v>
      </c>
      <c r="B28" s="448">
        <f t="shared" ca="1" si="2"/>
        <v>3.1162938523440062</v>
      </c>
      <c r="C28" s="448">
        <f t="shared" ca="1" si="3"/>
        <v>0</v>
      </c>
      <c r="D28" s="448">
        <f t="shared" si="4"/>
        <v>0</v>
      </c>
      <c r="E28" s="448">
        <f t="shared" si="5"/>
        <v>0</v>
      </c>
      <c r="F28" s="448">
        <f t="shared" si="6"/>
        <v>0</v>
      </c>
      <c r="G28" s="448">
        <f t="shared" si="7"/>
        <v>779.13120086347749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782.24749471582152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525.17662009634739</v>
      </c>
      <c r="C32" s="448">
        <f t="shared" ca="1" si="3"/>
        <v>0</v>
      </c>
      <c r="D32" s="448">
        <f t="shared" si="4"/>
        <v>1311.6163087097432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1836.7929288060905</v>
      </c>
    </row>
    <row r="33" spans="1:17" s="460" customFormat="1">
      <c r="A33" s="457" t="s">
        <v>551</v>
      </c>
      <c r="B33" s="458">
        <f ca="1">SUM(B22:B32)</f>
        <v>37112.938877646273</v>
      </c>
      <c r="C33" s="458">
        <f t="shared" ref="C33:Q33" ca="1" si="18">SUM(C22:C32)</f>
        <v>0</v>
      </c>
      <c r="D33" s="458">
        <f t="shared" ca="1" si="18"/>
        <v>46293.85503972321</v>
      </c>
      <c r="E33" s="458">
        <f t="shared" si="18"/>
        <v>2210.0249527446613</v>
      </c>
      <c r="F33" s="458">
        <f t="shared" ca="1" si="18"/>
        <v>51710.335593056632</v>
      </c>
      <c r="G33" s="458">
        <f t="shared" si="18"/>
        <v>43715.107779360638</v>
      </c>
      <c r="H33" s="458">
        <f t="shared" si="18"/>
        <v>6301.2693371247569</v>
      </c>
      <c r="I33" s="458">
        <f t="shared" si="18"/>
        <v>0</v>
      </c>
      <c r="J33" s="458">
        <f t="shared" si="18"/>
        <v>1084.994288033696</v>
      </c>
      <c r="K33" s="458">
        <f t="shared" si="18"/>
        <v>0</v>
      </c>
      <c r="L33" s="458">
        <f t="shared" ca="1" si="18"/>
        <v>0</v>
      </c>
      <c r="M33" s="458">
        <f t="shared" si="18"/>
        <v>0</v>
      </c>
      <c r="N33" s="458">
        <f t="shared" ca="1" si="18"/>
        <v>0</v>
      </c>
      <c r="O33" s="458">
        <f t="shared" si="18"/>
        <v>0</v>
      </c>
      <c r="P33" s="458">
        <f t="shared" si="18"/>
        <v>0</v>
      </c>
      <c r="Q33" s="458">
        <f t="shared" ca="1" si="18"/>
        <v>188428.5258676899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8424.8397186270322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2187</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6248.5714285714294</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10611.839718627032</v>
      </c>
      <c r="C10" s="1024">
        <f>SUM(C4:C9)</f>
        <v>0</v>
      </c>
      <c r="D10" s="1024">
        <f t="shared" ref="D10:H10" si="0">SUM(D8:D9)</f>
        <v>0</v>
      </c>
      <c r="E10" s="1024">
        <f t="shared" si="0"/>
        <v>0</v>
      </c>
      <c r="F10" s="1024">
        <f t="shared" si="0"/>
        <v>0</v>
      </c>
      <c r="G10" s="1024">
        <f t="shared" si="0"/>
        <v>0</v>
      </c>
      <c r="H10" s="1024">
        <f t="shared" si="0"/>
        <v>0</v>
      </c>
      <c r="I10" s="1024">
        <f>SUM(I8:I9)</f>
        <v>0</v>
      </c>
      <c r="J10" s="1024">
        <f>SUM(J8:J9)</f>
        <v>6248.5714285714294</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0.20786474677503694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0.20786474677503694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0.20786474677503694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0.20786474677503694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15763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3887</v>
      </c>
      <c r="C14" s="327"/>
      <c r="D14" s="327"/>
      <c r="E14" s="327"/>
      <c r="F14" s="327"/>
    </row>
    <row r="15" spans="1:6">
      <c r="A15" s="1296" t="s">
        <v>177</v>
      </c>
      <c r="B15" s="1297">
        <v>208</v>
      </c>
      <c r="C15" s="327"/>
      <c r="D15" s="327"/>
      <c r="E15" s="327"/>
      <c r="F15" s="327"/>
    </row>
    <row r="16" spans="1:6">
      <c r="A16" s="1296" t="s">
        <v>6</v>
      </c>
      <c r="B16" s="1297">
        <v>1471</v>
      </c>
      <c r="C16" s="327"/>
      <c r="D16" s="327"/>
      <c r="E16" s="327"/>
      <c r="F16" s="327"/>
    </row>
    <row r="17" spans="1:6">
      <c r="A17" s="1296" t="s">
        <v>7</v>
      </c>
      <c r="B17" s="1297">
        <v>1114</v>
      </c>
      <c r="C17" s="327"/>
      <c r="D17" s="327"/>
      <c r="E17" s="327"/>
      <c r="F17" s="327"/>
    </row>
    <row r="18" spans="1:6">
      <c r="A18" s="1296" t="s">
        <v>8</v>
      </c>
      <c r="B18" s="1297">
        <v>1840</v>
      </c>
      <c r="C18" s="327"/>
      <c r="D18" s="327"/>
      <c r="E18" s="327"/>
      <c r="F18" s="327"/>
    </row>
    <row r="19" spans="1:6">
      <c r="A19" s="1296" t="s">
        <v>9</v>
      </c>
      <c r="B19" s="1297">
        <v>1780</v>
      </c>
      <c r="C19" s="327"/>
      <c r="D19" s="327"/>
      <c r="E19" s="327"/>
      <c r="F19" s="327"/>
    </row>
    <row r="20" spans="1:6">
      <c r="A20" s="1296" t="s">
        <v>10</v>
      </c>
      <c r="B20" s="1297">
        <v>1622</v>
      </c>
      <c r="C20" s="327"/>
      <c r="D20" s="327"/>
      <c r="E20" s="327"/>
      <c r="F20" s="327"/>
    </row>
    <row r="21" spans="1:6">
      <c r="A21" s="1296" t="s">
        <v>11</v>
      </c>
      <c r="B21" s="1297">
        <v>347</v>
      </c>
      <c r="C21" s="327"/>
      <c r="D21" s="327"/>
      <c r="E21" s="327"/>
      <c r="F21" s="327"/>
    </row>
    <row r="22" spans="1:6">
      <c r="A22" s="1296" t="s">
        <v>12</v>
      </c>
      <c r="B22" s="1297">
        <v>2077</v>
      </c>
      <c r="C22" s="327"/>
      <c r="D22" s="327"/>
      <c r="E22" s="327"/>
      <c r="F22" s="327"/>
    </row>
    <row r="23" spans="1:6">
      <c r="A23" s="1296" t="s">
        <v>13</v>
      </c>
      <c r="B23" s="1297">
        <v>15</v>
      </c>
      <c r="C23" s="327"/>
      <c r="D23" s="327"/>
      <c r="E23" s="327"/>
      <c r="F23" s="327"/>
    </row>
    <row r="24" spans="1:6">
      <c r="A24" s="1296" t="s">
        <v>14</v>
      </c>
      <c r="B24" s="1297">
        <v>1</v>
      </c>
      <c r="C24" s="327"/>
      <c r="D24" s="327"/>
      <c r="E24" s="327"/>
      <c r="F24" s="327"/>
    </row>
    <row r="25" spans="1:6">
      <c r="A25" s="1296" t="s">
        <v>15</v>
      </c>
      <c r="B25" s="1297">
        <v>198</v>
      </c>
      <c r="C25" s="327"/>
      <c r="D25" s="327"/>
      <c r="E25" s="327"/>
      <c r="F25" s="327"/>
    </row>
    <row r="26" spans="1:6">
      <c r="A26" s="1296" t="s">
        <v>16</v>
      </c>
      <c r="B26" s="1297">
        <v>480</v>
      </c>
      <c r="C26" s="327"/>
      <c r="D26" s="327"/>
      <c r="E26" s="327"/>
      <c r="F26" s="327"/>
    </row>
    <row r="27" spans="1:6">
      <c r="A27" s="1296" t="s">
        <v>17</v>
      </c>
      <c r="B27" s="1297">
        <v>7</v>
      </c>
      <c r="C27" s="327"/>
      <c r="D27" s="327"/>
      <c r="E27" s="327"/>
      <c r="F27" s="327"/>
    </row>
    <row r="28" spans="1:6">
      <c r="A28" s="1296" t="s">
        <v>18</v>
      </c>
      <c r="B28" s="1298">
        <v>48</v>
      </c>
      <c r="C28" s="327"/>
      <c r="D28" s="327"/>
      <c r="E28" s="327"/>
      <c r="F28" s="327"/>
    </row>
    <row r="29" spans="1:6">
      <c r="A29" s="1296" t="s">
        <v>922</v>
      </c>
      <c r="B29" s="1298">
        <v>170</v>
      </c>
      <c r="C29" s="327"/>
      <c r="D29" s="327"/>
      <c r="E29" s="327"/>
      <c r="F29" s="327"/>
    </row>
    <row r="30" spans="1:6">
      <c r="A30" s="1291" t="s">
        <v>923</v>
      </c>
      <c r="B30" s="1299">
        <v>43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3</v>
      </c>
      <c r="D36" s="1297">
        <v>28478.0985260376</v>
      </c>
      <c r="E36" s="1297">
        <v>6</v>
      </c>
      <c r="F36" s="1297">
        <v>13765.8614489876</v>
      </c>
    </row>
    <row r="37" spans="1:6">
      <c r="A37" s="1296" t="s">
        <v>24</v>
      </c>
      <c r="B37" s="1296" t="s">
        <v>27</v>
      </c>
      <c r="C37" s="1297">
        <v>0</v>
      </c>
      <c r="D37" s="1297">
        <v>0</v>
      </c>
      <c r="E37" s="1297">
        <v>0</v>
      </c>
      <c r="F37" s="1297">
        <v>0</v>
      </c>
    </row>
    <row r="38" spans="1:6">
      <c r="A38" s="1296" t="s">
        <v>24</v>
      </c>
      <c r="B38" s="1296" t="s">
        <v>28</v>
      </c>
      <c r="C38" s="1297">
        <v>3</v>
      </c>
      <c r="D38" s="1297">
        <v>194813.80090009599</v>
      </c>
      <c r="E38" s="1297">
        <v>5</v>
      </c>
      <c r="F38" s="1297">
        <v>17982.8797719092</v>
      </c>
    </row>
    <row r="39" spans="1:6">
      <c r="A39" s="1296" t="s">
        <v>29</v>
      </c>
      <c r="B39" s="1296" t="s">
        <v>30</v>
      </c>
      <c r="C39" s="1297">
        <v>7697</v>
      </c>
      <c r="D39" s="1297">
        <v>132063353.12775201</v>
      </c>
      <c r="E39" s="1297">
        <v>15570</v>
      </c>
      <c r="F39" s="1297">
        <v>65987175.2676678</v>
      </c>
    </row>
    <row r="40" spans="1:6">
      <c r="A40" s="1296" t="s">
        <v>29</v>
      </c>
      <c r="B40" s="1296" t="s">
        <v>28</v>
      </c>
      <c r="C40" s="1297">
        <v>0</v>
      </c>
      <c r="D40" s="1297">
        <v>0</v>
      </c>
      <c r="E40" s="1297">
        <v>0</v>
      </c>
      <c r="F40" s="1297">
        <v>0</v>
      </c>
    </row>
    <row r="41" spans="1:6">
      <c r="A41" s="1296" t="s">
        <v>31</v>
      </c>
      <c r="B41" s="1296" t="s">
        <v>32</v>
      </c>
      <c r="C41" s="1297">
        <v>84</v>
      </c>
      <c r="D41" s="1297">
        <v>2075797.8054460499</v>
      </c>
      <c r="E41" s="1297">
        <v>309</v>
      </c>
      <c r="F41" s="1297">
        <v>2757637.9136891998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565502.86551307095</v>
      </c>
      <c r="E44" s="1297">
        <v>29</v>
      </c>
      <c r="F44" s="1297">
        <v>2771575.60965537</v>
      </c>
    </row>
    <row r="45" spans="1:6">
      <c r="A45" s="1296" t="s">
        <v>31</v>
      </c>
      <c r="B45" s="1296" t="s">
        <v>36</v>
      </c>
      <c r="C45" s="1297">
        <v>0</v>
      </c>
      <c r="D45" s="1297">
        <v>0</v>
      </c>
      <c r="E45" s="1297">
        <v>5</v>
      </c>
      <c r="F45" s="1297">
        <v>533596.26571775996</v>
      </c>
    </row>
    <row r="46" spans="1:6">
      <c r="A46" s="1296" t="s">
        <v>31</v>
      </c>
      <c r="B46" s="1296" t="s">
        <v>37</v>
      </c>
      <c r="C46" s="1297">
        <v>0</v>
      </c>
      <c r="D46" s="1297">
        <v>0</v>
      </c>
      <c r="E46" s="1297">
        <v>0</v>
      </c>
      <c r="F46" s="1297">
        <v>0</v>
      </c>
    </row>
    <row r="47" spans="1:6">
      <c r="A47" s="1296" t="s">
        <v>31</v>
      </c>
      <c r="B47" s="1296" t="s">
        <v>38</v>
      </c>
      <c r="C47" s="1297">
        <v>0</v>
      </c>
      <c r="D47" s="1297">
        <v>0</v>
      </c>
      <c r="E47" s="1297">
        <v>8</v>
      </c>
      <c r="F47" s="1297">
        <v>255815.39713276699</v>
      </c>
    </row>
    <row r="48" spans="1:6">
      <c r="A48" s="1296" t="s">
        <v>31</v>
      </c>
      <c r="B48" s="1296" t="s">
        <v>28</v>
      </c>
      <c r="C48" s="1297">
        <v>60</v>
      </c>
      <c r="D48" s="1297">
        <v>27284428.577870101</v>
      </c>
      <c r="E48" s="1297">
        <v>104</v>
      </c>
      <c r="F48" s="1297">
        <v>28935929.668794099</v>
      </c>
    </row>
    <row r="49" spans="1:6">
      <c r="A49" s="1296" t="s">
        <v>31</v>
      </c>
      <c r="B49" s="1296" t="s">
        <v>39</v>
      </c>
      <c r="C49" s="1297">
        <v>0</v>
      </c>
      <c r="D49" s="1297">
        <v>0</v>
      </c>
      <c r="E49" s="1297">
        <v>0</v>
      </c>
      <c r="F49" s="1297">
        <v>0</v>
      </c>
    </row>
    <row r="50" spans="1:6">
      <c r="A50" s="1296" t="s">
        <v>31</v>
      </c>
      <c r="B50" s="1296" t="s">
        <v>40</v>
      </c>
      <c r="C50" s="1297">
        <v>15</v>
      </c>
      <c r="D50" s="1297">
        <v>28589025.227217499</v>
      </c>
      <c r="E50" s="1297">
        <v>28</v>
      </c>
      <c r="F50" s="1297">
        <v>14676911.1242529</v>
      </c>
    </row>
    <row r="51" spans="1:6">
      <c r="A51" s="1296" t="s">
        <v>41</v>
      </c>
      <c r="B51" s="1296" t="s">
        <v>42</v>
      </c>
      <c r="C51" s="1297">
        <v>0</v>
      </c>
      <c r="D51" s="1297">
        <v>0</v>
      </c>
      <c r="E51" s="1297">
        <v>85</v>
      </c>
      <c r="F51" s="1297">
        <v>1039658.17335108</v>
      </c>
    </row>
    <row r="52" spans="1:6">
      <c r="A52" s="1296" t="s">
        <v>41</v>
      </c>
      <c r="B52" s="1296" t="s">
        <v>28</v>
      </c>
      <c r="C52" s="1297">
        <v>8</v>
      </c>
      <c r="D52" s="1297">
        <v>287662.65943758201</v>
      </c>
      <c r="E52" s="1297">
        <v>18</v>
      </c>
      <c r="F52" s="1297">
        <v>194569.554732866</v>
      </c>
    </row>
    <row r="53" spans="1:6">
      <c r="A53" s="1296" t="s">
        <v>43</v>
      </c>
      <c r="B53" s="1296" t="s">
        <v>44</v>
      </c>
      <c r="C53" s="1297">
        <v>198</v>
      </c>
      <c r="D53" s="1297">
        <v>6493150.04311754</v>
      </c>
      <c r="E53" s="1297">
        <v>536</v>
      </c>
      <c r="F53" s="1297">
        <v>2526530.4879462002</v>
      </c>
    </row>
    <row r="54" spans="1:6">
      <c r="A54" s="1296" t="s">
        <v>45</v>
      </c>
      <c r="B54" s="1296" t="s">
        <v>46</v>
      </c>
      <c r="C54" s="1297">
        <v>0</v>
      </c>
      <c r="D54" s="1297">
        <v>0</v>
      </c>
      <c r="E54" s="1297">
        <v>1</v>
      </c>
      <c r="F54" s="1297">
        <v>2588546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87</v>
      </c>
      <c r="D57" s="1297">
        <v>3350734.0330743501</v>
      </c>
      <c r="E57" s="1297">
        <v>286</v>
      </c>
      <c r="F57" s="1297">
        <v>6118595.0120230597</v>
      </c>
    </row>
    <row r="58" spans="1:6">
      <c r="A58" s="1296" t="s">
        <v>48</v>
      </c>
      <c r="B58" s="1296" t="s">
        <v>50</v>
      </c>
      <c r="C58" s="1297">
        <v>29</v>
      </c>
      <c r="D58" s="1297">
        <v>1361636.2604340301</v>
      </c>
      <c r="E58" s="1297">
        <v>66</v>
      </c>
      <c r="F58" s="1297">
        <v>797626.57204755605</v>
      </c>
    </row>
    <row r="59" spans="1:6">
      <c r="A59" s="1296" t="s">
        <v>48</v>
      </c>
      <c r="B59" s="1296" t="s">
        <v>51</v>
      </c>
      <c r="C59" s="1297">
        <v>170</v>
      </c>
      <c r="D59" s="1297">
        <v>18175000.622735299</v>
      </c>
      <c r="E59" s="1297">
        <v>482</v>
      </c>
      <c r="F59" s="1297">
        <v>22392335.760874599</v>
      </c>
    </row>
    <row r="60" spans="1:6">
      <c r="A60" s="1296" t="s">
        <v>48</v>
      </c>
      <c r="B60" s="1296" t="s">
        <v>52</v>
      </c>
      <c r="C60" s="1297">
        <v>124</v>
      </c>
      <c r="D60" s="1297">
        <v>5313600.3566749003</v>
      </c>
      <c r="E60" s="1297">
        <v>208</v>
      </c>
      <c r="F60" s="1297">
        <v>4469150.3157451702</v>
      </c>
    </row>
    <row r="61" spans="1:6">
      <c r="A61" s="1296" t="s">
        <v>48</v>
      </c>
      <c r="B61" s="1296" t="s">
        <v>53</v>
      </c>
      <c r="C61" s="1297">
        <v>177</v>
      </c>
      <c r="D61" s="1297">
        <v>13724230.8254133</v>
      </c>
      <c r="E61" s="1297">
        <v>501</v>
      </c>
      <c r="F61" s="1297">
        <v>7022659.6458515702</v>
      </c>
    </row>
    <row r="62" spans="1:6">
      <c r="A62" s="1296" t="s">
        <v>48</v>
      </c>
      <c r="B62" s="1296" t="s">
        <v>54</v>
      </c>
      <c r="C62" s="1297">
        <v>6</v>
      </c>
      <c r="D62" s="1297">
        <v>2391709.3845723602</v>
      </c>
      <c r="E62" s="1297">
        <v>13</v>
      </c>
      <c r="F62" s="1297">
        <v>843819.05597510096</v>
      </c>
    </row>
    <row r="63" spans="1:6">
      <c r="A63" s="1296" t="s">
        <v>48</v>
      </c>
      <c r="B63" s="1296" t="s">
        <v>28</v>
      </c>
      <c r="C63" s="1297">
        <v>181</v>
      </c>
      <c r="D63" s="1297">
        <v>11679278.3087982</v>
      </c>
      <c r="E63" s="1297">
        <v>305</v>
      </c>
      <c r="F63" s="1297">
        <v>7540532.6304896604</v>
      </c>
    </row>
    <row r="64" spans="1:6">
      <c r="A64" s="1296" t="s">
        <v>55</v>
      </c>
      <c r="B64" s="1296" t="s">
        <v>56</v>
      </c>
      <c r="C64" s="1297">
        <v>0</v>
      </c>
      <c r="D64" s="1297">
        <v>0</v>
      </c>
      <c r="E64" s="1297">
        <v>0</v>
      </c>
      <c r="F64" s="1297">
        <v>0</v>
      </c>
    </row>
    <row r="65" spans="1:6">
      <c r="A65" s="1296" t="s">
        <v>55</v>
      </c>
      <c r="B65" s="1296" t="s">
        <v>28</v>
      </c>
      <c r="C65" s="1297">
        <v>2</v>
      </c>
      <c r="D65" s="1297">
        <v>23496.369932543599</v>
      </c>
      <c r="E65" s="1297">
        <v>7</v>
      </c>
      <c r="F65" s="1297">
        <v>51310.206870390597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21728.482597529401</v>
      </c>
      <c r="E68" s="1299">
        <v>9</v>
      </c>
      <c r="F68" s="1299">
        <v>194949.66691815201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140951339</v>
      </c>
      <c r="E73" s="446"/>
      <c r="F73" s="327"/>
    </row>
    <row r="74" spans="1:6">
      <c r="A74" s="1296" t="s">
        <v>63</v>
      </c>
      <c r="B74" s="1296" t="s">
        <v>706</v>
      </c>
      <c r="C74" s="1309" t="s">
        <v>707</v>
      </c>
      <c r="D74" s="1297">
        <v>19856843.369899645</v>
      </c>
      <c r="E74" s="446"/>
      <c r="F74" s="327"/>
    </row>
    <row r="75" spans="1:6">
      <c r="A75" s="1296" t="s">
        <v>64</v>
      </c>
      <c r="B75" s="1296" t="s">
        <v>704</v>
      </c>
      <c r="C75" s="1309" t="s">
        <v>708</v>
      </c>
      <c r="D75" s="1297">
        <v>52430669</v>
      </c>
      <c r="E75" s="446"/>
      <c r="F75" s="327"/>
    </row>
    <row r="76" spans="1:6">
      <c r="A76" s="1296" t="s">
        <v>64</v>
      </c>
      <c r="B76" s="1296" t="s">
        <v>706</v>
      </c>
      <c r="C76" s="1309" t="s">
        <v>709</v>
      </c>
      <c r="D76" s="1297">
        <v>2389399.3698996464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810933.26020070724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4874.3453970241944</v>
      </c>
      <c r="C91" s="327"/>
      <c r="D91" s="327"/>
      <c r="E91" s="327"/>
      <c r="F91" s="327"/>
    </row>
    <row r="92" spans="1:6">
      <c r="A92" s="1291" t="s">
        <v>68</v>
      </c>
      <c r="B92" s="1292">
        <v>3550.4943216028378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4030</v>
      </c>
      <c r="C97" s="327"/>
      <c r="D97" s="327"/>
      <c r="E97" s="327"/>
      <c r="F97" s="327"/>
    </row>
    <row r="98" spans="1:6">
      <c r="A98" s="1296" t="s">
        <v>71</v>
      </c>
      <c r="B98" s="1297">
        <v>2</v>
      </c>
      <c r="C98" s="327"/>
      <c r="D98" s="327"/>
      <c r="E98" s="327"/>
      <c r="F98" s="327"/>
    </row>
    <row r="99" spans="1:6">
      <c r="A99" s="1296" t="s">
        <v>72</v>
      </c>
      <c r="B99" s="1297">
        <v>188</v>
      </c>
      <c r="C99" s="327"/>
      <c r="D99" s="327"/>
      <c r="E99" s="327"/>
      <c r="F99" s="327"/>
    </row>
    <row r="100" spans="1:6">
      <c r="A100" s="1296" t="s">
        <v>73</v>
      </c>
      <c r="B100" s="1297">
        <v>1269</v>
      </c>
      <c r="C100" s="327"/>
      <c r="D100" s="327"/>
      <c r="E100" s="327"/>
      <c r="F100" s="327"/>
    </row>
    <row r="101" spans="1:6">
      <c r="A101" s="1296" t="s">
        <v>74</v>
      </c>
      <c r="B101" s="1297">
        <v>211</v>
      </c>
      <c r="C101" s="327"/>
      <c r="D101" s="327"/>
      <c r="E101" s="327"/>
      <c r="F101" s="327"/>
    </row>
    <row r="102" spans="1:6">
      <c r="A102" s="1296" t="s">
        <v>75</v>
      </c>
      <c r="B102" s="1297">
        <v>300</v>
      </c>
      <c r="C102" s="327"/>
      <c r="D102" s="327"/>
      <c r="E102" s="327"/>
      <c r="F102" s="327"/>
    </row>
    <row r="103" spans="1:6">
      <c r="A103" s="1296" t="s">
        <v>76</v>
      </c>
      <c r="B103" s="1297">
        <v>540</v>
      </c>
      <c r="C103" s="327"/>
      <c r="D103" s="327"/>
      <c r="E103" s="327"/>
      <c r="F103" s="327"/>
    </row>
    <row r="104" spans="1:6">
      <c r="A104" s="1296" t="s">
        <v>77</v>
      </c>
      <c r="B104" s="1297">
        <v>7256</v>
      </c>
      <c r="C104" s="327"/>
      <c r="D104" s="327"/>
      <c r="E104" s="327"/>
      <c r="F104" s="327"/>
    </row>
    <row r="105" spans="1:6">
      <c r="A105" s="1291"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23</v>
      </c>
      <c r="C123" s="1297">
        <v>17</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147</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20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178543.68984372332</v>
      </c>
      <c r="C3" s="43" t="s">
        <v>163</v>
      </c>
      <c r="D3" s="43"/>
      <c r="E3" s="156"/>
      <c r="F3" s="43"/>
      <c r="G3" s="43"/>
      <c r="H3" s="43"/>
      <c r="I3" s="43"/>
      <c r="J3" s="43"/>
      <c r="K3" s="96"/>
    </row>
    <row r="4" spans="1:11">
      <c r="A4" s="353" t="s">
        <v>164</v>
      </c>
      <c r="B4" s="49">
        <f>IF(ISERROR('SEAP template'!B78+'SEAP template'!C78),0,'SEAP template'!B78+'SEAP template'!C78)</f>
        <v>10611.839718627032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0.20786474677503694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2588.5459999999998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2588.5459999999998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0.20786474677503694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538.06745880553478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65987.175267667801</v>
      </c>
      <c r="C5" s="17">
        <f>IF(ISERROR('Eigen informatie GS &amp; warmtenet'!B57),0,'Eigen informatie GS &amp; warmtenet'!B57)</f>
        <v>0</v>
      </c>
      <c r="D5" s="30">
        <f>(SUM(HH_hh_gas_kWh,HH_rest_gas_kWh)/1000)*0.902</f>
        <v>119121.1445212323</v>
      </c>
      <c r="E5" s="17">
        <f>B32*B41</f>
        <v>4828.0857709595057</v>
      </c>
      <c r="F5" s="17">
        <f>B36*B45</f>
        <v>147958.97096043121</v>
      </c>
      <c r="G5" s="18"/>
      <c r="H5" s="17"/>
      <c r="I5" s="17"/>
      <c r="J5" s="17">
        <f>B35*B44+C35*C44</f>
        <v>2802.0482978772507</v>
      </c>
      <c r="K5" s="17"/>
      <c r="L5" s="17"/>
      <c r="M5" s="17"/>
      <c r="N5" s="17">
        <f>B34*B43+C34*C43</f>
        <v>25729.964793639032</v>
      </c>
      <c r="O5" s="17">
        <f>B52*B53*B54</f>
        <v>257.95</v>
      </c>
      <c r="P5" s="17">
        <f>B60*B61*B62/1000-B60*B61*B62/1000/B63</f>
        <v>819.86666666666667</v>
      </c>
    </row>
    <row r="6" spans="1:16">
      <c r="A6" s="16" t="s">
        <v>617</v>
      </c>
      <c r="B6" s="769">
        <f>kWh_PV_kleiner_dan_10kW</f>
        <v>4874.3453970241944</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70861.520664691998</v>
      </c>
      <c r="C8" s="21">
        <f>C5</f>
        <v>0</v>
      </c>
      <c r="D8" s="21">
        <f>D5</f>
        <v>119121.1445212323</v>
      </c>
      <c r="E8" s="21">
        <f>E5</f>
        <v>4828.0857709595057</v>
      </c>
      <c r="F8" s="21">
        <f>F5</f>
        <v>147958.97096043121</v>
      </c>
      <c r="G8" s="21"/>
      <c r="H8" s="21"/>
      <c r="I8" s="21"/>
      <c r="J8" s="21">
        <f>J5</f>
        <v>2802.0482978772507</v>
      </c>
      <c r="K8" s="21"/>
      <c r="L8" s="21">
        <f>L5</f>
        <v>0</v>
      </c>
      <c r="M8" s="21">
        <f>M5</f>
        <v>0</v>
      </c>
      <c r="N8" s="21">
        <f>N5</f>
        <v>25729.964793639032</v>
      </c>
      <c r="O8" s="21">
        <f>O5</f>
        <v>257.95</v>
      </c>
      <c r="P8" s="21">
        <f>P5</f>
        <v>819.86666666666667</v>
      </c>
    </row>
    <row r="9" spans="1:16">
      <c r="B9" s="19"/>
      <c r="C9" s="19"/>
      <c r="D9" s="257"/>
      <c r="E9" s="19"/>
      <c r="F9" s="19"/>
      <c r="G9" s="19"/>
      <c r="H9" s="19"/>
      <c r="I9" s="19"/>
      <c r="J9" s="19"/>
      <c r="K9" s="19"/>
      <c r="L9" s="19"/>
      <c r="M9" s="19"/>
      <c r="N9" s="19"/>
      <c r="O9" s="19"/>
      <c r="P9" s="19"/>
    </row>
    <row r="10" spans="1:16">
      <c r="A10" s="24" t="s">
        <v>207</v>
      </c>
      <c r="B10" s="25">
        <f ca="1">'EF ele_warmte'!B12</f>
        <v>0.20786474677503694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14729.61204906025</v>
      </c>
      <c r="C12" s="23">
        <f ca="1">C10*C8</f>
        <v>0</v>
      </c>
      <c r="D12" s="23">
        <f>D8*D10</f>
        <v>24062.471193288926</v>
      </c>
      <c r="E12" s="23">
        <f>E10*E8</f>
        <v>1095.9754700078079</v>
      </c>
      <c r="F12" s="23">
        <f>F10*F8</f>
        <v>39505.045246435133</v>
      </c>
      <c r="G12" s="23"/>
      <c r="H12" s="23"/>
      <c r="I12" s="23"/>
      <c r="J12" s="23">
        <f>J10*J8</f>
        <v>991.92509744854669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15763</v>
      </c>
      <c r="C26" s="36"/>
      <c r="D26" s="227"/>
    </row>
    <row r="27" spans="1:5" s="15" customFormat="1">
      <c r="A27" s="229" t="s">
        <v>722</v>
      </c>
      <c r="B27" s="37">
        <f>SUM(HH_hh_gas_aantal,HH_rest_gas_aantal)</f>
        <v>7697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7312.15</v>
      </c>
      <c r="C31" s="34" t="s">
        <v>104</v>
      </c>
      <c r="D31" s="173"/>
    </row>
    <row r="32" spans="1:5">
      <c r="A32" s="170" t="s">
        <v>72</v>
      </c>
      <c r="B32" s="33">
        <f>IF((B21*($B$26-($B$27-0.05*$B$27)-$B$60))&lt;0,0,B21*($B$26-($B$27-0.05*$B$27)-$B$60))</f>
        <v>210.54569753764324</v>
      </c>
      <c r="C32" s="34" t="s">
        <v>104</v>
      </c>
      <c r="D32" s="173"/>
    </row>
    <row r="33" spans="1:6">
      <c r="A33" s="170" t="s">
        <v>73</v>
      </c>
      <c r="B33" s="33">
        <f>IF((B22*($B$26-($B$27-0.05*$B$27)-$B$60))&lt;0,0,B22*($B$26-($B$27-0.05*$B$27)-$B$60))</f>
        <v>1417.2194807402661</v>
      </c>
      <c r="C33" s="34" t="s">
        <v>104</v>
      </c>
      <c r="D33" s="173"/>
    </row>
    <row r="34" spans="1:6">
      <c r="A34" s="170" t="s">
        <v>74</v>
      </c>
      <c r="B34" s="33">
        <f>IF((B24*($B$26-($B$27-0.05*$B$27)-$B$60))&lt;0,0,B24*($B$26-($B$27-0.05*$B$27)-$B$60))</f>
        <v>359.56779199052869</v>
      </c>
      <c r="C34" s="33">
        <f>B26*C24</f>
        <v>3224.4803460324415</v>
      </c>
      <c r="D34" s="232"/>
    </row>
    <row r="35" spans="1:6">
      <c r="A35" s="170" t="s">
        <v>76</v>
      </c>
      <c r="B35" s="33">
        <f>IF((B19*($B$26-($B$27-0.05*$B$27)-$B$60))&lt;0,0,B19*($B$26-($B$27-0.05*$B$27)-$B$60))</f>
        <v>133.62720248042399</v>
      </c>
      <c r="C35" s="33">
        <f>B35/2</f>
        <v>66.813601240211995</v>
      </c>
      <c r="D35" s="232"/>
    </row>
    <row r="36" spans="1:6">
      <c r="A36" s="170" t="s">
        <v>77</v>
      </c>
      <c r="B36" s="33">
        <f>IF((B18*($B$26-($B$27-0.05*$B$27)-$B$60))&lt;0,0,B18*($B$26-($B$27-0.05*$B$27)-$B$60))</f>
        <v>6286.8898272511387</v>
      </c>
      <c r="C36" s="34" t="s">
        <v>104</v>
      </c>
      <c r="D36" s="173"/>
    </row>
    <row r="37" spans="1:6">
      <c r="A37" s="170" t="s">
        <v>78</v>
      </c>
      <c r="B37" s="33">
        <f>B60</f>
        <v>43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49184.718993006718</v>
      </c>
      <c r="C5" s="17">
        <f>IF(ISERROR('Eigen informatie GS &amp; warmtenet'!B58),0,'Eigen informatie GS &amp; warmtenet'!B58)</f>
        <v>0</v>
      </c>
      <c r="D5" s="30">
        <f>SUM(D6:D12)</f>
        <v>50508.563192115602</v>
      </c>
      <c r="E5" s="17">
        <f>SUM(E6:E12)</f>
        <v>723.01870448027796</v>
      </c>
      <c r="F5" s="17">
        <f>SUM(F6:F12)</f>
        <v>9999.3863233657721</v>
      </c>
      <c r="G5" s="18"/>
      <c r="H5" s="17"/>
      <c r="I5" s="17"/>
      <c r="J5" s="17">
        <f>SUM(J6:J12)</f>
        <v>0</v>
      </c>
      <c r="K5" s="17"/>
      <c r="L5" s="17"/>
      <c r="M5" s="17"/>
      <c r="N5" s="17">
        <f>SUM(N6:N12)</f>
        <v>4937.920585570776</v>
      </c>
      <c r="O5" s="17">
        <f>B38*B39*B40</f>
        <v>3.1266666666666669</v>
      </c>
      <c r="P5" s="17">
        <f>B46*B47*B48/1000-B46*B47*B48/1000/B49</f>
        <v>19.066666666666666</v>
      </c>
      <c r="R5" s="32"/>
    </row>
    <row r="6" spans="1:18">
      <c r="A6" s="32" t="s">
        <v>53</v>
      </c>
      <c r="B6" s="37">
        <f>B26</f>
        <v>7022.6596458515705</v>
      </c>
      <c r="C6" s="33"/>
      <c r="D6" s="37">
        <f>IF(ISERROR(TER_kantoor_gas_kWh/1000),0,TER_kantoor_gas_kWh/1000)*0.902</f>
        <v>12379.256204522797</v>
      </c>
      <c r="E6" s="33">
        <f>$C$26*'E Balans VL '!I12/100/3.6*1000000</f>
        <v>27.284519507807598</v>
      </c>
      <c r="F6" s="33">
        <f>$C$26*('E Balans VL '!L12+'E Balans VL '!N12)/100/3.6*1000000</f>
        <v>1068.0826310258851</v>
      </c>
      <c r="G6" s="34"/>
      <c r="H6" s="33"/>
      <c r="I6" s="33"/>
      <c r="J6" s="33">
        <f>$C$26*('E Balans VL '!D12+'E Balans VL '!E12)/100/3.6*1000000</f>
        <v>0</v>
      </c>
      <c r="K6" s="33"/>
      <c r="L6" s="33"/>
      <c r="M6" s="33"/>
      <c r="N6" s="33">
        <f>$C$26*'E Balans VL '!Y12/100/3.6*1000000</f>
        <v>3.8703267587712911</v>
      </c>
      <c r="O6" s="33"/>
      <c r="P6" s="33"/>
      <c r="R6" s="32"/>
    </row>
    <row r="7" spans="1:18">
      <c r="A7" s="32" t="s">
        <v>52</v>
      </c>
      <c r="B7" s="37">
        <f t="shared" ref="B7:B12" si="0">B27</f>
        <v>4469.1503157451698</v>
      </c>
      <c r="C7" s="33"/>
      <c r="D7" s="37">
        <f>IF(ISERROR(TER_horeca_gas_kWh/1000),0,TER_horeca_gas_kWh/1000)*0.902</f>
        <v>4792.8675217207601</v>
      </c>
      <c r="E7" s="33">
        <f>$C$27*'E Balans VL '!I9/100/3.6*1000000</f>
        <v>251.74843213875366</v>
      </c>
      <c r="F7" s="33">
        <f>$C$27*('E Balans VL '!L9+'E Balans VL '!N9)/100/3.6*1000000</f>
        <v>1288.6353884935247</v>
      </c>
      <c r="G7" s="34"/>
      <c r="H7" s="33"/>
      <c r="I7" s="33"/>
      <c r="J7" s="33">
        <f>$C$27*('E Balans VL '!D9+'E Balans VL '!E9)/100/3.6*1000000</f>
        <v>0</v>
      </c>
      <c r="K7" s="33"/>
      <c r="L7" s="33"/>
      <c r="M7" s="33"/>
      <c r="N7" s="33">
        <f>$C$27*'E Balans VL '!Y9/100/3.6*1000000</f>
        <v>1.2339091782871363</v>
      </c>
      <c r="O7" s="33"/>
      <c r="P7" s="33"/>
      <c r="R7" s="32"/>
    </row>
    <row r="8" spans="1:18">
      <c r="A8" s="6" t="s">
        <v>51</v>
      </c>
      <c r="B8" s="37">
        <f t="shared" si="0"/>
        <v>22392.335760874601</v>
      </c>
      <c r="C8" s="33"/>
      <c r="D8" s="37">
        <f>IF(ISERROR(TER_handel_gas_kWh/1000),0,TER_handel_gas_kWh/1000)*0.902</f>
        <v>16393.850561707241</v>
      </c>
      <c r="E8" s="33">
        <f>$C$28*'E Balans VL '!I13/100/3.6*1000000</f>
        <v>322.7495279523086</v>
      </c>
      <c r="F8" s="33">
        <f>$C$28*('E Balans VL '!L13+'E Balans VL '!N13)/100/3.6*1000000</f>
        <v>3890.0702039747612</v>
      </c>
      <c r="G8" s="34"/>
      <c r="H8" s="33"/>
      <c r="I8" s="33"/>
      <c r="J8" s="33">
        <f>$C$28*('E Balans VL '!D13+'E Balans VL '!E13)/100/3.6*1000000</f>
        <v>0</v>
      </c>
      <c r="K8" s="33"/>
      <c r="L8" s="33"/>
      <c r="M8" s="33"/>
      <c r="N8" s="33">
        <f>$C$28*'E Balans VL '!Y13/100/3.6*1000000</f>
        <v>67.089930705748571</v>
      </c>
      <c r="O8" s="33"/>
      <c r="P8" s="33"/>
      <c r="R8" s="32"/>
    </row>
    <row r="9" spans="1:18">
      <c r="A9" s="32" t="s">
        <v>50</v>
      </c>
      <c r="B9" s="37">
        <f t="shared" si="0"/>
        <v>797.62657204755601</v>
      </c>
      <c r="C9" s="33"/>
      <c r="D9" s="37">
        <f>IF(ISERROR(TER_gezond_gas_kWh/1000),0,TER_gezond_gas_kWh/1000)*0.902</f>
        <v>1228.1959069114953</v>
      </c>
      <c r="E9" s="33">
        <f>$C$29*'E Balans VL '!I10/100/3.6*1000000</f>
        <v>0.852071916162081</v>
      </c>
      <c r="F9" s="33">
        <f>$C$29*('E Balans VL '!L10+'E Balans VL '!N10)/100/3.6*1000000</f>
        <v>130.11713468212204</v>
      </c>
      <c r="G9" s="34"/>
      <c r="H9" s="33"/>
      <c r="I9" s="33"/>
      <c r="J9" s="33">
        <f>$C$29*('E Balans VL '!D10+'E Balans VL '!E10)/100/3.6*1000000</f>
        <v>0</v>
      </c>
      <c r="K9" s="33"/>
      <c r="L9" s="33"/>
      <c r="M9" s="33"/>
      <c r="N9" s="33">
        <f>$C$29*'E Balans VL '!Y10/100/3.6*1000000</f>
        <v>8.2111104425872963</v>
      </c>
      <c r="O9" s="33"/>
      <c r="P9" s="33"/>
      <c r="R9" s="32"/>
    </row>
    <row r="10" spans="1:18">
      <c r="A10" s="32" t="s">
        <v>49</v>
      </c>
      <c r="B10" s="37">
        <f t="shared" si="0"/>
        <v>6118.59501202306</v>
      </c>
      <c r="C10" s="33"/>
      <c r="D10" s="37">
        <f>IF(ISERROR(TER_ander_gas_kWh/1000),0,TER_ander_gas_kWh/1000)*0.902</f>
        <v>3022.3620978330637</v>
      </c>
      <c r="E10" s="33">
        <f>$C$30*'E Balans VL '!I14/100/3.6*1000000</f>
        <v>28.138487752902929</v>
      </c>
      <c r="F10" s="33">
        <f>$C$30*('E Balans VL '!L14+'E Balans VL '!N14)/100/3.6*1000000</f>
        <v>1833.9359229363067</v>
      </c>
      <c r="G10" s="34"/>
      <c r="H10" s="33"/>
      <c r="I10" s="33"/>
      <c r="J10" s="33">
        <f>$C$30*('E Balans VL '!D14+'E Balans VL '!E14)/100/3.6*1000000</f>
        <v>0</v>
      </c>
      <c r="K10" s="33"/>
      <c r="L10" s="33"/>
      <c r="M10" s="33"/>
      <c r="N10" s="33">
        <f>$C$30*'E Balans VL '!Y14/100/3.6*1000000</f>
        <v>4258.9460215280697</v>
      </c>
      <c r="O10" s="33"/>
      <c r="P10" s="33"/>
      <c r="R10" s="32"/>
    </row>
    <row r="11" spans="1:18">
      <c r="A11" s="32" t="s">
        <v>54</v>
      </c>
      <c r="B11" s="37">
        <f t="shared" si="0"/>
        <v>843.81905597510092</v>
      </c>
      <c r="C11" s="33"/>
      <c r="D11" s="37">
        <f>IF(ISERROR(TER_onderwijs_gas_kWh/1000),0,TER_onderwijs_gas_kWh/1000)*0.902</f>
        <v>2157.321864884269</v>
      </c>
      <c r="E11" s="33">
        <f>$C$31*'E Balans VL '!I11/100/3.6*1000000</f>
        <v>0.78275314402999918</v>
      </c>
      <c r="F11" s="33">
        <f>$C$31*('E Balans VL '!L11+'E Balans VL '!N11)/100/3.6*1000000</f>
        <v>296.41424057739113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7540.5326304896607</v>
      </c>
      <c r="C12" s="33"/>
      <c r="D12" s="37">
        <f>IF(ISERROR(TER_rest_gas_kWh/1000),0,TER_rest_gas_kWh/1000)*0.902</f>
        <v>10534.709034535976</v>
      </c>
      <c r="E12" s="33">
        <f>$C$32*'E Balans VL '!I8/100/3.6*1000000</f>
        <v>91.462912068313045</v>
      </c>
      <c r="F12" s="33">
        <f>$C$32*('E Balans VL '!L8+'E Balans VL '!N8)/100/3.6*1000000</f>
        <v>1492.1308016757812</v>
      </c>
      <c r="G12" s="34"/>
      <c r="H12" s="33"/>
      <c r="I12" s="33"/>
      <c r="J12" s="33">
        <f>$C$32*('E Balans VL '!D8+'E Balans VL '!E8)/100/3.6*1000000</f>
        <v>0</v>
      </c>
      <c r="K12" s="33"/>
      <c r="L12" s="33"/>
      <c r="M12" s="33"/>
      <c r="N12" s="33">
        <f>$C$32*'E Balans VL '!Y8/100/3.6*1000000</f>
        <v>598.56928695731256</v>
      </c>
      <c r="O12" s="33"/>
      <c r="P12" s="33"/>
      <c r="R12" s="32"/>
    </row>
    <row r="13" spans="1:18">
      <c r="A13" s="16" t="s">
        <v>484</v>
      </c>
      <c r="B13" s="245">
        <f ca="1">'lokale energieproductie'!N38+'lokale energieproductie'!N31</f>
        <v>2187</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-6248.5714285714294</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51371.718993006718</v>
      </c>
      <c r="C16" s="21">
        <f t="shared" ca="1" si="1"/>
        <v>0</v>
      </c>
      <c r="D16" s="21">
        <f t="shared" ca="1" si="1"/>
        <v>50508.563192115602</v>
      </c>
      <c r="E16" s="21">
        <f t="shared" si="1"/>
        <v>723.01870448027796</v>
      </c>
      <c r="F16" s="21">
        <f t="shared" ca="1" si="1"/>
        <v>9999.3863233657721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0.20786474677503694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10678.369359879696</v>
      </c>
      <c r="C20" s="23">
        <f t="shared" ref="C20:P20" ca="1" si="2">C16*C18</f>
        <v>0</v>
      </c>
      <c r="D20" s="23">
        <f t="shared" ca="1" si="2"/>
        <v>10202.729764807353</v>
      </c>
      <c r="E20" s="23">
        <f t="shared" si="2"/>
        <v>164.12524591702311</v>
      </c>
      <c r="F20" s="23">
        <f t="shared" ca="1" si="2"/>
        <v>2669.8361483386611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7022.6596458515705</v>
      </c>
      <c r="C26" s="39">
        <f>IF(ISERROR(B26*3.6/1000000/'E Balans VL '!Z12*100),0,B26*3.6/1000000/'E Balans VL '!Z12*100)</f>
        <v>0.14916476945126755</v>
      </c>
      <c r="D26" s="235" t="s">
        <v>672</v>
      </c>
      <c r="F26" s="6"/>
    </row>
    <row r="27" spans="1:18">
      <c r="A27" s="230" t="s">
        <v>52</v>
      </c>
      <c r="B27" s="33">
        <f>IF(ISERROR(TER_horeca_ele_kWh/1000),0,TER_horeca_ele_kWh/1000)</f>
        <v>4469.1503157451698</v>
      </c>
      <c r="C27" s="39">
        <f>IF(ISERROR(B27*3.6/1000000/'E Balans VL '!Z9*100),0,B27*3.6/1000000/'E Balans VL '!Z9*100)</f>
        <v>0.34750365452452547</v>
      </c>
      <c r="D27" s="235" t="s">
        <v>672</v>
      </c>
      <c r="F27" s="6"/>
    </row>
    <row r="28" spans="1:18">
      <c r="A28" s="170" t="s">
        <v>51</v>
      </c>
      <c r="B28" s="33">
        <f>IF(ISERROR(TER_handel_ele_kWh/1000),0,TER_handel_ele_kWh/1000)</f>
        <v>22392.335760874601</v>
      </c>
      <c r="C28" s="39">
        <f>IF(ISERROR(B28*3.6/1000000/'E Balans VL '!Z13*100),0,B28*3.6/1000000/'E Balans VL '!Z13*100)</f>
        <v>0.64067107926157418</v>
      </c>
      <c r="D28" s="235" t="s">
        <v>672</v>
      </c>
      <c r="F28" s="6"/>
    </row>
    <row r="29" spans="1:18">
      <c r="A29" s="230" t="s">
        <v>50</v>
      </c>
      <c r="B29" s="33">
        <f>IF(ISERROR(TER_gezond_ele_kWh/1000),0,TER_gezond_ele_kWh/1000)</f>
        <v>797.62657204755601</v>
      </c>
      <c r="C29" s="39">
        <f>IF(ISERROR(B29*3.6/1000000/'E Balans VL '!Z10*100),0,B29*3.6/1000000/'E Balans VL '!Z10*100)</f>
        <v>8.6959830971827343E-2</v>
      </c>
      <c r="D29" s="235" t="s">
        <v>672</v>
      </c>
      <c r="F29" s="6"/>
    </row>
    <row r="30" spans="1:18">
      <c r="A30" s="230" t="s">
        <v>49</v>
      </c>
      <c r="B30" s="33">
        <f>IF(ISERROR(TER_ander_ele_kWh/1000),0,TER_ander_ele_kWh/1000)</f>
        <v>6118.59501202306</v>
      </c>
      <c r="C30" s="39">
        <f>IF(ISERROR(B30*3.6/1000000/'E Balans VL '!Z14*100),0,B30*3.6/1000000/'E Balans VL '!Z14*100)</f>
        <v>0.44774490327608735</v>
      </c>
      <c r="D30" s="235" t="s">
        <v>672</v>
      </c>
      <c r="F30" s="6"/>
    </row>
    <row r="31" spans="1:18">
      <c r="A31" s="230" t="s">
        <v>54</v>
      </c>
      <c r="B31" s="33">
        <f>IF(ISERROR(TER_onderwijs_ele_kWh/1000),0,TER_onderwijs_ele_kWh/1000)</f>
        <v>843.81905597510092</v>
      </c>
      <c r="C31" s="39">
        <f>IF(ISERROR(B31*3.6/1000000/'E Balans VL '!Z11*100),0,B31*3.6/1000000/'E Balans VL '!Z11*100)</f>
        <v>0.16948168399535146</v>
      </c>
      <c r="D31" s="235" t="s">
        <v>672</v>
      </c>
    </row>
    <row r="32" spans="1:18">
      <c r="A32" s="230" t="s">
        <v>249</v>
      </c>
      <c r="B32" s="33">
        <f>IF(ISERROR(TER_rest_ele_kWh/1000),0,TER_rest_ele_kWh/1000)</f>
        <v>7540.5326304896607</v>
      </c>
      <c r="C32" s="39">
        <f>IF(ISERROR(B32*3.6/1000000/'E Balans VL '!Z8*100),0,B32*3.6/1000000/'E Balans VL '!Z8*100)</f>
        <v>6.1450764821746086E-2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49931.465979242093</v>
      </c>
      <c r="C5" s="17">
        <f>IF(ISERROR('Eigen informatie GS &amp; warmtenet'!B59),0,'Eigen informatie GS &amp; warmtenet'!B59)</f>
        <v>0</v>
      </c>
      <c r="D5" s="30">
        <f>SUM(D6:D15)</f>
        <v>52780.308537394143</v>
      </c>
      <c r="E5" s="17">
        <f>SUM(E6:E15)</f>
        <v>3644.2365789158202</v>
      </c>
      <c r="F5" s="17">
        <f>SUM(F6:F15)</f>
        <v>31454.916749645072</v>
      </c>
      <c r="G5" s="18"/>
      <c r="H5" s="17"/>
      <c r="I5" s="17"/>
      <c r="J5" s="17">
        <f>SUM(J6:J15)</f>
        <v>77.293497938960286</v>
      </c>
      <c r="K5" s="17"/>
      <c r="L5" s="17"/>
      <c r="M5" s="17"/>
      <c r="N5" s="17">
        <f>SUM(N6:N15)</f>
        <v>6010.0556682207534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2771.57560965537</v>
      </c>
      <c r="C8" s="33"/>
      <c r="D8" s="37">
        <f>IF( ISERROR(IND_metaal_Gas_kWH/1000),0,IND_metaal_Gas_kWH/1000)*0.902</f>
        <v>510.08358469278994</v>
      </c>
      <c r="E8" s="33">
        <f>C30*'E Balans VL '!I18/100/3.6*1000000</f>
        <v>79.610054727889022</v>
      </c>
      <c r="F8" s="33">
        <f>C30*'E Balans VL '!L18/100/3.6*1000000+C30*'E Balans VL '!N18/100/3.6*1000000</f>
        <v>710.8558388170901</v>
      </c>
      <c r="G8" s="34"/>
      <c r="H8" s="33"/>
      <c r="I8" s="33"/>
      <c r="J8" s="40">
        <f>C30*'E Balans VL '!D18/100/3.6*1000000+C30*'E Balans VL '!E18/100/3.6*1000000</f>
        <v>0</v>
      </c>
      <c r="K8" s="33"/>
      <c r="L8" s="33"/>
      <c r="M8" s="33"/>
      <c r="N8" s="33">
        <f>C30*'E Balans VL '!Y18/100/3.6*1000000</f>
        <v>75.253935389516684</v>
      </c>
      <c r="O8" s="33"/>
      <c r="P8" s="33"/>
      <c r="R8" s="32"/>
    </row>
    <row r="9" spans="1:18">
      <c r="A9" s="6" t="s">
        <v>32</v>
      </c>
      <c r="B9" s="37">
        <f t="shared" si="0"/>
        <v>2757.6379136891996</v>
      </c>
      <c r="C9" s="33"/>
      <c r="D9" s="37">
        <f>IF( ISERROR(IND_andere_gas_kWh/1000),0,IND_andere_gas_kWh/1000)*0.902</f>
        <v>1872.3696205123372</v>
      </c>
      <c r="E9" s="33">
        <f>C31*'E Balans VL '!I19/100/3.6*1000000</f>
        <v>746.42478108074772</v>
      </c>
      <c r="F9" s="33">
        <f>C31*'E Balans VL '!L19/100/3.6*1000000+C31*'E Balans VL '!N19/100/3.6*1000000</f>
        <v>1836.8786695664296</v>
      </c>
      <c r="G9" s="34"/>
      <c r="H9" s="33"/>
      <c r="I9" s="33"/>
      <c r="J9" s="40">
        <f>C31*'E Balans VL '!D19/100/3.6*1000000+C31*'E Balans VL '!E19/100/3.6*1000000</f>
        <v>0</v>
      </c>
      <c r="K9" s="33"/>
      <c r="L9" s="33"/>
      <c r="M9" s="33"/>
      <c r="N9" s="33">
        <f>C31*'E Balans VL '!Y19/100/3.6*1000000</f>
        <v>233.14001833725163</v>
      </c>
      <c r="O9" s="33"/>
      <c r="P9" s="33"/>
      <c r="R9" s="32"/>
    </row>
    <row r="10" spans="1:18">
      <c r="A10" s="6" t="s">
        <v>40</v>
      </c>
      <c r="B10" s="37">
        <f t="shared" si="0"/>
        <v>14676.9111242529</v>
      </c>
      <c r="C10" s="33"/>
      <c r="D10" s="37">
        <f>IF( ISERROR(IND_voed_gas_kWh/1000),0,IND_voed_gas_kWh/1000)*0.902</f>
        <v>25787.300754950185</v>
      </c>
      <c r="E10" s="33">
        <f>C32*'E Balans VL '!I20/100/3.6*1000000</f>
        <v>1197.0825906199523</v>
      </c>
      <c r="F10" s="33">
        <f>C32*'E Balans VL '!L20/100/3.6*1000000+C32*'E Balans VL '!N20/100/3.6*1000000</f>
        <v>21884.606092315309</v>
      </c>
      <c r="G10" s="34"/>
      <c r="H10" s="33"/>
      <c r="I10" s="33"/>
      <c r="J10" s="40">
        <f>C32*'E Balans VL '!D20/100/3.6*1000000+C32*'E Balans VL '!E20/100/3.6*1000000</f>
        <v>0.19415771879370514</v>
      </c>
      <c r="K10" s="33"/>
      <c r="L10" s="33"/>
      <c r="M10" s="33"/>
      <c r="N10" s="33">
        <f>C32*'E Balans VL '!Y20/100/3.6*1000000</f>
        <v>4311.5585959551518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533.59626571775993</v>
      </c>
      <c r="C12" s="33"/>
      <c r="D12" s="37">
        <f>IF( ISERROR(IND_min_gas_kWh/1000),0,IND_min_gas_kWh/1000)*0.902</f>
        <v>0</v>
      </c>
      <c r="E12" s="33">
        <f>C34*'E Balans VL '!I22/100/3.6*1000000</f>
        <v>4.156598644263962</v>
      </c>
      <c r="F12" s="33">
        <f>C34*'E Balans VL '!L22/100/3.6*1000000+C34*'E Balans VL '!N22/100/3.6*1000000</f>
        <v>201.23972093671549</v>
      </c>
      <c r="G12" s="34"/>
      <c r="H12" s="33"/>
      <c r="I12" s="33"/>
      <c r="J12" s="40">
        <f>C34*'E Balans VL '!D22/100/3.6*1000000+C34*'E Balans VL '!E22/100/3.6*1000000</f>
        <v>2.9347328075640995</v>
      </c>
      <c r="K12" s="33"/>
      <c r="L12" s="33"/>
      <c r="M12" s="33"/>
      <c r="N12" s="33">
        <f>C34*'E Balans VL '!Y22/100/3.6*1000000</f>
        <v>0</v>
      </c>
      <c r="O12" s="33"/>
      <c r="P12" s="33"/>
      <c r="R12" s="32"/>
    </row>
    <row r="13" spans="1:18">
      <c r="A13" s="6" t="s">
        <v>38</v>
      </c>
      <c r="B13" s="37">
        <f t="shared" si="0"/>
        <v>255.81539713276698</v>
      </c>
      <c r="C13" s="33"/>
      <c r="D13" s="37">
        <f>IF( ISERROR(IND_papier_gas_kWh/1000),0,IND_papier_gas_kWh/1000)*0.902</f>
        <v>0</v>
      </c>
      <c r="E13" s="33">
        <f>C35*'E Balans VL '!I23/100/3.6*1000000</f>
        <v>2.6801323237438188</v>
      </c>
      <c r="F13" s="33">
        <f>C35*'E Balans VL '!L23/100/3.6*1000000+C35*'E Balans VL '!N23/100/3.6*1000000</f>
        <v>19.088990276311392</v>
      </c>
      <c r="G13" s="34"/>
      <c r="H13" s="33"/>
      <c r="I13" s="33"/>
      <c r="J13" s="40">
        <f>C35*'E Balans VL '!D23/100/3.6*1000000+C35*'E Balans VL '!E23/100/3.6*1000000</f>
        <v>0</v>
      </c>
      <c r="K13" s="33"/>
      <c r="L13" s="33"/>
      <c r="M13" s="33"/>
      <c r="N13" s="33">
        <f>C35*'E Balans VL '!Y23/100/3.6*1000000</f>
        <v>47.192409407314514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28935.929668794099</v>
      </c>
      <c r="C15" s="33"/>
      <c r="D15" s="37">
        <f>IF( ISERROR(IND_rest_gas_kWh/1000),0,IND_rest_gas_kWh/1000)*0.902</f>
        <v>24610.554577238832</v>
      </c>
      <c r="E15" s="33">
        <f>C37*'E Balans VL '!I15/100/3.6*1000000</f>
        <v>1614.2824215192234</v>
      </c>
      <c r="F15" s="33">
        <f>C37*'E Balans VL '!L15/100/3.6*1000000+C37*'E Balans VL '!N15/100/3.6*1000000</f>
        <v>6802.2474377332146</v>
      </c>
      <c r="G15" s="34"/>
      <c r="H15" s="33"/>
      <c r="I15" s="33"/>
      <c r="J15" s="40">
        <f>C37*'E Balans VL '!D15/100/3.6*1000000+C37*'E Balans VL '!E15/100/3.6*1000000</f>
        <v>74.164607412602479</v>
      </c>
      <c r="K15" s="33"/>
      <c r="L15" s="33"/>
      <c r="M15" s="33"/>
      <c r="N15" s="33">
        <f>C37*'E Balans VL '!Y15/100/3.6*1000000</f>
        <v>1342.9107091315191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49931.465979242093</v>
      </c>
      <c r="C18" s="21">
        <f>C5+C16</f>
        <v>0</v>
      </c>
      <c r="D18" s="21">
        <f>MAX((D5+D16),0)</f>
        <v>52780.308537394143</v>
      </c>
      <c r="E18" s="21">
        <f>MAX((E5+E16),0)</f>
        <v>3644.2365789158202</v>
      </c>
      <c r="F18" s="21">
        <f>MAX((F5+F16),0)</f>
        <v>31454.916749645072</v>
      </c>
      <c r="G18" s="21"/>
      <c r="H18" s="21"/>
      <c r="I18" s="21"/>
      <c r="J18" s="21">
        <f>MAX((J5+J16),0)</f>
        <v>77.293497938960286</v>
      </c>
      <c r="K18" s="21"/>
      <c r="L18" s="21">
        <f>MAX((L5+L16),0)</f>
        <v>0</v>
      </c>
      <c r="M18" s="21"/>
      <c r="N18" s="21">
        <f>MAX((N5+N16),0)</f>
        <v>6010.0556682207534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0.20786474677503694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10378.991531881529</v>
      </c>
      <c r="C22" s="23">
        <f ca="1">C18*C20</f>
        <v>0</v>
      </c>
      <c r="D22" s="23">
        <f>D18*D20</f>
        <v>10661.622324553618</v>
      </c>
      <c r="E22" s="23">
        <f>E18*E20</f>
        <v>827.24170341389117</v>
      </c>
      <c r="F22" s="23">
        <f>F18*F20</f>
        <v>8398.4627721552351</v>
      </c>
      <c r="G22" s="23"/>
      <c r="H22" s="23"/>
      <c r="I22" s="23"/>
      <c r="J22" s="23">
        <f>J18*J20</f>
        <v>27.36189827039194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2771.57560965537</v>
      </c>
      <c r="C30" s="39">
        <f>IF(ISERROR(B30*3.6/1000000/'E Balans VL '!Z18*100),0,B30*3.6/1000000/'E Balans VL '!Z18*100)</f>
        <v>0.27271596491123012</v>
      </c>
      <c r="D30" s="235" t="s">
        <v>672</v>
      </c>
    </row>
    <row r="31" spans="1:18">
      <c r="A31" s="6" t="s">
        <v>32</v>
      </c>
      <c r="B31" s="37">
        <f>IF( ISERROR(IND_ander_ele_kWh/1000),0,IND_ander_ele_kWh/1000)</f>
        <v>2757.6379136891996</v>
      </c>
      <c r="C31" s="39">
        <f>IF(ISERROR(B31*3.6/1000000/'E Balans VL '!Z19*100),0,B31*3.6/1000000/'E Balans VL '!Z19*100)</f>
        <v>0.12009293139506982</v>
      </c>
      <c r="D31" s="235" t="s">
        <v>672</v>
      </c>
    </row>
    <row r="32" spans="1:18">
      <c r="A32" s="170" t="s">
        <v>40</v>
      </c>
      <c r="B32" s="37">
        <f>IF( ISERROR(IND_voed_ele_kWh/1000),0,IND_voed_ele_kWh/1000)</f>
        <v>14676.9111242529</v>
      </c>
      <c r="C32" s="39">
        <f>IF(ISERROR(B32*3.6/1000000/'E Balans VL '!Z20*100),0,B32*3.6/1000000/'E Balans VL '!Z20*100)</f>
        <v>2.7847322217422752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533.59626571775993</v>
      </c>
      <c r="C34" s="39">
        <f>IF(ISERROR(B34*3.6/1000000/'E Balans VL '!Z22*100),0,B34*3.6/1000000/'E Balans VL '!Z22*100)</f>
        <v>7.5028993166604052E-2</v>
      </c>
      <c r="D34" s="235" t="s">
        <v>672</v>
      </c>
    </row>
    <row r="35" spans="1:5">
      <c r="A35" s="170" t="s">
        <v>38</v>
      </c>
      <c r="B35" s="37">
        <f>IF( ISERROR(IND_papier_ele_kWh/1000),0,IND_papier_ele_kWh/1000)</f>
        <v>255.81539713276698</v>
      </c>
      <c r="C35" s="39">
        <f>IF(ISERROR(B35*3.6/1000000/'E Balans VL '!Z22*100),0,B35*3.6/1000000/'E Balans VL '!Z22*100)</f>
        <v>3.5970213655015931E-2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28935.929668794099</v>
      </c>
      <c r="C37" s="39">
        <f>IF(ISERROR(B37*3.6/1000000/'E Balans VL '!Z15*100),0,B37*3.6/1000000/'E Balans VL '!Z15*100)</f>
        <v>0.22298687874563383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1234.227728083946</v>
      </c>
      <c r="C5" s="17">
        <f>'Eigen informatie GS &amp; warmtenet'!B60</f>
        <v>0</v>
      </c>
      <c r="D5" s="30">
        <f>IF(ISERROR(SUM(LB_lb_gas_kWh,LB_rest_gas_kWh)/1000),0,SUM(LB_lb_gas_kWh,LB_rest_gas_kWh)/1000)*0.902</f>
        <v>259.47171881269901</v>
      </c>
      <c r="E5" s="17">
        <f>B17*'E Balans VL '!I25/3.6*1000000/100</f>
        <v>15.552859382452953</v>
      </c>
      <c r="F5" s="17">
        <f>B17*('E Balans VL '!L25/3.6*1000000+'E Balans VL '!N25/3.6*1000000)/100</f>
        <v>4258.3948544105087</v>
      </c>
      <c r="G5" s="18"/>
      <c r="H5" s="17"/>
      <c r="I5" s="17"/>
      <c r="J5" s="17">
        <f>('E Balans VL '!D25+'E Balans VL '!E25)/3.6*1000000*landbouw!B17/100</f>
        <v>185.61382009818462</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1234.227728083946</v>
      </c>
      <c r="C8" s="21">
        <f>C5+C6</f>
        <v>0</v>
      </c>
      <c r="D8" s="21">
        <f>MAX((D5+D6),0)</f>
        <v>259.47171881269901</v>
      </c>
      <c r="E8" s="21">
        <f>MAX((E5+E6),0)</f>
        <v>15.552859382452953</v>
      </c>
      <c r="F8" s="21">
        <f>MAX((F5+F6),0)</f>
        <v>4258.3948544105087</v>
      </c>
      <c r="G8" s="21"/>
      <c r="H8" s="21"/>
      <c r="I8" s="21"/>
      <c r="J8" s="21">
        <f>MAX((J5+J6),0)</f>
        <v>185.61382009818462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0.20786474677503694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256.5524341608986</v>
      </c>
      <c r="C12" s="23">
        <f ca="1">C8*C10</f>
        <v>0</v>
      </c>
      <c r="D12" s="23">
        <f>D8*D10</f>
        <v>52.4132872001652</v>
      </c>
      <c r="E12" s="23">
        <f>E8*E10</f>
        <v>3.5304990798168205</v>
      </c>
      <c r="F12" s="23">
        <f>F8*F10</f>
        <v>1136.9914261276058</v>
      </c>
      <c r="G12" s="23"/>
      <c r="H12" s="23"/>
      <c r="I12" s="23"/>
      <c r="J12" s="23">
        <f>J8*J10</f>
        <v>65.707292314757353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0.17213586746775714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480.05078848405833</v>
      </c>
      <c r="C26" s="245">
        <f>B26*'GWP N2O_CH4'!B5</f>
        <v>10081.066558165225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77.464331538265782</v>
      </c>
      <c r="C27" s="245">
        <f>B27*'GWP N2O_CH4'!B5</f>
        <v>1626.7509623035814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7.4598583822181741</v>
      </c>
      <c r="C28" s="245">
        <f>B28*'GWP N2O_CH4'!B4</f>
        <v>2312.5560984876338</v>
      </c>
      <c r="D28" s="50"/>
    </row>
    <row r="29" spans="1:4">
      <c r="A29" s="41" t="s">
        <v>266</v>
      </c>
      <c r="B29" s="245">
        <f>B34*'ha_N2O bodem landbouw'!B4</f>
        <v>23.153398093122284</v>
      </c>
      <c r="C29" s="245">
        <f>B29*'GWP N2O_CH4'!B4</f>
        <v>7177.5534088679078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5.7811721486417146E-3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5.2877016643721112E-5</v>
      </c>
      <c r="C5" s="434" t="s">
        <v>204</v>
      </c>
      <c r="D5" s="419">
        <f>SUM(D6:D11)</f>
        <v>5.3503862318190871E-5</v>
      </c>
      <c r="E5" s="419">
        <f>SUM(E6:E11)</f>
        <v>1.8896357866697807E-3</v>
      </c>
      <c r="F5" s="432" t="s">
        <v>204</v>
      </c>
      <c r="G5" s="419">
        <f>SUM(G6:G11)</f>
        <v>0.57891204375501792</v>
      </c>
      <c r="H5" s="419">
        <f>SUM(H6:H11)</f>
        <v>9.1102689211442281E-2</v>
      </c>
      <c r="I5" s="434" t="s">
        <v>204</v>
      </c>
      <c r="J5" s="434" t="s">
        <v>204</v>
      </c>
      <c r="K5" s="434" t="s">
        <v>204</v>
      </c>
      <c r="L5" s="434" t="s">
        <v>204</v>
      </c>
      <c r="M5" s="419">
        <f>SUM(M6:M11)</f>
        <v>3.0291323998489963E-2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3.6748295829803838E-5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3.2738370707984997E-5</v>
      </c>
      <c r="E6" s="873">
        <f>vkm_GW_PW*SUMIFS(TableVerdeelsleutelVkm[LPG],TableVerdeelsleutelVkm[Voertuigtype],"Lichte voertuigen")*SUMIFS(TableECFTransport[EnergieConsumptieFactor (PJ per km)],TableECFTransport[Index],CONCATENATE($A6,"_LPG_LPG"))</f>
        <v>1.1783303476512498E-3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0.23095910915759227</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5.6621560751947311E-2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1.3009161853340855E-2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1.2009968672204996E-6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0.18793918079474359</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4.2840232025013081E-6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8.4857435951755031E-3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1.4783206456966346E-5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2.0765491610205874E-5</v>
      </c>
      <c r="E8" s="422">
        <f>vkm_NGW_PW*SUMIFS(TableVerdeelsleutelVkm[LPG],TableVerdeelsleutelVkm[Voertuigtype],"Lichte voertuigen")*SUMIFS(TableECFTransport[EnergieConsumptieFactor (PJ per km)],TableECFTransport[Index],CONCATENATE($A8,"_LPG_LPG"))</f>
        <v>7.1130543901853102E-4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0.13096443754059686</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3.447622221223965E-2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7.4847989817910512E-3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1.4451748973042406E-7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2.9049316262085165E-2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6.2222405281987766E-7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1.3116195681825542E-3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14.688060178811421</v>
      </c>
      <c r="C14" s="21"/>
      <c r="D14" s="21">
        <f t="shared" ref="D14:M14" si="0">((D5)*10^9/3600)+D12</f>
        <v>14.862183977275242</v>
      </c>
      <c r="E14" s="21">
        <f t="shared" si="0"/>
        <v>524.89882963049467</v>
      </c>
      <c r="F14" s="21"/>
      <c r="G14" s="21">
        <f t="shared" si="0"/>
        <v>160808.90104306053</v>
      </c>
      <c r="H14" s="21">
        <f t="shared" si="0"/>
        <v>25306.302558733965</v>
      </c>
      <c r="I14" s="21"/>
      <c r="J14" s="21"/>
      <c r="K14" s="21"/>
      <c r="L14" s="21"/>
      <c r="M14" s="21">
        <f t="shared" si="0"/>
        <v>8414.2566662472109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0.20786474677503694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3.0531299096851399</v>
      </c>
      <c r="C18" s="23"/>
      <c r="D18" s="23">
        <f t="shared" ref="D18:M18" si="1">D14*D16</f>
        <v>3.0021611634095993</v>
      </c>
      <c r="E18" s="23">
        <f t="shared" si="1"/>
        <v>119.15203432612229</v>
      </c>
      <c r="F18" s="23"/>
      <c r="G18" s="23">
        <f t="shared" si="1"/>
        <v>42935.976578497161</v>
      </c>
      <c r="H18" s="23">
        <f t="shared" si="1"/>
        <v>6301.2693371247569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5.397095006485103E-5</v>
      </c>
      <c r="C50" s="316">
        <f t="shared" ref="C50:P50" si="2">SUM(C51:C52)</f>
        <v>0</v>
      </c>
      <c r="D50" s="316">
        <f t="shared" si="2"/>
        <v>0</v>
      </c>
      <c r="E50" s="316">
        <f t="shared" si="2"/>
        <v>0</v>
      </c>
      <c r="F50" s="316">
        <f t="shared" si="2"/>
        <v>0</v>
      </c>
      <c r="G50" s="316">
        <f t="shared" si="2"/>
        <v>1.0505139786923291E-2</v>
      </c>
      <c r="H50" s="316">
        <f t="shared" si="2"/>
        <v>0</v>
      </c>
      <c r="I50" s="316">
        <f t="shared" si="2"/>
        <v>0</v>
      </c>
      <c r="J50" s="316">
        <f t="shared" si="2"/>
        <v>0</v>
      </c>
      <c r="K50" s="316">
        <f t="shared" si="2"/>
        <v>0</v>
      </c>
      <c r="L50" s="316">
        <f t="shared" si="2"/>
        <v>0</v>
      </c>
      <c r="M50" s="316">
        <f t="shared" si="2"/>
        <v>4.7105929498917823E-4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5.397095006485103E-5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1.0505139786923291E-2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4.7105929498917823E-4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14.99193057356973</v>
      </c>
      <c r="C54" s="21">
        <f t="shared" ref="C54:P54" si="3">(C50)*10^9/3600</f>
        <v>0</v>
      </c>
      <c r="D54" s="21">
        <f t="shared" si="3"/>
        <v>0</v>
      </c>
      <c r="E54" s="21">
        <f t="shared" si="3"/>
        <v>0</v>
      </c>
      <c r="F54" s="21">
        <f t="shared" si="3"/>
        <v>0</v>
      </c>
      <c r="G54" s="21">
        <f t="shared" si="3"/>
        <v>2918.0943852564696</v>
      </c>
      <c r="H54" s="21">
        <f t="shared" si="3"/>
        <v>0</v>
      </c>
      <c r="I54" s="21">
        <f t="shared" si="3"/>
        <v>0</v>
      </c>
      <c r="J54" s="21">
        <f t="shared" si="3"/>
        <v>0</v>
      </c>
      <c r="K54" s="21">
        <f t="shared" si="3"/>
        <v>0</v>
      </c>
      <c r="L54" s="21">
        <f t="shared" si="3"/>
        <v>0</v>
      </c>
      <c r="M54" s="21">
        <f t="shared" si="3"/>
        <v>130.84980416366062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0.20786474677503694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3.1162938523440062</v>
      </c>
      <c r="C58" s="23">
        <f t="shared" ref="C58:P58" ca="1" si="4">C54*C56</f>
        <v>0</v>
      </c>
      <c r="D58" s="23">
        <f t="shared" si="4"/>
        <v>0</v>
      </c>
      <c r="E58" s="23">
        <f t="shared" si="4"/>
        <v>0</v>
      </c>
      <c r="F58" s="23">
        <f t="shared" si="4"/>
        <v>0</v>
      </c>
      <c r="G58" s="23">
        <f t="shared" si="4"/>
        <v>779.13120086347749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8424.8397186270322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2187</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10611.839718627032</v>
      </c>
      <c r="C10" s="559">
        <f t="shared" ref="C10:L10" si="0">SUM(C8:C9)</f>
        <v>0</v>
      </c>
      <c r="D10" s="559">
        <f t="shared" si="0"/>
        <v>0</v>
      </c>
      <c r="E10" s="559">
        <f t="shared" si="0"/>
        <v>0</v>
      </c>
      <c r="F10" s="559">
        <f t="shared" si="0"/>
        <v>0</v>
      </c>
      <c r="G10" s="559">
        <f t="shared" si="0"/>
        <v>0</v>
      </c>
      <c r="H10" s="559">
        <f t="shared" si="0"/>
        <v>0</v>
      </c>
      <c r="I10" s="559">
        <f t="shared" si="0"/>
        <v>0</v>
      </c>
      <c r="J10" s="559">
        <f t="shared" si="0"/>
        <v>6248.5714285714294</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63.75" hidden="1">
      <c r="A35" s="584"/>
      <c r="B35" s="777">
        <v>41048</v>
      </c>
      <c r="C35" s="777">
        <v>9400</v>
      </c>
      <c r="D35" s="632"/>
      <c r="E35" s="632"/>
      <c r="F35" s="632"/>
      <c r="G35" s="632" t="s">
        <v>926</v>
      </c>
      <c r="H35" s="632" t="s">
        <v>927</v>
      </c>
      <c r="I35" s="632"/>
      <c r="J35" s="776"/>
      <c r="K35" s="776"/>
      <c r="L35" s="632" t="s">
        <v>928</v>
      </c>
      <c r="M35" s="632">
        <v>486</v>
      </c>
      <c r="N35" s="632">
        <v>2187</v>
      </c>
      <c r="O35" s="632">
        <v>0</v>
      </c>
      <c r="P35" s="632">
        <v>0</v>
      </c>
      <c r="Q35" s="632">
        <v>0</v>
      </c>
      <c r="R35" s="632">
        <v>6248.5714285714294</v>
      </c>
      <c r="S35" s="632">
        <v>0</v>
      </c>
      <c r="T35" s="632">
        <v>0</v>
      </c>
      <c r="U35" s="632">
        <v>0</v>
      </c>
      <c r="V35" s="632">
        <v>0</v>
      </c>
      <c r="W35" s="632">
        <v>0</v>
      </c>
      <c r="X35" s="632">
        <v>1600</v>
      </c>
      <c r="Y35" s="632" t="s">
        <v>49</v>
      </c>
      <c r="Z35" s="633" t="s">
        <v>149</v>
      </c>
    </row>
    <row r="36" spans="1:27" s="566" customFormat="1" hidden="1">
      <c r="A36" s="585" t="s">
        <v>269</v>
      </c>
      <c r="B36" s="586"/>
      <c r="C36" s="586"/>
      <c r="D36" s="586"/>
      <c r="E36" s="586"/>
      <c r="F36" s="586"/>
      <c r="G36" s="586"/>
      <c r="H36" s="586"/>
      <c r="I36" s="586"/>
      <c r="J36" s="586"/>
      <c r="K36" s="586"/>
      <c r="L36" s="587"/>
      <c r="M36" s="587">
        <f>SUM(M35:M35)</f>
        <v>486</v>
      </c>
      <c r="N36" s="587">
        <f>SUM(N35:N35)</f>
        <v>2187</v>
      </c>
      <c r="O36" s="587">
        <f>SUM(O35:O35)</f>
        <v>0</v>
      </c>
      <c r="P36" s="587">
        <f>SUM(P35:P35)</f>
        <v>0</v>
      </c>
      <c r="Q36" s="587">
        <f>SUM(Q35:Q35)</f>
        <v>0</v>
      </c>
      <c r="R36" s="587">
        <f>SUM(R35:R35)</f>
        <v>6248.5714285714294</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486</v>
      </c>
      <c r="N38" s="587">
        <f>SUMIF($Z$35:$Z$36,"tertiair",N35:N36)</f>
        <v>2187</v>
      </c>
      <c r="O38" s="587">
        <f>SUMIF($Z$35:$Z$36,"tertiair",O35:O36)</f>
        <v>0</v>
      </c>
      <c r="P38" s="587">
        <f>SUMIF($Z$35:$Z$36,"tertiair",P35:P36)</f>
        <v>0</v>
      </c>
      <c r="Q38" s="587">
        <f>SUMIF($Z$35:$Z$36,"tertiair",Q35:Q36)</f>
        <v>0</v>
      </c>
      <c r="R38" s="587">
        <f>SUMIF($Z$35:$Z$36,"tertiair",R35:R36)</f>
        <v>6248.5714285714294</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2021-11-11T13:25:01Z</dcterms:modified>
</cp:coreProperties>
</file>