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32325DF-C022-4DC9-9845-053A1DAE53E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B17" i="18"/>
  <c r="G12" i="18"/>
  <c r="F12" i="18"/>
  <c r="E12" i="18"/>
  <c r="D12" i="18"/>
  <c r="C12" i="18"/>
  <c r="L10" i="18"/>
  <c r="K10" i="18"/>
  <c r="G10" i="18"/>
  <c r="D10" i="18"/>
  <c r="B6" i="18"/>
  <c r="B5" i="18"/>
  <c r="B4" i="18"/>
  <c r="J9" i="18" l="1"/>
  <c r="B48" i="18"/>
  <c r="F52" i="18" s="1"/>
  <c r="I52" i="18"/>
  <c r="H17" i="18" s="1"/>
  <c r="G52" i="18"/>
  <c r="C52" i="18"/>
  <c r="B52" i="18"/>
  <c r="C17" i="18" s="1"/>
  <c r="C20" i="18" s="1"/>
  <c r="B20" i="18"/>
  <c r="C48" i="18"/>
  <c r="O18" i="18"/>
  <c r="H20" i="18"/>
  <c r="G20" i="18"/>
  <c r="K20" i="18"/>
  <c r="B10" i="18"/>
  <c r="O19" i="18"/>
  <c r="O9" i="18"/>
  <c r="H52" i="18"/>
  <c r="E51" i="18"/>
  <c r="E8" i="18" s="1"/>
  <c r="E10" i="18" s="1"/>
  <c r="E52" i="18"/>
  <c r="E17" i="18" s="1"/>
  <c r="E20" i="18" s="1"/>
  <c r="N6" i="17"/>
  <c r="I17" i="18" l="1"/>
  <c r="I20" i="18" s="1"/>
  <c r="D52" i="18"/>
  <c r="I51" i="18"/>
  <c r="H8" i="18" s="1"/>
  <c r="H10" i="18" s="1"/>
  <c r="G51" i="18"/>
  <c r="I8" i="18" s="1"/>
  <c r="I10" i="18" s="1"/>
  <c r="F51" i="18"/>
  <c r="D51" i="18"/>
  <c r="C51" i="18"/>
  <c r="B51" i="18"/>
  <c r="C8" i="18" s="1"/>
  <c r="C10" i="18" s="1"/>
  <c r="H51"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N63" i="14"/>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<sst xmlns="http://schemas.openxmlformats.org/spreadsheetml/2006/main" count="2531" uniqueCount="929">
  <si>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</si>
  <si>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</si>
  <si>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</si>
  <si>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</si>
  <si>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</si>
  <si>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</si>
  <si>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</si>
  <si>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</si>
  <si>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</si>
  <si>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</si>
  <si>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</si>
  <si>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</si>
  <si>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</si>
  <si>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</si>
  <si>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</si>
  <si>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</si>
  <si>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</si>
  <si>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</si>
  <si>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</si>
  <si>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</si>
  <si>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</si>
  <si>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</si>
  <si>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</si>
  <si>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</si>
  <si>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</si>
  <si>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</si>
  <si>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</si>
  <si>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</si>
  <si>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</si>
  <si>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</si>
  <si>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</si>
  <si>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</si>
  <si>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</si>
  <si>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</si>
  <si>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</si>
  <si>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</si>
  <si>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</si>
  <si>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</si>
  <si>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</si>
  <si>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</si>
  <si>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</si>
  <si>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</si>
  <si>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</si>
  <si>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</si>
  <si>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</si>
  <si>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</si>
  <si>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</si>
  <si>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</si>
  <si>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</si>
  <si>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</si>
  <si>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</si>
  <si>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</si>
  <si>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</si>
  <si>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</si>
  <si>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</si>
  <si>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</si>
  <si>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</si>
  <si>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</si>
  <si>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</si>
  <si>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</si>
  <si>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</si>
  <si>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</si>
  <si>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</si>
  <si>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</si>
  <si>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</si>
  <si>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</si>
  <si>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</si>
  <si>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</si>
  <si>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</si>
  <si>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</si>
  <si>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</si>
  <si>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</si>
  <si>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</si>
  <si>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</si>
  <si>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</si>
  <si>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</si>
  <si>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</si>
  <si>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</si>
  <si>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</si>
  <si>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</si>
  <si>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</si>
  <si>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</si>
  <si>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</si>
  <si>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</si>
  <si>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</si>
  <si>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</si>
  <si>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</si>
  <si>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</si>
  <si>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</si>
  <si>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</si>
  <si>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</si>
  <si>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</si>
  <si>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</si>
  <si>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</si>
  <si>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</si>
  <si>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</si>
  <si>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</si>
  <si>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</si>
  <si>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</si>
  <si>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</si>
  <si>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</si>
  <si>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</si>
  <si>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</si>
  <si>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</si>
  <si>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</si>
  <si>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</si>
  <si>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</si>
  <si>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</si>
  <si>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</si>
  <si>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</si>
  <si>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</si>
  <si>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</si>
  <si>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</si>
  <si>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</si>
  <si>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</si>
  <si>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</si>
  <si>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</si>
  <si>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</si>
  <si>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</si>
  <si>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</si>
  <si>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</si>
  <si>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</si>
  <si>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</si>
  <si>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</si>
  <si>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</si>
  <si>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</si>
  <si>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</si>
  <si>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</si>
  <si>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</si>
  <si>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</si>
  <si>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</si>
  <si>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</si>
  <si>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</si>
  <si>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</si>
  <si>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</si>
  <si>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</si>
  <si>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</si>
  <si>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</si>
  <si>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</si>
  <si>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</si>
  <si>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</si>
  <si>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</si>
  <si>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</si>
  <si>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</si>
  <si>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</si>
  <si>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</si>
  <si>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</si>
  <si>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</si>
  <si>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</si>
  <si>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</si>
  <si>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</si>
  <si>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</si>
  <si>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</si>
  <si>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</si>
  <si>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</si>
  <si>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</si>
  <si>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</si>
  <si>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</si>
  <si>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</si>
  <si>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</si>
  <si>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</si>
  <si>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</si>
  <si>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</si>
  <si>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</si>
  <si>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</si>
  <si>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</si>
  <si>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</si>
  <si>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</si>
  <si>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</si>
  <si>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</si>
  <si>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</si>
  <si>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</si>
  <si>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</si>
  <si>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</si>
  <si>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</si>
  <si>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</si>
  <si>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</si>
  <si>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</si>
  <si>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</si>
  <si>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</si>
  <si>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</si>
  <si>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</si>
  <si>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</si>
  <si>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</si>
  <si>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</si>
  <si>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</si>
  <si>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</si>
  <si>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</si>
  <si>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</si>
  <si>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</si>
  <si>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</si>
  <si>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</si>
  <si>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</si>
  <si>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</si>
  <si>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</si>
  <si>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</si>
  <si>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</si>
  <si>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</si>
  <si>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</si>
  <si>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</si>
  <si>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</si>
  <si>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</si>
  <si>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</si>
  <si>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</si>
  <si>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</si>
  <si>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</si>
  <si>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</si>
  <si>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</si>
  <si>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</si>
  <si>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</si>
  <si>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</si>
  <si>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</si>
  <si>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</si>
  <si>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</si>
  <si>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</si>
  <si>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</si>
  <si>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</si>
  <si>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</si>
  <si>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</si>
  <si>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</si>
  <si>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</si>
  <si>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</si>
  <si>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</si>
  <si>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</si>
  <si>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</si>
  <si>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</si>
  <si>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</si>
  <si>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</si>
  <si>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</si>
  <si>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</si>
  <si>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</si>
  <si>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</si>
  <si>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</si>
  <si>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</si>
  <si>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</si>
  <si>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</si>
  <si>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</si>
  <si>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</si>
  <si>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</si>
  <si>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</si>
  <si>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</si>
  <si>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</si>
  <si>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</si>
  <si>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</si>
  <si>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</si>
  <si>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</si>
  <si>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</si>
  <si>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</si>
  <si>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</si>
  <si>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</si>
  <si>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</si>
  <si>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</si>
  <si>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</si>
  <si>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</si>
  <si>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</si>
  <si>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</si>
  <si>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</si>
  <si>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</si>
  <si>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</si>
  <si>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</si>
  <si>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</si>
  <si>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</si>
  <si>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</si>
  <si>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</si>
  <si>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</si>
  <si>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</si>
  <si>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</si>
  <si>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</si>
  <si>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</si>
  <si>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</si>
  <si>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</si>
  <si>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</si>
  <si>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</si>
  <si>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</si>
  <si>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</si>
  <si>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</si>
  <si>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</si>
  <si>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</si>
  <si>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</si>
  <si>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</si>
  <si>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</si>
  <si>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</si>
  <si>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</si>
  <si>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</si>
  <si>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</si>
  <si>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</si>
  <si>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</si>
  <si>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</si>
  <si>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</si>
  <si>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</si>
  <si>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</si>
  <si>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</si>
  <si>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</si>
  <si>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</si>
  <si>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</si>
  <si>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</si>
  <si>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</si>
  <si>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</si>
  <si>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</si>
  <si>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</si>
  <si>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</si>
  <si>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</si>
  <si>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</si>
  <si>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</si>
  <si>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</si>
  <si>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</si>
  <si>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</si>
  <si>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</si>
  <si>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</si>
  <si>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</si>
  <si>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</si>
  <si>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</si>
  <si>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</si>
  <si>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</si>
  <si>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</si>
  <si>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</si>
  <si>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</si>
  <si>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</si>
  <si>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</si>
  <si>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</si>
  <si>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</si>
  <si>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</si>
  <si>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</si>
  <si>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</si>
  <si>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</si>
  <si>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</si>
  <si>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</si>
  <si>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</si>
  <si>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</si>
  <si>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</si>
  <si>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</si>
  <si>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</si>
  <si>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</si>
  <si>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</si>
  <si>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</si>
  <si>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</si>
  <si>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</si>
  <si>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</si>
  <si>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</si>
  <si>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</si>
  <si>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</si>
  <si>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</si>
  <si>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</si>
  <si>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</si>
  <si>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</si>
  <si>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</si>
  <si>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</si>
  <si>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</si>
  <si>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</si>
  <si>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</si>
  <si>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</si>
  <si>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</si>
  <si>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</si>
  <si>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</si>
  <si>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</si>
  <si>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</si>
  <si>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</si>
  <si>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</si>
  <si>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</si>
  <si>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</si>
  <si>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</si>
  <si>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</si>
  <si>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</si>
  <si>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</si>
  <si>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</si>
  <si>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</si>
  <si>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</si>
  <si>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</si>
  <si>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</si>
  <si>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</si>
  <si>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</si>
  <si>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</si>
  <si>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</si>
  <si>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</si>
  <si>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</si>
  <si>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</si>
  <si>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</si>
  <si>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</si>
  <si>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</si>
  <si>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</si>
  <si>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</si>
  <si>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</si>
  <si>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</si>
  <si>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</si>
  <si>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</si>
  <si>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</si>
  <si>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</si>
  <si>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</si>
  <si>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</si>
  <si>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</si>
  <si>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</si>
  <si>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</si>
  <si>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</si>
  <si>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</si>
  <si>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</si>
  <si>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</si>
  <si>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</si>
  <si>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</si>
  <si>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</si>
  <si>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</si>
  <si>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</si>
  <si>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</si>
  <si>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</si>
  <si>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</si>
  <si>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</si>
  <si>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</si>
  <si>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</si>
  <si>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</si>
  <si>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</si>
  <si>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</si>
  <si>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</si>
  <si>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</si>
  <si>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</si>
  <si>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</si>
  <si>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</si>
  <si>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</si>
  <si>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</si>
  <si>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</si>
  <si>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</si>
  <si>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</si>
  <si>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</si>
  <si>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</si>
  <si>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</si>
  <si>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</si>
  <si>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</si>
  <si>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</si>
  <si>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</si>
  <si>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</si>
  <si>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</si>
  <si>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</si>
  <si>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</si>
  <si>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</si>
  <si>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</si>
  <si>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</si>
  <si>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</si>
  <si>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</si>
  <si>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</si>
  <si>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</si>
  <si>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</si>
  <si>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</si>
  <si>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</si>
  <si>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</si>
  <si>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</si>
  <si>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</si>
  <si>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</si>
  <si>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</si>
  <si>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</si>
  <si>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</si>
  <si>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</si>
  <si>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</si>
  <si>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</si>
  <si>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</si>
  <si>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</si>
  <si>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</si>
  <si>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</si>
  <si>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</si>
  <si>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</si>
  <si>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</si>
  <si>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</si>
  <si>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</si>
  <si>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</si>
  <si>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</si>
  <si>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</si>
  <si>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</si>
  <si>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</si>
  <si>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</si>
  <si>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</si>
  <si>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</si>
  <si>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</si>
  <si>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</si>
  <si>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</si>
  <si>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</si>
  <si>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</si>
  <si>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</si>
  <si>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</si>
  <si>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</si>
  <si>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</si>
  <si>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</si>
  <si>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</si>
  <si>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</si>
  <si>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</si>
  <si>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</si>
  <si>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</si>
  <si>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</si>
  <si>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</si>
  <si>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</si>
  <si>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</si>
  <si>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</si>
  <si>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</si>
  <si>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</si>
  <si>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</si>
  <si>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</si>
  <si>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</si>
  <si>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</si>
  <si>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</si>
  <si>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</si>
  <si>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</si>
  <si>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</si>
  <si>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</si>
  <si>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</si>
  <si>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</si>
  <si>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</si>
  <si>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</si>
  <si>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</si>
  <si>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</si>
  <si>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</si>
  <si>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</si>
  <si>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</si>
  <si>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</si>
  <si>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</si>
  <si>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</si>
  <si>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</si>
  <si>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</si>
  <si>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</si>
  <si>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</si>
  <si>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</si>
  <si>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</si>
  <si>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</si>
  <si>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</si>
  <si>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</si>
  <si>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</si>
  <si>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</si>
  <si>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</si>
  <si>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</si>
  <si>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</si>
  <si>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</si>
  <si>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</si>
  <si>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</si>
  <si>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</si>
  <si>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</si>
  <si>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</si>
  <si>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</si>
  <si>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</si>
  <si>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</si>
  <si>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</si>
  <si>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</si>
  <si>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</si>
  <si>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</si>
  <si>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</si>
  <si>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</si>
  <si>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</si>
  <si>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</si>
  <si>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</si>
  <si>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</si>
  <si>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</si>
  <si>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</si>
  <si>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</si>
  <si>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</si>
  <si>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</si>
  <si>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</si>
  <si>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</si>
  <si>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</si>
  <si>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</si>
  <si>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</si>
  <si>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</si>
  <si>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</si>
  <si>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</si>
  <si>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</si>
  <si>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</si>
  <si>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</si>
  <si>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</si>
  <si>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</si>
  <si>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</si>
  <si>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</si>
  <si>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</si>
  <si>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</si>
  <si>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</si>
  <si>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</si>
  <si>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</si>
  <si>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</si>
  <si>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</si>
  <si>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</si>
  <si>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</si>
  <si>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</si>
  <si>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</si>
  <si>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</si>
  <si>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</si>
  <si>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</si>
  <si>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</si>
  <si>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</si>
  <si>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</si>
  <si>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</si>
  <si>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</si>
  <si>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</si>
  <si>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</si>
  <si>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</si>
  <si>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</si>
  <si>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</si>
  <si>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</si>
  <si>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</si>
  <si>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</si>
  <si>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</si>
  <si>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</si>
  <si>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</si>
  <si>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</si>
  <si>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</si>
  <si>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</si>
  <si>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</si>
  <si>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</si>
  <si>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</si>
  <si>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</si>
  <si>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</si>
  <si>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</si>
  <si>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</si>
  <si>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</si>
  <si>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</si>
  <si>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</si>
  <si>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</si>
  <si>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</si>
  <si>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</si>
  <si>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</si>
  <si>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</si>
  <si>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</si>
  <si>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</si>
  <si>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</si>
  <si>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</si>
  <si>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</si>
  <si>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</si>
  <si>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</si>
  <si>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</si>
  <si>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</si>
  <si>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</si>
  <si>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</si>
  <si>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</si>
  <si>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</si>
  <si>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</si>
  <si>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</si>
  <si>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</si>
  <si>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</si>
  <si>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</si>
  <si>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</si>
  <si>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</si>
  <si>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</si>
  <si>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</si>
  <si>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</si>
  <si>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</si>
  <si>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</si>
  <si>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</si>
  <si>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</si>
  <si>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</si>
  <si>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</si>
  <si>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</si>
  <si>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</si>
  <si>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</si>
  <si>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</si>
  <si>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</si>
  <si>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</si>
  <si>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</si>
  <si>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</si>
  <si>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</si>
  <si>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</si>
  <si>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</si>
  <si>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</si>
  <si>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</si>
  <si>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</si>
  <si>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</si>
  <si>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</si>
  <si>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</si>
  <si>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</si>
  <si>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</si>
  <si>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</si>
  <si>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</si>
  <si>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</si>
  <si>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</si>
  <si>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</si>
  <si>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</si>
  <si>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</si>
  <si>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</si>
  <si>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</si>
  <si>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</si>
  <si>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</si>
  <si>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</si>
  <si>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</si>
  <si>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</si>
  <si>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</si>
  <si>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</si>
  <si>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</si>
  <si>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</si>
  <si>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</si>
  <si>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</si>
  <si>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</si>
  <si>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</si>
  <si>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</si>
  <si>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</si>
  <si>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</si>
  <si>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</si>
  <si>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</si>
  <si>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</si>
  <si>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</si>
  <si>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</si>
  <si>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</si>
  <si>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</si>
  <si>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</si>
  <si>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</si>
  <si>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</si>
  <si>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</si>
  <si>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</si>
  <si>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</si>
  <si>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</si>
  <si>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</si>
  <si>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</si>
  <si>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</si>
  <si>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</si>
  <si>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</si>
  <si>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</si>
  <si>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</si>
  <si>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</si>
  <si>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</si>
  <si>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</si>
  <si>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</si>
  <si>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</si>
  <si>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</si>
  <si>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</si>
  <si>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</si>
  <si>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</si>
  <si>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</si>
  <si>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</si>
  <si>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</si>
  <si>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</si>
  <si>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</si>
  <si>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</si>
  <si>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</si>
  <si>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</si>
  <si>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</si>
  <si>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</si>
  <si>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</si>
  <si>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</si>
  <si>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</si>
  <si>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</si>
  <si>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</si>
  <si>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</si>
  <si>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</si>
  <si>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</si>
  <si>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</si>
  <si>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</si>
  <si>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</si>
  <si>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</si>
  <si>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</si>
  <si>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</si>
  <si>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</si>
  <si>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</si>
  <si>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</si>
  <si>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</si>
  <si>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</si>
  <si>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</si>
  <si>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</si>
  <si>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</si>
  <si>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</si>
  <si>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</si>
  <si>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</si>
  <si>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</si>
  <si>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</si>
  <si>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</si>
  <si>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</si>
  <si>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</si>
  <si>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</si>
  <si>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</si>
  <si>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</si>
  <si>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</si>
  <si>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</si>
  <si>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</si>
  <si>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</si>
  <si>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</si>
  <si>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</si>
  <si>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</si>
  <si>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</si>
  <si>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</si>
  <si>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</si>
  <si>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</si>
  <si>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</si>
  <si>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</si>
  <si>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</si>
  <si>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</si>
  <si>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</si>
  <si>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</si>
  <si>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</si>
  <si>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</si>
  <si>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</si>
  <si>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</si>
  <si>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</si>
  <si>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</si>
  <si>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</si>
  <si>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</si>
  <si>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</si>
  <si>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</si>
  <si>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</si>
  <si>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</si>
  <si>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</si>
  <si>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</si>
  <si>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</si>
  <si>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</si>
  <si>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</si>
  <si>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</si>
  <si>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</si>
  <si>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</si>
  <si>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</si>
  <si>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</si>
  <si>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</si>
  <si>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</si>
  <si>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</si>
  <si>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</si>
  <si>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</si>
  <si>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</si>
  <si>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</si>
  <si>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</si>
  <si>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</si>
  <si>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</si>
  <si>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</si>
  <si>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</si>
  <si>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</si>
  <si>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</si>
  <si>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</si>
  <si>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</si>
  <si>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</si>
  <si>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</si>
  <si>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</si>
  <si>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</si>
  <si>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</si>
  <si>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</si>
  <si>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</si>
  <si>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</si>
  <si>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</si>
  <si>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</si>
  <si>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</si>
  <si>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</si>
  <si>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</si>
  <si>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</si>
  <si>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</si>
  <si>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</si>
  <si>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</si>
  <si>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</si>
  <si>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</si>
  <si>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</si>
  <si>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</si>
  <si>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</si>
  <si>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</si>
  <si>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</si>
  <si>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</si>
  <si>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</si>
  <si>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</si>
  <si>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</si>
  <si>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</si>
  <si>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</si>
  <si>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</si>
  <si>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</si>
  <si>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</si>
  <si>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</si>
  <si>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</si>
  <si>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</si>
  <si>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</si>
  <si>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</si>
  <si>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</si>
  <si>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</si>
  <si>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</si>
  <si>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</si>
  <si>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</si>
  <si>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</si>
  <si>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</si>
  <si>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</si>
  <si>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</si>
  <si>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</si>
  <si>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</si>
  <si>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</si>
  <si>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</si>
  <si>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</si>
  <si>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</si>
  <si>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</si>
  <si>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</si>
  <si>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</si>
  <si>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</si>
  <si>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</si>
  <si>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</si>
  <si>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</si>
  <si>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</si>
  <si>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</si>
  <si>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</si>
  <si>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</si>
  <si>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</si>
  <si>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</si>
  <si>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</si>
  <si>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</si>
  <si>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</si>
  <si>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</si>
  <si>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</si>
  <si>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</si>
  <si>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</si>
  <si>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</si>
  <si>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</si>
  <si>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</si>
  <si>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</si>
  <si>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</si>
  <si>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</si>
  <si>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</si>
  <si>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</si>
  <si>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</si>
  <si>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</si>
  <si>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</si>
  <si>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</si>
  <si>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</si>
  <si>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</si>
  <si>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</si>
  <si>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</si>
  <si>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</si>
  <si>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</si>
  <si>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</si>
  <si>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</si>
  <si>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</si>
  <si>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</si>
  <si>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</si>
  <si>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</si>
  <si>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</si>
  <si>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</si>
  <si>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</si>
  <si>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</si>
  <si>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</si>
  <si>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</si>
  <si>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</si>
  <si>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</si>
  <si>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</si>
  <si>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37020</t>
  </si>
  <si>
    <t>ARDOOIE</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</si>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</sst>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E5A2560-2A1D-4DE0-A805-E3D4DB38E96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89602.349094361169</c:v>
                </c:pt>
                <c:pt idx="1">
                  <c:v>73132.380450004566</c:v>
                </c:pt>
                <c:pt idx="2">
                  <c:v>635.39400000000001</c:v>
                </c:pt>
                <c:pt idx="3">
                  <c:v>67091.960378765216</c:v>
                </c:pt>
                <c:pt idx="4">
                  <c:v>569824.03413369157</c:v>
                </c:pt>
                <c:pt idx="5">
                  <c:v>150768.74964335875</c:v>
                </c:pt>
                <c:pt idx="6">
                  <c:v>1003.5025168235231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89602.349094361169</c:v>
                </c:pt>
                <c:pt idx="1">
                  <c:v>73132.380450004566</c:v>
                </c:pt>
                <c:pt idx="2">
                  <c:v>635.39400000000001</c:v>
                </c:pt>
                <c:pt idx="3">
                  <c:v>67091.960378765216</c:v>
                </c:pt>
                <c:pt idx="4">
                  <c:v>569824.03413369157</c:v>
                </c:pt>
                <c:pt idx="5">
                  <c:v>150768.74964335875</c:v>
                </c:pt>
                <c:pt idx="6">
                  <c:v>1003.5025168235231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19163.952978328536</c:v>
                </c:pt>
                <c:pt idx="2">
                  <c:v>14894.753472214763</c:v>
                </c:pt>
                <c:pt idx="3">
                  <c:v>136.38676724168084</c:v>
                </c:pt>
                <c:pt idx="4">
                  <c:v>16297.57954005723</c:v>
                </c:pt>
                <c:pt idx="5">
                  <c:v>123989.02296162845</c:v>
                </c:pt>
                <c:pt idx="6">
                  <c:v>38181.593232348976</c:v>
                </c:pt>
                <c:pt idx="7">
                  <c:v>256.23556307228756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19163.952978328536</c:v>
                </c:pt>
                <c:pt idx="2">
                  <c:v>14894.753472214763</c:v>
                </c:pt>
                <c:pt idx="3">
                  <c:v>136.38676724168084</c:v>
                </c:pt>
                <c:pt idx="4">
                  <c:v>16297.57954005723</c:v>
                </c:pt>
                <c:pt idx="5">
                  <c:v>123989.02296162845</c:v>
                </c:pt>
                <c:pt idx="6">
                  <c:v>38181.593232348976</c:v>
                </c:pt>
                <c:pt idx="7">
                  <c:v>256.23556307228756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37020</v>
      </c>
      <c r="B6" s="385"/>
      <c r="C6" s="386"/>
    </row>
    <row r="7" spans="1:7" s="383" customFormat="1" ht="15.75" customHeight="1">
      <c r="A7" s="387" t="str">
        <f>txtMunicipality</f>
        <v>ARDOOIE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10256.706722983126</v>
      </c>
      <c r="D10" s="676">
        <f ca="1">tertiair!C16</f>
        <v>0</v>
      </c>
      <c r="E10" s="676">
        <f ca="1">tertiair!D16</f>
        <v>60903.119760029833</v>
      </c>
      <c r="F10" s="676">
        <f>tertiair!E16</f>
        <v>138.40850240770072</v>
      </c>
      <c r="G10" s="676">
        <f ca="1">tertiair!F16</f>
        <v>1856.5474774265822</v>
      </c>
      <c r="H10" s="676">
        <f>tertiair!G16</f>
        <v>0</v>
      </c>
      <c r="I10" s="676">
        <f>tertiair!H16</f>
        <v>0</v>
      </c>
      <c r="J10" s="676">
        <f>tertiair!I16</f>
        <v>0</v>
      </c>
      <c r="K10" s="676">
        <f>tertiair!J16</f>
        <v>0</v>
      </c>
      <c r="L10" s="676">
        <f>tertiair!K16</f>
        <v>0</v>
      </c>
      <c r="M10" s="676">
        <f ca="1">tertiair!L16</f>
        <v>0</v>
      </c>
      <c r="N10" s="676">
        <f>tertiair!M16</f>
        <v>0</v>
      </c>
      <c r="O10" s="676">
        <f ca="1">tertiair!N16</f>
        <v>574.85865382399288</v>
      </c>
      <c r="P10" s="676">
        <f>tertiair!O16</f>
        <v>0</v>
      </c>
      <c r="Q10" s="677">
        <f>tertiair!P16</f>
        <v>38.133333333333333</v>
      </c>
      <c r="R10" s="679">
        <f ca="1">SUM(C10:Q10)</f>
        <v>73767.774450004566</v>
      </c>
      <c r="S10" s="67"/>
    </row>
    <row r="11" spans="1:19" s="444" customFormat="1">
      <c r="A11" s="791" t="s">
        <v>214</v>
      </c>
      <c r="B11" s="796"/>
      <c r="C11" s="676">
        <f>huishoudens!B8</f>
        <v>16197.487556961427</v>
      </c>
      <c r="D11" s="676">
        <f>huishoudens!C8</f>
        <v>0</v>
      </c>
      <c r="E11" s="676">
        <f>huishoudens!D8</f>
        <v>34160.695004260175</v>
      </c>
      <c r="F11" s="676">
        <f>huishoudens!E8</f>
        <v>1019.9570575567207</v>
      </c>
      <c r="G11" s="676">
        <f>huishoudens!F8</f>
        <v>31257.066220248686</v>
      </c>
      <c r="H11" s="676">
        <f>huishoudens!G8</f>
        <v>0</v>
      </c>
      <c r="I11" s="676">
        <f>huishoudens!H8</f>
        <v>0</v>
      </c>
      <c r="J11" s="676">
        <f>huishoudens!I8</f>
        <v>0</v>
      </c>
      <c r="K11" s="676">
        <f>huishoudens!J8</f>
        <v>591.94659594183679</v>
      </c>
      <c r="L11" s="676">
        <f>huishoudens!K8</f>
        <v>0</v>
      </c>
      <c r="M11" s="676">
        <f>huishoudens!L8</f>
        <v>0</v>
      </c>
      <c r="N11" s="676">
        <f>huishoudens!M8</f>
        <v>0</v>
      </c>
      <c r="O11" s="676">
        <f>huishoudens!N8</f>
        <v>5986.6299927256568</v>
      </c>
      <c r="P11" s="676">
        <f>huishoudens!O8</f>
        <v>140.70000000000002</v>
      </c>
      <c r="Q11" s="677">
        <f>huishoudens!P8</f>
        <v>247.86666666666667</v>
      </c>
      <c r="R11" s="679">
        <f>SUM(C11:Q11)</f>
        <v>89602.349094361169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209095.47734836541</v>
      </c>
      <c r="D13" s="676">
        <f>industrie!C18</f>
        <v>1870.7142857142858</v>
      </c>
      <c r="E13" s="676">
        <f>industrie!D18</f>
        <v>99904.411529264573</v>
      </c>
      <c r="F13" s="676">
        <f>industrie!E18</f>
        <v>15179.469042808461</v>
      </c>
      <c r="G13" s="676">
        <f>industrie!F18</f>
        <v>205912.78869162878</v>
      </c>
      <c r="H13" s="676">
        <f>industrie!G18</f>
        <v>0</v>
      </c>
      <c r="I13" s="676">
        <f>industrie!H18</f>
        <v>0</v>
      </c>
      <c r="J13" s="676">
        <f>industrie!I18</f>
        <v>0</v>
      </c>
      <c r="K13" s="676">
        <f>industrie!J18</f>
        <v>209.49938533407641</v>
      </c>
      <c r="L13" s="676">
        <f>industrie!K18</f>
        <v>0</v>
      </c>
      <c r="M13" s="676">
        <f>industrie!L18</f>
        <v>0</v>
      </c>
      <c r="N13" s="676">
        <f>industrie!M18</f>
        <v>0</v>
      </c>
      <c r="O13" s="676">
        <f>industrie!N18</f>
        <v>37651.673850575913</v>
      </c>
      <c r="P13" s="676">
        <f>industrie!O18</f>
        <v>0</v>
      </c>
      <c r="Q13" s="677">
        <f>industrie!P18</f>
        <v>0</v>
      </c>
      <c r="R13" s="679">
        <f>SUM(C13:Q13)</f>
        <v>569824.03413369157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235549.67162830997</v>
      </c>
      <c r="D16" s="711">
        <f t="shared" ref="D16:R16" ca="1" si="0">SUM(D9:D15)</f>
        <v>1870.7142857142858</v>
      </c>
      <c r="E16" s="711">
        <f t="shared" ca="1" si="0"/>
        <v>194968.22629355459</v>
      </c>
      <c r="F16" s="711">
        <f t="shared" si="0"/>
        <v>16337.834602772882</v>
      </c>
      <c r="G16" s="711">
        <f t="shared" ca="1" si="0"/>
        <v>239026.40238930404</v>
      </c>
      <c r="H16" s="711">
        <f t="shared" si="0"/>
        <v>0</v>
      </c>
      <c r="I16" s="711">
        <f t="shared" si="0"/>
        <v>0</v>
      </c>
      <c r="J16" s="711">
        <f t="shared" si="0"/>
        <v>0</v>
      </c>
      <c r="K16" s="711">
        <f t="shared" si="0"/>
        <v>801.44598127591325</v>
      </c>
      <c r="L16" s="711">
        <f t="shared" si="0"/>
        <v>0</v>
      </c>
      <c r="M16" s="711">
        <f t="shared" ca="1" si="0"/>
        <v>0</v>
      </c>
      <c r="N16" s="711">
        <f t="shared" si="0"/>
        <v>0</v>
      </c>
      <c r="O16" s="711">
        <f t="shared" ca="1" si="0"/>
        <v>44213.162497125566</v>
      </c>
      <c r="P16" s="711">
        <f t="shared" si="0"/>
        <v>140.70000000000002</v>
      </c>
      <c r="Q16" s="711">
        <f t="shared" si="0"/>
        <v>286</v>
      </c>
      <c r="R16" s="711">
        <f t="shared" ca="1" si="0"/>
        <v>733194.15767805732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4.9101676645437644</v>
      </c>
      <c r="D19" s="676">
        <f>transport!C54</f>
        <v>0</v>
      </c>
      <c r="E19" s="676">
        <f>transport!D54</f>
        <v>0</v>
      </c>
      <c r="F19" s="676">
        <f>transport!E54</f>
        <v>0</v>
      </c>
      <c r="G19" s="676">
        <f>transport!F54</f>
        <v>0</v>
      </c>
      <c r="H19" s="676">
        <f>transport!G54</f>
        <v>955.7363291044984</v>
      </c>
      <c r="I19" s="676">
        <f>transport!H54</f>
        <v>0</v>
      </c>
      <c r="J19" s="676">
        <f>transport!I54</f>
        <v>0</v>
      </c>
      <c r="K19" s="676">
        <f>transport!J54</f>
        <v>0</v>
      </c>
      <c r="L19" s="676">
        <f>transport!K54</f>
        <v>0</v>
      </c>
      <c r="M19" s="676">
        <f>transport!L54</f>
        <v>0</v>
      </c>
      <c r="N19" s="676">
        <f>transport!M54</f>
        <v>42.856020054480943</v>
      </c>
      <c r="O19" s="676">
        <f>transport!N54</f>
        <v>0</v>
      </c>
      <c r="P19" s="676">
        <f>transport!O54</f>
        <v>0</v>
      </c>
      <c r="Q19" s="677">
        <f>transport!P54</f>
        <v>0</v>
      </c>
      <c r="R19" s="679">
        <f>SUM(C19:Q19)</f>
        <v>1003.5025168235231</v>
      </c>
      <c r="S19" s="67"/>
    </row>
    <row r="20" spans="1:19" s="444" customFormat="1">
      <c r="A20" s="791" t="s">
        <v>296</v>
      </c>
      <c r="B20" s="796"/>
      <c r="C20" s="676">
        <f>transport!B14</f>
        <v>11.248408458489834</v>
      </c>
      <c r="D20" s="676">
        <f>transport!C14</f>
        <v>0</v>
      </c>
      <c r="E20" s="676">
        <f>transport!D14</f>
        <v>10.119940128957991</v>
      </c>
      <c r="F20" s="676">
        <f>transport!E14</f>
        <v>399.99205521163344</v>
      </c>
      <c r="G20" s="676">
        <f>transport!F14</f>
        <v>0</v>
      </c>
      <c r="H20" s="676">
        <f>transport!G14</f>
        <v>126052.56279899993</v>
      </c>
      <c r="I20" s="676">
        <f>transport!H14</f>
        <v>17792.377829413523</v>
      </c>
      <c r="J20" s="676">
        <f>transport!I14</f>
        <v>0</v>
      </c>
      <c r="K20" s="676">
        <f>transport!J14</f>
        <v>0</v>
      </c>
      <c r="L20" s="676">
        <f>transport!K14</f>
        <v>0</v>
      </c>
      <c r="M20" s="676">
        <f>transport!L14</f>
        <v>0</v>
      </c>
      <c r="N20" s="676">
        <f>transport!M14</f>
        <v>6502.4486111462238</v>
      </c>
      <c r="O20" s="676">
        <f>transport!N14</f>
        <v>0</v>
      </c>
      <c r="P20" s="676">
        <f>transport!O14</f>
        <v>0</v>
      </c>
      <c r="Q20" s="677">
        <f>transport!P14</f>
        <v>0</v>
      </c>
      <c r="R20" s="679">
        <f>SUM(C20:Q20)</f>
        <v>150768.74964335875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16.158576123033598</v>
      </c>
      <c r="D22" s="794">
        <f t="shared" ref="D22:R22" si="1">SUM(D18:D21)</f>
        <v>0</v>
      </c>
      <c r="E22" s="794">
        <f t="shared" si="1"/>
        <v>10.119940128957991</v>
      </c>
      <c r="F22" s="794">
        <f t="shared" si="1"/>
        <v>399.99205521163344</v>
      </c>
      <c r="G22" s="794">
        <f t="shared" si="1"/>
        <v>0</v>
      </c>
      <c r="H22" s="794">
        <f t="shared" si="1"/>
        <v>127008.29912810444</v>
      </c>
      <c r="I22" s="794">
        <f t="shared" si="1"/>
        <v>17792.377829413523</v>
      </c>
      <c r="J22" s="794">
        <f t="shared" si="1"/>
        <v>0</v>
      </c>
      <c r="K22" s="794">
        <f t="shared" si="1"/>
        <v>0</v>
      </c>
      <c r="L22" s="794">
        <f t="shared" si="1"/>
        <v>0</v>
      </c>
      <c r="M22" s="794">
        <f t="shared" si="1"/>
        <v>0</v>
      </c>
      <c r="N22" s="794">
        <f t="shared" si="1"/>
        <v>6545.3046312007045</v>
      </c>
      <c r="O22" s="794">
        <f t="shared" si="1"/>
        <v>0</v>
      </c>
      <c r="P22" s="794">
        <f t="shared" si="1"/>
        <v>0</v>
      </c>
      <c r="Q22" s="794">
        <f t="shared" si="1"/>
        <v>0</v>
      </c>
      <c r="R22" s="794">
        <f t="shared" si="1"/>
        <v>151772.25216018228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7003.0948591430106</v>
      </c>
      <c r="D24" s="676">
        <f>+landbouw!C8</f>
        <v>34785</v>
      </c>
      <c r="E24" s="676">
        <f>+landbouw!D8</f>
        <v>0</v>
      </c>
      <c r="F24" s="676">
        <f>+landbouw!E8</f>
        <v>88.248017045702241</v>
      </c>
      <c r="G24" s="676">
        <f>+landbouw!F8</f>
        <v>24162.431644134107</v>
      </c>
      <c r="H24" s="676">
        <f>+landbouw!G8</f>
        <v>0</v>
      </c>
      <c r="I24" s="676">
        <f>+landbouw!H8</f>
        <v>0</v>
      </c>
      <c r="J24" s="676">
        <f>+landbouw!I8</f>
        <v>0</v>
      </c>
      <c r="K24" s="676">
        <f>+landbouw!J8</f>
        <v>1053.1858584423908</v>
      </c>
      <c r="L24" s="676">
        <f>+landbouw!K8</f>
        <v>0</v>
      </c>
      <c r="M24" s="676">
        <f>+landbouw!L8</f>
        <v>0</v>
      </c>
      <c r="N24" s="676">
        <f>+landbouw!M8</f>
        <v>0</v>
      </c>
      <c r="O24" s="676">
        <f>+landbouw!N8</f>
        <v>0</v>
      </c>
      <c r="P24" s="676">
        <f>+landbouw!O8</f>
        <v>0</v>
      </c>
      <c r="Q24" s="677">
        <f>+landbouw!P8</f>
        <v>0</v>
      </c>
      <c r="R24" s="679">
        <f>SUM(C24:Q24)</f>
        <v>67091.960378765216</v>
      </c>
      <c r="S24" s="67"/>
    </row>
    <row r="25" spans="1:19" s="444" customFormat="1" ht="15" thickBot="1">
      <c r="A25" s="813" t="s">
        <v>833</v>
      </c>
      <c r="B25" s="977"/>
      <c r="C25" s="978">
        <f>IF(Onbekend_ele_kWh="---",0,Onbekend_ele_kWh)/1000+IF(REST_rest_ele_kWh="---",0,REST_rest_ele_kWh)/1000</f>
        <v>459.545887251571</v>
      </c>
      <c r="D25" s="978"/>
      <c r="E25" s="978">
        <f>IF(onbekend_gas_kWh="---",0,onbekend_gas_kWh)/1000+IF(REST_rest_gas_kWh="---",0,REST_rest_gas_kWh)/1000</f>
        <v>846.39165704484708</v>
      </c>
      <c r="F25" s="978"/>
      <c r="G25" s="978"/>
      <c r="H25" s="978"/>
      <c r="I25" s="978"/>
      <c r="J25" s="978"/>
      <c r="K25" s="978"/>
      <c r="L25" s="978"/>
      <c r="M25" s="978"/>
      <c r="N25" s="978"/>
      <c r="O25" s="978"/>
      <c r="P25" s="978"/>
      <c r="Q25" s="979"/>
      <c r="R25" s="679">
        <f>SUM(C25:Q25)</f>
        <v>1305.9375442964181</v>
      </c>
      <c r="S25" s="67"/>
    </row>
    <row r="26" spans="1:19" s="444" customFormat="1" ht="15.75" thickBot="1">
      <c r="A26" s="684" t="s">
        <v>834</v>
      </c>
      <c r="B26" s="799"/>
      <c r="C26" s="794">
        <f>SUM(C24:C25)</f>
        <v>7462.6407463945816</v>
      </c>
      <c r="D26" s="794">
        <f t="shared" ref="D26:R26" si="2">SUM(D24:D25)</f>
        <v>34785</v>
      </c>
      <c r="E26" s="794">
        <f t="shared" si="2"/>
        <v>846.39165704484708</v>
      </c>
      <c r="F26" s="794">
        <f t="shared" si="2"/>
        <v>88.248017045702241</v>
      </c>
      <c r="G26" s="794">
        <f t="shared" si="2"/>
        <v>24162.431644134107</v>
      </c>
      <c r="H26" s="794">
        <f t="shared" si="2"/>
        <v>0</v>
      </c>
      <c r="I26" s="794">
        <f t="shared" si="2"/>
        <v>0</v>
      </c>
      <c r="J26" s="794">
        <f t="shared" si="2"/>
        <v>0</v>
      </c>
      <c r="K26" s="794">
        <f t="shared" si="2"/>
        <v>1053.1858584423908</v>
      </c>
      <c r="L26" s="794">
        <f t="shared" si="2"/>
        <v>0</v>
      </c>
      <c r="M26" s="794">
        <f t="shared" si="2"/>
        <v>0</v>
      </c>
      <c r="N26" s="794">
        <f t="shared" si="2"/>
        <v>0</v>
      </c>
      <c r="O26" s="794">
        <f t="shared" si="2"/>
        <v>0</v>
      </c>
      <c r="P26" s="794">
        <f t="shared" si="2"/>
        <v>0</v>
      </c>
      <c r="Q26" s="794">
        <f t="shared" si="2"/>
        <v>0</v>
      </c>
      <c r="R26" s="794">
        <f t="shared" si="2"/>
        <v>68397.897923061639</v>
      </c>
      <c r="S26" s="67"/>
    </row>
    <row r="27" spans="1:19" s="444" customFormat="1" ht="17.25" thickTop="1" thickBot="1">
      <c r="A27" s="685" t="s">
        <v>109</v>
      </c>
      <c r="B27" s="786"/>
      <c r="C27" s="686">
        <f ca="1">C22+C16+C26</f>
        <v>243028.47095082758</v>
      </c>
      <c r="D27" s="686">
        <f t="shared" ref="D27:R27" ca="1" si="3">D22+D16+D26</f>
        <v>36655.714285714283</v>
      </c>
      <c r="E27" s="686">
        <f t="shared" ca="1" si="3"/>
        <v>195824.7378907284</v>
      </c>
      <c r="F27" s="686">
        <f t="shared" si="3"/>
        <v>16826.074675030217</v>
      </c>
      <c r="G27" s="686">
        <f t="shared" ca="1" si="3"/>
        <v>263188.83403343812</v>
      </c>
      <c r="H27" s="686">
        <f t="shared" si="3"/>
        <v>127008.29912810444</v>
      </c>
      <c r="I27" s="686">
        <f t="shared" si="3"/>
        <v>17792.377829413523</v>
      </c>
      <c r="J27" s="686">
        <f t="shared" si="3"/>
        <v>0</v>
      </c>
      <c r="K27" s="686">
        <f t="shared" si="3"/>
        <v>1854.631839718304</v>
      </c>
      <c r="L27" s="686">
        <f t="shared" si="3"/>
        <v>0</v>
      </c>
      <c r="M27" s="686">
        <f t="shared" ca="1" si="3"/>
        <v>0</v>
      </c>
      <c r="N27" s="686">
        <f t="shared" si="3"/>
        <v>6545.3046312007045</v>
      </c>
      <c r="O27" s="686">
        <f t="shared" ca="1" si="3"/>
        <v>44213.162497125566</v>
      </c>
      <c r="P27" s="686">
        <f t="shared" si="3"/>
        <v>140.70000000000002</v>
      </c>
      <c r="Q27" s="686">
        <f t="shared" si="3"/>
        <v>286</v>
      </c>
      <c r="R27" s="686">
        <f t="shared" ca="1" si="3"/>
        <v>953364.30776130129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2201.5931414109714</v>
      </c>
      <c r="D40" s="676">
        <f ca="1">tertiair!C20</f>
        <v>0</v>
      </c>
      <c r="E40" s="676">
        <f ca="1">tertiair!D20</f>
        <v>12302.430191526028</v>
      </c>
      <c r="F40" s="676">
        <f>tertiair!E20</f>
        <v>31.418730046548067</v>
      </c>
      <c r="G40" s="676">
        <f ca="1">tertiair!F20</f>
        <v>495.6981764728975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15031.140239456443</v>
      </c>
    </row>
    <row r="41" spans="1:18">
      <c r="A41" s="804" t="s">
        <v>214</v>
      </c>
      <c r="B41" s="811"/>
      <c r="C41" s="676">
        <f ca="1">huishoudens!B12</f>
        <v>3476.7765596327945</v>
      </c>
      <c r="D41" s="676">
        <f ca="1">huishoudens!C12</f>
        <v>0</v>
      </c>
      <c r="E41" s="676">
        <f>huishoudens!D12</f>
        <v>6900.4603908605559</v>
      </c>
      <c r="F41" s="676">
        <f>huishoudens!E12</f>
        <v>231.53025206537561</v>
      </c>
      <c r="G41" s="676">
        <f>huishoudens!F12</f>
        <v>8345.6366808063995</v>
      </c>
      <c r="H41" s="676">
        <f>huishoudens!G12</f>
        <v>0</v>
      </c>
      <c r="I41" s="676">
        <f>huishoudens!H12</f>
        <v>0</v>
      </c>
      <c r="J41" s="676">
        <f>huishoudens!I12</f>
        <v>0</v>
      </c>
      <c r="K41" s="676">
        <f>huishoudens!J12</f>
        <v>209.54909496341023</v>
      </c>
      <c r="L41" s="676">
        <f>huishoudens!K12</f>
        <v>0</v>
      </c>
      <c r="M41" s="676">
        <f>huishoudens!L12</f>
        <v>0</v>
      </c>
      <c r="N41" s="676">
        <f>huishoudens!M12</f>
        <v>0</v>
      </c>
      <c r="O41" s="676">
        <f>huishoudens!N12</f>
        <v>0</v>
      </c>
      <c r="P41" s="676">
        <f>huishoudens!O12</f>
        <v>0</v>
      </c>
      <c r="Q41" s="753">
        <f>huishoudens!P12</f>
        <v>0</v>
      </c>
      <c r="R41" s="832">
        <f t="shared" ca="1" si="4"/>
        <v>19163.952978328536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44882.161620033658</v>
      </c>
      <c r="D43" s="676">
        <f ca="1">industrie!C22</f>
        <v>427.55337689267225</v>
      </c>
      <c r="E43" s="676">
        <f>industrie!D22</f>
        <v>20180.691128911443</v>
      </c>
      <c r="F43" s="676">
        <f>industrie!E22</f>
        <v>3445.739472717521</v>
      </c>
      <c r="G43" s="676">
        <f>industrie!F22</f>
        <v>54978.714580664891</v>
      </c>
      <c r="H43" s="676">
        <f>industrie!G22</f>
        <v>0</v>
      </c>
      <c r="I43" s="676">
        <f>industrie!H22</f>
        <v>0</v>
      </c>
      <c r="J43" s="676">
        <f>industrie!I22</f>
        <v>0</v>
      </c>
      <c r="K43" s="676">
        <f>industrie!J22</f>
        <v>74.162782408263041</v>
      </c>
      <c r="L43" s="676">
        <f>industrie!K22</f>
        <v>0</v>
      </c>
      <c r="M43" s="676">
        <f>industrie!L22</f>
        <v>0</v>
      </c>
      <c r="N43" s="676">
        <f>industrie!M22</f>
        <v>0</v>
      </c>
      <c r="O43" s="676">
        <f>industrie!N22</f>
        <v>0</v>
      </c>
      <c r="P43" s="676">
        <f>industrie!O22</f>
        <v>0</v>
      </c>
      <c r="Q43" s="753">
        <f>industrie!P22</f>
        <v>0</v>
      </c>
      <c r="R43" s="831">
        <f t="shared" ca="1" si="4"/>
        <v>123989.02296162845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50560.531321077426</v>
      </c>
      <c r="D46" s="711">
        <f t="shared" ref="D46:Q46" ca="1" si="5">SUM(D39:D45)</f>
        <v>427.55337689267225</v>
      </c>
      <c r="E46" s="711">
        <f t="shared" ca="1" si="5"/>
        <v>39383.581711298029</v>
      </c>
      <c r="F46" s="711">
        <f t="shared" si="5"/>
        <v>3708.6884548294447</v>
      </c>
      <c r="G46" s="711">
        <f t="shared" ca="1" si="5"/>
        <v>63820.049437944188</v>
      </c>
      <c r="H46" s="711">
        <f t="shared" si="5"/>
        <v>0</v>
      </c>
      <c r="I46" s="711">
        <f t="shared" si="5"/>
        <v>0</v>
      </c>
      <c r="J46" s="711">
        <f t="shared" si="5"/>
        <v>0</v>
      </c>
      <c r="K46" s="711">
        <f t="shared" si="5"/>
        <v>283.71187737167327</v>
      </c>
      <c r="L46" s="711">
        <f t="shared" si="5"/>
        <v>0</v>
      </c>
      <c r="M46" s="711">
        <f t="shared" ca="1" si="5"/>
        <v>0</v>
      </c>
      <c r="N46" s="711">
        <f t="shared" si="5"/>
        <v>0</v>
      </c>
      <c r="O46" s="711">
        <f t="shared" ca="1" si="5"/>
        <v>0</v>
      </c>
      <c r="P46" s="711">
        <f t="shared" si="5"/>
        <v>0</v>
      </c>
      <c r="Q46" s="711">
        <f t="shared" si="5"/>
        <v>0</v>
      </c>
      <c r="R46" s="711">
        <f ca="1">SUM(R39:R45)</f>
        <v>158184.11617941342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1.0539632013864753</v>
      </c>
      <c r="D49" s="676">
        <f ca="1">transport!C58</f>
        <v>0</v>
      </c>
      <c r="E49" s="676">
        <f>transport!D58</f>
        <v>0</v>
      </c>
      <c r="F49" s="676">
        <f>transport!E58</f>
        <v>0</v>
      </c>
      <c r="G49" s="676">
        <f>transport!F58</f>
        <v>0</v>
      </c>
      <c r="H49" s="676">
        <f>transport!G58</f>
        <v>255.1815998709011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256.23556307228756</v>
      </c>
    </row>
    <row r="50" spans="1:18">
      <c r="A50" s="807" t="s">
        <v>296</v>
      </c>
      <c r="B50" s="817"/>
      <c r="C50" s="682">
        <f ca="1">transport!B18</f>
        <v>2.4144610529331518</v>
      </c>
      <c r="D50" s="682">
        <f>transport!C18</f>
        <v>0</v>
      </c>
      <c r="E50" s="682">
        <f>transport!D18</f>
        <v>2.0442279060495143</v>
      </c>
      <c r="F50" s="682">
        <f>transport!E18</f>
        <v>90.798196533040795</v>
      </c>
      <c r="G50" s="682">
        <f>transport!F18</f>
        <v>0</v>
      </c>
      <c r="H50" s="682">
        <f>transport!G18</f>
        <v>33656.034267332987</v>
      </c>
      <c r="I50" s="682">
        <f>transport!H18</f>
        <v>4430.3020795239672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38181.593232348976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3.4684242543196273</v>
      </c>
      <c r="D52" s="711">
        <f t="shared" ref="D52:Q52" ca="1" si="6">SUM(D48:D51)</f>
        <v>0</v>
      </c>
      <c r="E52" s="711">
        <f t="shared" si="6"/>
        <v>2.0442279060495143</v>
      </c>
      <c r="F52" s="711">
        <f t="shared" si="6"/>
        <v>90.798196533040795</v>
      </c>
      <c r="G52" s="711">
        <f t="shared" si="6"/>
        <v>0</v>
      </c>
      <c r="H52" s="711">
        <f t="shared" si="6"/>
        <v>33911.215867203886</v>
      </c>
      <c r="I52" s="711">
        <f t="shared" si="6"/>
        <v>4430.3020795239672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38437.828795421265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1503.2081960568553</v>
      </c>
      <c r="D54" s="682">
        <f ca="1">+landbouw!C12</f>
        <v>7950.1420012585886</v>
      </c>
      <c r="E54" s="682">
        <f>+landbouw!D12</f>
        <v>0</v>
      </c>
      <c r="F54" s="682">
        <f>+landbouw!E12</f>
        <v>20.032299869374409</v>
      </c>
      <c r="G54" s="682">
        <f>+landbouw!F12</f>
        <v>6451.3692489838068</v>
      </c>
      <c r="H54" s="682">
        <f>+landbouw!G12</f>
        <v>0</v>
      </c>
      <c r="I54" s="682">
        <f>+landbouw!H12</f>
        <v>0</v>
      </c>
      <c r="J54" s="682">
        <f>+landbouw!I12</f>
        <v>0</v>
      </c>
      <c r="K54" s="682">
        <f>+landbouw!J12</f>
        <v>372.82779388860632</v>
      </c>
      <c r="L54" s="682">
        <f>+landbouw!K12</f>
        <v>0</v>
      </c>
      <c r="M54" s="682">
        <f>+landbouw!L12</f>
        <v>0</v>
      </c>
      <c r="N54" s="682">
        <f>+landbouw!M12</f>
        <v>0</v>
      </c>
      <c r="O54" s="682">
        <f>+landbouw!N12</f>
        <v>0</v>
      </c>
      <c r="P54" s="682">
        <f>+landbouw!O12</f>
        <v>0</v>
      </c>
      <c r="Q54" s="683">
        <f>+landbouw!P12</f>
        <v>0</v>
      </c>
      <c r="R54" s="710">
        <f ca="1">SUM(C54:Q54)</f>
        <v>16297.57954005723</v>
      </c>
    </row>
    <row r="55" spans="1:18" ht="15" thickBot="1">
      <c r="A55" s="807" t="s">
        <v>833</v>
      </c>
      <c r="B55" s="817"/>
      <c r="C55" s="682">
        <f ca="1">C25*'EF ele_warmte'!B12</f>
        <v>98.64112339973579</v>
      </c>
      <c r="D55" s="682"/>
      <c r="E55" s="682">
        <f>E25*EF_CO2_aardgas</f>
        <v>170.97111472305912</v>
      </c>
      <c r="F55" s="682"/>
      <c r="G55" s="682"/>
      <c r="H55" s="682"/>
      <c r="I55" s="682"/>
      <c r="J55" s="682"/>
      <c r="K55" s="682"/>
      <c r="L55" s="682"/>
      <c r="M55" s="682"/>
      <c r="N55" s="682"/>
      <c r="O55" s="682"/>
      <c r="P55" s="682"/>
      <c r="Q55" s="683"/>
      <c r="R55" s="710">
        <f ca="1">SUM(C55:Q55)</f>
        <v>269.61223812279491</v>
      </c>
    </row>
    <row r="56" spans="1:18" ht="15.75" thickBot="1">
      <c r="A56" s="805" t="s">
        <v>834</v>
      </c>
      <c r="B56" s="818"/>
      <c r="C56" s="711">
        <f ca="1">SUM(C54:C55)</f>
        <v>1601.849319456591</v>
      </c>
      <c r="D56" s="711">
        <f t="shared" ref="D56:Q56" ca="1" si="7">SUM(D54:D55)</f>
        <v>7950.1420012585886</v>
      </c>
      <c r="E56" s="711">
        <f t="shared" si="7"/>
        <v>170.97111472305912</v>
      </c>
      <c r="F56" s="711">
        <f t="shared" si="7"/>
        <v>20.032299869374409</v>
      </c>
      <c r="G56" s="711">
        <f t="shared" si="7"/>
        <v>6451.3692489838068</v>
      </c>
      <c r="H56" s="711">
        <f t="shared" si="7"/>
        <v>0</v>
      </c>
      <c r="I56" s="711">
        <f t="shared" si="7"/>
        <v>0</v>
      </c>
      <c r="J56" s="711">
        <f t="shared" si="7"/>
        <v>0</v>
      </c>
      <c r="K56" s="711">
        <f t="shared" si="7"/>
        <v>372.82779388860632</v>
      </c>
      <c r="L56" s="711">
        <f t="shared" si="7"/>
        <v>0</v>
      </c>
      <c r="M56" s="711">
        <f t="shared" si="7"/>
        <v>0</v>
      </c>
      <c r="N56" s="711">
        <f t="shared" si="7"/>
        <v>0</v>
      </c>
      <c r="O56" s="711">
        <f t="shared" si="7"/>
        <v>0</v>
      </c>
      <c r="P56" s="711">
        <f t="shared" si="7"/>
        <v>0</v>
      </c>
      <c r="Q56" s="712">
        <f t="shared" si="7"/>
        <v>0</v>
      </c>
      <c r="R56" s="713">
        <f ca="1">SUM(R54:R55)</f>
        <v>16567.191778180026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52165.849064788337</v>
      </c>
      <c r="D61" s="719">
        <f t="shared" ref="D61:Q61" ca="1" si="8">D46+D52+D56</f>
        <v>8377.6953781512602</v>
      </c>
      <c r="E61" s="719">
        <f t="shared" ca="1" si="8"/>
        <v>39556.597053927137</v>
      </c>
      <c r="F61" s="719">
        <f t="shared" si="8"/>
        <v>3819.5189512318602</v>
      </c>
      <c r="G61" s="719">
        <f t="shared" ca="1" si="8"/>
        <v>70271.418686927995</v>
      </c>
      <c r="H61" s="719">
        <f t="shared" si="8"/>
        <v>33911.215867203886</v>
      </c>
      <c r="I61" s="719">
        <f t="shared" si="8"/>
        <v>4430.3020795239672</v>
      </c>
      <c r="J61" s="719">
        <f t="shared" si="8"/>
        <v>0</v>
      </c>
      <c r="K61" s="719">
        <f t="shared" si="8"/>
        <v>656.53967126027965</v>
      </c>
      <c r="L61" s="719">
        <f t="shared" si="8"/>
        <v>0</v>
      </c>
      <c r="M61" s="719">
        <f t="shared" ca="1" si="8"/>
        <v>0</v>
      </c>
      <c r="N61" s="719">
        <f t="shared" si="8"/>
        <v>0</v>
      </c>
      <c r="O61" s="719">
        <f t="shared" ca="1" si="8"/>
        <v>0</v>
      </c>
      <c r="P61" s="719">
        <f t="shared" si="8"/>
        <v>0</v>
      </c>
      <c r="Q61" s="719">
        <f t="shared" si="8"/>
        <v>0</v>
      </c>
      <c r="R61" s="719">
        <f ca="1">R46+R52+R56</f>
        <v>213189.1367530147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0.2146491267491995</v>
      </c>
      <c r="D63" s="762">
        <f t="shared" ca="1" si="9"/>
        <v>0.22855086966389504</v>
      </c>
      <c r="E63" s="984">
        <f t="shared" ca="1" si="9"/>
        <v>0.20199999999999999</v>
      </c>
      <c r="F63" s="762">
        <f t="shared" si="9"/>
        <v>0.22700000000000006</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7860.5917649341563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982.125</v>
      </c>
      <c r="C76" s="729">
        <f>'lokale energieproductie'!B8*IFERROR(SUM(D76:H76)/SUM(D76:O76),0)</f>
        <v>24676.875</v>
      </c>
      <c r="D76" s="994">
        <f>'lokale energieproductie'!C8</f>
        <v>29031.617647058822</v>
      </c>
      <c r="E76" s="995">
        <f>'lokale energieproductie'!D8</f>
        <v>0</v>
      </c>
      <c r="F76" s="995">
        <f>'lokale energieproductie'!E8</f>
        <v>0</v>
      </c>
      <c r="G76" s="995">
        <f>'lokale energieproductie'!F8</f>
        <v>0</v>
      </c>
      <c r="H76" s="995">
        <f>'lokale energieproductie'!G8</f>
        <v>0</v>
      </c>
      <c r="I76" s="995">
        <f>'lokale energieproductie'!I8</f>
        <v>0</v>
      </c>
      <c r="J76" s="995">
        <f>'lokale energieproductie'!J8</f>
        <v>1155.4411764705881</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5864.3867647058823</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8842.7167649341573</v>
      </c>
      <c r="C78" s="734">
        <f>SUM(C72:C77)</f>
        <v>24676.875</v>
      </c>
      <c r="D78" s="735">
        <f t="shared" ref="D78:H78" si="10">SUM(D76:D77)</f>
        <v>29031.617647058822</v>
      </c>
      <c r="E78" s="735">
        <f t="shared" si="10"/>
        <v>0</v>
      </c>
      <c r="F78" s="735">
        <f t="shared" si="10"/>
        <v>0</v>
      </c>
      <c r="G78" s="735">
        <f t="shared" si="10"/>
        <v>0</v>
      </c>
      <c r="H78" s="735">
        <f t="shared" si="10"/>
        <v>0</v>
      </c>
      <c r="I78" s="735">
        <f>SUM(I76:I77)</f>
        <v>0</v>
      </c>
      <c r="J78" s="735">
        <f>SUM(J76:J77)</f>
        <v>1155.4411764705881</v>
      </c>
      <c r="K78" s="735">
        <f t="shared" ref="K78:L78" si="11">SUM(K76:K77)</f>
        <v>0</v>
      </c>
      <c r="L78" s="735">
        <f t="shared" si="11"/>
        <v>0</v>
      </c>
      <c r="M78" s="735">
        <f>SUM(M76:M77)</f>
        <v>0</v>
      </c>
      <c r="N78" s="735">
        <f>SUM(N76:N77)</f>
        <v>0</v>
      </c>
      <c r="O78" s="842">
        <f>SUM(O76:O77)</f>
        <v>0</v>
      </c>
      <c r="P78" s="736">
        <v>0</v>
      </c>
      <c r="Q78" s="736">
        <f>SUM(Q76:Q77)</f>
        <v>5864.3867647058823</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1403.0357142857144</v>
      </c>
      <c r="C87" s="745">
        <f>'lokale energieproductie'!B17*IFERROR(SUM(D87:H87)/SUM(D87:O87),0)</f>
        <v>35252.67857142858</v>
      </c>
      <c r="D87" s="756">
        <f>'lokale energieproductie'!C17</f>
        <v>41473.73949579832</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1650.6302521008404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8377.6953781512602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1403.0357142857144</v>
      </c>
      <c r="C90" s="734">
        <f>SUM(C87:C89)</f>
        <v>35252.67857142858</v>
      </c>
      <c r="D90" s="734">
        <f t="shared" ref="D90:H90" si="12">SUM(D87:D89)</f>
        <v>41473.73949579832</v>
      </c>
      <c r="E90" s="734">
        <f t="shared" si="12"/>
        <v>0</v>
      </c>
      <c r="F90" s="734">
        <f t="shared" si="12"/>
        <v>0</v>
      </c>
      <c r="G90" s="734">
        <f t="shared" si="12"/>
        <v>0</v>
      </c>
      <c r="H90" s="734">
        <f t="shared" si="12"/>
        <v>0</v>
      </c>
      <c r="I90" s="734">
        <f>SUM(I87:I89)</f>
        <v>0</v>
      </c>
      <c r="J90" s="734">
        <f>SUM(J87:J89)</f>
        <v>1650.6302521008404</v>
      </c>
      <c r="K90" s="734">
        <f t="shared" ref="K90:L90" si="13">SUM(K87:K89)</f>
        <v>0</v>
      </c>
      <c r="L90" s="734">
        <f t="shared" si="13"/>
        <v>0</v>
      </c>
      <c r="M90" s="734">
        <f>SUM(M87:M89)</f>
        <v>0</v>
      </c>
      <c r="N90" s="734">
        <f>SUM(N87:N89)</f>
        <v>0</v>
      </c>
      <c r="O90" s="734">
        <f>SUM(O87:O89)</f>
        <v>0</v>
      </c>
      <c r="P90" s="734">
        <v>0</v>
      </c>
      <c r="Q90" s="734">
        <f>SUM(Q87:Q89)</f>
        <v>8377.6953781512602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16197.487556961427</v>
      </c>
      <c r="C4" s="448">
        <f>huishoudens!C8</f>
        <v>0</v>
      </c>
      <c r="D4" s="448">
        <f>huishoudens!D8</f>
        <v>34160.695004260175</v>
      </c>
      <c r="E4" s="448">
        <f>huishoudens!E8</f>
        <v>1019.9570575567207</v>
      </c>
      <c r="F4" s="448">
        <f>huishoudens!F8</f>
        <v>31257.066220248686</v>
      </c>
      <c r="G4" s="448">
        <f>huishoudens!G8</f>
        <v>0</v>
      </c>
      <c r="H4" s="448">
        <f>huishoudens!H8</f>
        <v>0</v>
      </c>
      <c r="I4" s="448">
        <f>huishoudens!I8</f>
        <v>0</v>
      </c>
      <c r="J4" s="448">
        <f>huishoudens!J8</f>
        <v>591.94659594183679</v>
      </c>
      <c r="K4" s="448">
        <f>huishoudens!K8</f>
        <v>0</v>
      </c>
      <c r="L4" s="448">
        <f>huishoudens!L8</f>
        <v>0</v>
      </c>
      <c r="M4" s="448">
        <f>huishoudens!M8</f>
        <v>0</v>
      </c>
      <c r="N4" s="448">
        <f>huishoudens!N8</f>
        <v>5986.6299927256568</v>
      </c>
      <c r="O4" s="448">
        <f>huishoudens!O8</f>
        <v>140.70000000000002</v>
      </c>
      <c r="P4" s="449">
        <f>huishoudens!P8</f>
        <v>247.86666666666667</v>
      </c>
      <c r="Q4" s="450">
        <f>SUM(B4:P4)</f>
        <v>89602.349094361169</v>
      </c>
    </row>
    <row r="5" spans="1:17">
      <c r="A5" s="447" t="s">
        <v>149</v>
      </c>
      <c r="B5" s="448">
        <f ca="1">tertiair!B16</f>
        <v>9621.3127229831262</v>
      </c>
      <c r="C5" s="448">
        <f ca="1">tertiair!C16</f>
        <v>0</v>
      </c>
      <c r="D5" s="448">
        <f ca="1">tertiair!D16</f>
        <v>60903.119760029833</v>
      </c>
      <c r="E5" s="448">
        <f>tertiair!E16</f>
        <v>138.40850240770072</v>
      </c>
      <c r="F5" s="448">
        <f ca="1">tertiair!F16</f>
        <v>1856.5474774265822</v>
      </c>
      <c r="G5" s="448">
        <f>tertiair!G16</f>
        <v>0</v>
      </c>
      <c r="H5" s="448">
        <f>tertiair!H16</f>
        <v>0</v>
      </c>
      <c r="I5" s="448">
        <f>tertiair!I16</f>
        <v>0</v>
      </c>
      <c r="J5" s="448">
        <f>tertiair!J16</f>
        <v>0</v>
      </c>
      <c r="K5" s="448">
        <f>tertiair!K16</f>
        <v>0</v>
      </c>
      <c r="L5" s="448">
        <f ca="1">tertiair!L16</f>
        <v>0</v>
      </c>
      <c r="M5" s="448">
        <f>tertiair!M16</f>
        <v>0</v>
      </c>
      <c r="N5" s="448">
        <f ca="1">tertiair!N16</f>
        <v>574.85865382399288</v>
      </c>
      <c r="O5" s="448">
        <f>tertiair!O16</f>
        <v>0</v>
      </c>
      <c r="P5" s="449">
        <f>tertiair!P16</f>
        <v>38.133333333333333</v>
      </c>
      <c r="Q5" s="447">
        <f t="shared" ref="Q5:Q14" ca="1" si="0">SUM(B5:P5)</f>
        <v>73132.380450004566</v>
      </c>
    </row>
    <row r="6" spans="1:17">
      <c r="A6" s="447" t="s">
        <v>187</v>
      </c>
      <c r="B6" s="448">
        <f>'openbare verlichting'!B8</f>
        <v>635.39400000000001</v>
      </c>
      <c r="C6" s="448"/>
      <c r="D6" s="448"/>
      <c r="E6" s="448"/>
      <c r="F6" s="448"/>
      <c r="G6" s="448"/>
      <c r="H6" s="448"/>
      <c r="I6" s="448"/>
      <c r="J6" s="448"/>
      <c r="K6" s="448"/>
      <c r="L6" s="448"/>
      <c r="M6" s="448"/>
      <c r="N6" s="448"/>
      <c r="O6" s="448"/>
      <c r="P6" s="449"/>
      <c r="Q6" s="447">
        <f t="shared" si="0"/>
        <v>635.39400000000001</v>
      </c>
    </row>
    <row r="7" spans="1:17">
      <c r="A7" s="447" t="s">
        <v>105</v>
      </c>
      <c r="B7" s="448">
        <f>landbouw!B8</f>
        <v>7003.0948591430106</v>
      </c>
      <c r="C7" s="448">
        <f>landbouw!C8</f>
        <v>34785</v>
      </c>
      <c r="D7" s="448">
        <f>landbouw!D8</f>
        <v>0</v>
      </c>
      <c r="E7" s="448">
        <f>landbouw!E8</f>
        <v>88.248017045702241</v>
      </c>
      <c r="F7" s="448">
        <f>landbouw!F8</f>
        <v>24162.431644134107</v>
      </c>
      <c r="G7" s="448">
        <f>landbouw!G8</f>
        <v>0</v>
      </c>
      <c r="H7" s="448">
        <f>landbouw!H8</f>
        <v>0</v>
      </c>
      <c r="I7" s="448">
        <f>landbouw!I8</f>
        <v>0</v>
      </c>
      <c r="J7" s="448">
        <f>landbouw!J8</f>
        <v>1053.1858584423908</v>
      </c>
      <c r="K7" s="448">
        <f>landbouw!K8</f>
        <v>0</v>
      </c>
      <c r="L7" s="448">
        <f>landbouw!L8</f>
        <v>0</v>
      </c>
      <c r="M7" s="448">
        <f>landbouw!M8</f>
        <v>0</v>
      </c>
      <c r="N7" s="448">
        <f>landbouw!N8</f>
        <v>0</v>
      </c>
      <c r="O7" s="448">
        <f>landbouw!O8</f>
        <v>0</v>
      </c>
      <c r="P7" s="449">
        <f>landbouw!P8</f>
        <v>0</v>
      </c>
      <c r="Q7" s="447">
        <f t="shared" si="0"/>
        <v>67091.960378765216</v>
      </c>
    </row>
    <row r="8" spans="1:17">
      <c r="A8" s="447" t="s">
        <v>639</v>
      </c>
      <c r="B8" s="448">
        <f>industrie!B18</f>
        <v>209095.47734836541</v>
      </c>
      <c r="C8" s="448">
        <f>industrie!C18</f>
        <v>1870.7142857142858</v>
      </c>
      <c r="D8" s="448">
        <f>industrie!D18</f>
        <v>99904.411529264573</v>
      </c>
      <c r="E8" s="448">
        <f>industrie!E18</f>
        <v>15179.469042808461</v>
      </c>
      <c r="F8" s="448">
        <f>industrie!F18</f>
        <v>205912.78869162878</v>
      </c>
      <c r="G8" s="448">
        <f>industrie!G18</f>
        <v>0</v>
      </c>
      <c r="H8" s="448">
        <f>industrie!H18</f>
        <v>0</v>
      </c>
      <c r="I8" s="448">
        <f>industrie!I18</f>
        <v>0</v>
      </c>
      <c r="J8" s="448">
        <f>industrie!J18</f>
        <v>209.49938533407641</v>
      </c>
      <c r="K8" s="448">
        <f>industrie!K18</f>
        <v>0</v>
      </c>
      <c r="L8" s="448">
        <f>industrie!L18</f>
        <v>0</v>
      </c>
      <c r="M8" s="448">
        <f>industrie!M18</f>
        <v>0</v>
      </c>
      <c r="N8" s="448">
        <f>industrie!N18</f>
        <v>37651.673850575913</v>
      </c>
      <c r="O8" s="448">
        <f>industrie!O18</f>
        <v>0</v>
      </c>
      <c r="P8" s="449">
        <f>industrie!P18</f>
        <v>0</v>
      </c>
      <c r="Q8" s="447">
        <f t="shared" si="0"/>
        <v>569824.03413369157</v>
      </c>
    </row>
    <row r="9" spans="1:17" s="453" customFormat="1">
      <c r="A9" s="451" t="s">
        <v>557</v>
      </c>
      <c r="B9" s="452">
        <f>transport!B14</f>
        <v>11.248408458489834</v>
      </c>
      <c r="C9" s="452">
        <f>transport!C14</f>
        <v>0</v>
      </c>
      <c r="D9" s="452">
        <f>transport!D14</f>
        <v>10.119940128957991</v>
      </c>
      <c r="E9" s="452">
        <f>transport!E14</f>
        <v>399.99205521163344</v>
      </c>
      <c r="F9" s="452">
        <f>transport!F14</f>
        <v>0</v>
      </c>
      <c r="G9" s="452">
        <f>transport!G14</f>
        <v>126052.56279899993</v>
      </c>
      <c r="H9" s="452">
        <f>transport!H14</f>
        <v>17792.377829413523</v>
      </c>
      <c r="I9" s="452">
        <f>transport!I14</f>
        <v>0</v>
      </c>
      <c r="J9" s="452">
        <f>transport!J14</f>
        <v>0</v>
      </c>
      <c r="K9" s="452">
        <f>transport!K14</f>
        <v>0</v>
      </c>
      <c r="L9" s="452">
        <f>transport!L14</f>
        <v>0</v>
      </c>
      <c r="M9" s="452">
        <f>transport!M14</f>
        <v>6502.4486111462238</v>
      </c>
      <c r="N9" s="452">
        <f>transport!N14</f>
        <v>0</v>
      </c>
      <c r="O9" s="452">
        <f>transport!O14</f>
        <v>0</v>
      </c>
      <c r="P9" s="452">
        <f>transport!P14</f>
        <v>0</v>
      </c>
      <c r="Q9" s="451">
        <f>SUM(B9:P9)</f>
        <v>150768.74964335875</v>
      </c>
    </row>
    <row r="10" spans="1:17">
      <c r="A10" s="447" t="s">
        <v>547</v>
      </c>
      <c r="B10" s="448">
        <f>transport!B54</f>
        <v>4.9101676645437644</v>
      </c>
      <c r="C10" s="448">
        <f>transport!C54</f>
        <v>0</v>
      </c>
      <c r="D10" s="448">
        <f>transport!D54</f>
        <v>0</v>
      </c>
      <c r="E10" s="448">
        <f>transport!E54</f>
        <v>0</v>
      </c>
      <c r="F10" s="448">
        <f>transport!F54</f>
        <v>0</v>
      </c>
      <c r="G10" s="448">
        <f>transport!G54</f>
        <v>955.7363291044984</v>
      </c>
      <c r="H10" s="448">
        <f>transport!H54</f>
        <v>0</v>
      </c>
      <c r="I10" s="448">
        <f>transport!I54</f>
        <v>0</v>
      </c>
      <c r="J10" s="448">
        <f>transport!J54</f>
        <v>0</v>
      </c>
      <c r="K10" s="448">
        <f>transport!K54</f>
        <v>0</v>
      </c>
      <c r="L10" s="448">
        <f>transport!L54</f>
        <v>0</v>
      </c>
      <c r="M10" s="448">
        <f>transport!M54</f>
        <v>42.856020054480943</v>
      </c>
      <c r="N10" s="448">
        <f>transport!N54</f>
        <v>0</v>
      </c>
      <c r="O10" s="448">
        <f>transport!O54</f>
        <v>0</v>
      </c>
      <c r="P10" s="449">
        <f>transport!P54</f>
        <v>0</v>
      </c>
      <c r="Q10" s="447">
        <f t="shared" si="0"/>
        <v>1003.5025168235231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459.545887251571</v>
      </c>
      <c r="C14" s="455"/>
      <c r="D14" s="455">
        <f>'SEAP template'!E25</f>
        <v>846.39165704484708</v>
      </c>
      <c r="E14" s="455"/>
      <c r="F14" s="455"/>
      <c r="G14" s="455"/>
      <c r="H14" s="455"/>
      <c r="I14" s="455"/>
      <c r="J14" s="455"/>
      <c r="K14" s="455"/>
      <c r="L14" s="455"/>
      <c r="M14" s="455"/>
      <c r="N14" s="455"/>
      <c r="O14" s="455"/>
      <c r="P14" s="456"/>
      <c r="Q14" s="447">
        <f t="shared" si="0"/>
        <v>1305.9375442964181</v>
      </c>
    </row>
    <row r="15" spans="1:17" s="460" customFormat="1">
      <c r="A15" s="457" t="s">
        <v>551</v>
      </c>
      <c r="B15" s="458">
        <f ca="1">SUM(B4:B14)</f>
        <v>243028.47095082758</v>
      </c>
      <c r="C15" s="458">
        <f t="shared" ref="C15:Q15" ca="1" si="1">SUM(C4:C14)</f>
        <v>36655.714285714283</v>
      </c>
      <c r="D15" s="458">
        <f t="shared" ca="1" si="1"/>
        <v>195824.7378907284</v>
      </c>
      <c r="E15" s="458">
        <f t="shared" si="1"/>
        <v>16826.074675030221</v>
      </c>
      <c r="F15" s="458">
        <f t="shared" ca="1" si="1"/>
        <v>263188.83403343818</v>
      </c>
      <c r="G15" s="458">
        <f t="shared" si="1"/>
        <v>127008.29912810444</v>
      </c>
      <c r="H15" s="458">
        <f t="shared" si="1"/>
        <v>17792.377829413523</v>
      </c>
      <c r="I15" s="458">
        <f t="shared" si="1"/>
        <v>0</v>
      </c>
      <c r="J15" s="458">
        <f t="shared" si="1"/>
        <v>1854.6318397183038</v>
      </c>
      <c r="K15" s="458">
        <f t="shared" si="1"/>
        <v>0</v>
      </c>
      <c r="L15" s="458">
        <f t="shared" ca="1" si="1"/>
        <v>0</v>
      </c>
      <c r="M15" s="458">
        <f t="shared" si="1"/>
        <v>6545.3046312007045</v>
      </c>
      <c r="N15" s="458">
        <f t="shared" ca="1" si="1"/>
        <v>44213.162497125566</v>
      </c>
      <c r="O15" s="458">
        <f t="shared" si="1"/>
        <v>140.70000000000002</v>
      </c>
      <c r="P15" s="458">
        <f t="shared" si="1"/>
        <v>286</v>
      </c>
      <c r="Q15" s="458">
        <f t="shared" ca="1" si="1"/>
        <v>953364.30776130117</v>
      </c>
    </row>
    <row r="17" spans="1:17">
      <c r="A17" s="461" t="s">
        <v>552</v>
      </c>
      <c r="B17" s="767">
        <f ca="1">huishoudens!B10</f>
        <v>0.21464912674919948</v>
      </c>
      <c r="C17" s="767">
        <f ca="1">huishoudens!C10</f>
        <v>0.22855086966389504</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3476.7765596327945</v>
      </c>
      <c r="C22" s="448">
        <f t="shared" ref="C22:C32" ca="1" si="3">C4*$C$17</f>
        <v>0</v>
      </c>
      <c r="D22" s="448">
        <f t="shared" ref="D22:D32" si="4">D4*$D$17</f>
        <v>6900.4603908605559</v>
      </c>
      <c r="E22" s="448">
        <f t="shared" ref="E22:E32" si="5">E4*$E$17</f>
        <v>231.53025206537561</v>
      </c>
      <c r="F22" s="448">
        <f t="shared" ref="F22:F32" si="6">F4*$F$17</f>
        <v>8345.6366808063995</v>
      </c>
      <c r="G22" s="448">
        <f t="shared" ref="G22:G32" si="7">G4*$G$17</f>
        <v>0</v>
      </c>
      <c r="H22" s="448">
        <f t="shared" ref="H22:H32" si="8">H4*$H$17</f>
        <v>0</v>
      </c>
      <c r="I22" s="448">
        <f t="shared" ref="I22:I32" si="9">I4*$I$17</f>
        <v>0</v>
      </c>
      <c r="J22" s="448">
        <f t="shared" ref="J22:J32" si="10">J4*$J$17</f>
        <v>209.54909496341023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19163.952978328536</v>
      </c>
    </row>
    <row r="23" spans="1:17">
      <c r="A23" s="447" t="s">
        <v>149</v>
      </c>
      <c r="B23" s="448">
        <f t="shared" ca="1" si="2"/>
        <v>2065.2063741692905</v>
      </c>
      <c r="C23" s="448">
        <f t="shared" ca="1" si="3"/>
        <v>0</v>
      </c>
      <c r="D23" s="448">
        <f t="shared" ca="1" si="4"/>
        <v>12302.430191526028</v>
      </c>
      <c r="E23" s="448">
        <f t="shared" si="5"/>
        <v>31.418730046548067</v>
      </c>
      <c r="F23" s="448">
        <f t="shared" ca="1" si="6"/>
        <v>495.6981764728975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14894.753472214763</v>
      </c>
    </row>
    <row r="24" spans="1:17">
      <c r="A24" s="447" t="s">
        <v>187</v>
      </c>
      <c r="B24" s="448">
        <f t="shared" ca="1" si="2"/>
        <v>136.38676724168084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136.38676724168084</v>
      </c>
    </row>
    <row r="25" spans="1:17">
      <c r="A25" s="447" t="s">
        <v>105</v>
      </c>
      <c r="B25" s="448">
        <f t="shared" ca="1" si="2"/>
        <v>1503.2081960568553</v>
      </c>
      <c r="C25" s="448">
        <f t="shared" ca="1" si="3"/>
        <v>7950.1420012585886</v>
      </c>
      <c r="D25" s="448">
        <f t="shared" si="4"/>
        <v>0</v>
      </c>
      <c r="E25" s="448">
        <f t="shared" si="5"/>
        <v>20.032299869374409</v>
      </c>
      <c r="F25" s="448">
        <f t="shared" si="6"/>
        <v>6451.3692489838068</v>
      </c>
      <c r="G25" s="448">
        <f t="shared" si="7"/>
        <v>0</v>
      </c>
      <c r="H25" s="448">
        <f t="shared" si="8"/>
        <v>0</v>
      </c>
      <c r="I25" s="448">
        <f t="shared" si="9"/>
        <v>0</v>
      </c>
      <c r="J25" s="448">
        <f t="shared" si="10"/>
        <v>372.82779388860632</v>
      </c>
      <c r="K25" s="448">
        <f t="shared" si="11"/>
        <v>0</v>
      </c>
      <c r="L25" s="448">
        <f t="shared" si="12"/>
        <v>0</v>
      </c>
      <c r="M25" s="448">
        <f t="shared" si="13"/>
        <v>0</v>
      </c>
      <c r="N25" s="448">
        <f t="shared" si="14"/>
        <v>0</v>
      </c>
      <c r="O25" s="448">
        <f t="shared" si="15"/>
        <v>0</v>
      </c>
      <c r="P25" s="449">
        <f t="shared" si="16"/>
        <v>0</v>
      </c>
      <c r="Q25" s="447">
        <f t="shared" ca="1" si="17"/>
        <v>16297.57954005723</v>
      </c>
    </row>
    <row r="26" spans="1:17">
      <c r="A26" s="447" t="s">
        <v>639</v>
      </c>
      <c r="B26" s="448">
        <f t="shared" ca="1" si="2"/>
        <v>44882.161620033658</v>
      </c>
      <c r="C26" s="448">
        <f t="shared" ca="1" si="3"/>
        <v>427.55337689267225</v>
      </c>
      <c r="D26" s="448">
        <f t="shared" si="4"/>
        <v>20180.691128911443</v>
      </c>
      <c r="E26" s="448">
        <f t="shared" si="5"/>
        <v>3445.739472717521</v>
      </c>
      <c r="F26" s="448">
        <f t="shared" si="6"/>
        <v>54978.714580664891</v>
      </c>
      <c r="G26" s="448">
        <f t="shared" si="7"/>
        <v>0</v>
      </c>
      <c r="H26" s="448">
        <f t="shared" si="8"/>
        <v>0</v>
      </c>
      <c r="I26" s="448">
        <f t="shared" si="9"/>
        <v>0</v>
      </c>
      <c r="J26" s="448">
        <f t="shared" si="10"/>
        <v>74.162782408263041</v>
      </c>
      <c r="K26" s="448">
        <f t="shared" si="11"/>
        <v>0</v>
      </c>
      <c r="L26" s="448">
        <f t="shared" si="12"/>
        <v>0</v>
      </c>
      <c r="M26" s="448">
        <f t="shared" si="13"/>
        <v>0</v>
      </c>
      <c r="N26" s="448">
        <f t="shared" si="14"/>
        <v>0</v>
      </c>
      <c r="O26" s="448">
        <f t="shared" si="15"/>
        <v>0</v>
      </c>
      <c r="P26" s="449">
        <f t="shared" si="16"/>
        <v>0</v>
      </c>
      <c r="Q26" s="447">
        <f t="shared" ca="1" si="17"/>
        <v>123989.02296162845</v>
      </c>
    </row>
    <row r="27" spans="1:17" s="453" customFormat="1">
      <c r="A27" s="451" t="s">
        <v>557</v>
      </c>
      <c r="B27" s="761">
        <f t="shared" ca="1" si="2"/>
        <v>2.4144610529331518</v>
      </c>
      <c r="C27" s="452">
        <f t="shared" ca="1" si="3"/>
        <v>0</v>
      </c>
      <c r="D27" s="452">
        <f t="shared" si="4"/>
        <v>2.0442279060495143</v>
      </c>
      <c r="E27" s="452">
        <f t="shared" si="5"/>
        <v>90.798196533040795</v>
      </c>
      <c r="F27" s="452">
        <f t="shared" si="6"/>
        <v>0</v>
      </c>
      <c r="G27" s="452">
        <f t="shared" si="7"/>
        <v>33656.034267332987</v>
      </c>
      <c r="H27" s="452">
        <f t="shared" si="8"/>
        <v>4430.3020795239672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38181.593232348976</v>
      </c>
    </row>
    <row r="28" spans="1:17">
      <c r="A28" s="447" t="s">
        <v>547</v>
      </c>
      <c r="B28" s="448">
        <f t="shared" ca="1" si="2"/>
        <v>1.0539632013864753</v>
      </c>
      <c r="C28" s="448">
        <f t="shared" ca="1" si="3"/>
        <v>0</v>
      </c>
      <c r="D28" s="448">
        <f t="shared" si="4"/>
        <v>0</v>
      </c>
      <c r="E28" s="448">
        <f t="shared" si="5"/>
        <v>0</v>
      </c>
      <c r="F28" s="448">
        <f t="shared" si="6"/>
        <v>0</v>
      </c>
      <c r="G28" s="448">
        <f t="shared" si="7"/>
        <v>255.1815998709011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256.23556307228756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98.64112339973579</v>
      </c>
      <c r="C32" s="448">
        <f t="shared" ca="1" si="3"/>
        <v>0</v>
      </c>
      <c r="D32" s="448">
        <f t="shared" si="4"/>
        <v>170.97111472305912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269.61223812279491</v>
      </c>
    </row>
    <row r="33" spans="1:17" s="460" customFormat="1">
      <c r="A33" s="457" t="s">
        <v>551</v>
      </c>
      <c r="B33" s="458">
        <f ca="1">SUM(B22:B32)</f>
        <v>52165.849064788337</v>
      </c>
      <c r="C33" s="458">
        <f t="shared" ref="C33:Q33" ca="1" si="18">SUM(C22:C32)</f>
        <v>8377.6953781512602</v>
      </c>
      <c r="D33" s="458">
        <f t="shared" ca="1" si="18"/>
        <v>39556.597053927137</v>
      </c>
      <c r="E33" s="458">
        <f t="shared" si="18"/>
        <v>3819.5189512318602</v>
      </c>
      <c r="F33" s="458">
        <f t="shared" ca="1" si="18"/>
        <v>70271.418686927995</v>
      </c>
      <c r="G33" s="458">
        <f t="shared" si="18"/>
        <v>33911.215867203886</v>
      </c>
      <c r="H33" s="458">
        <f t="shared" si="18"/>
        <v>4430.3020795239672</v>
      </c>
      <c r="I33" s="458">
        <f t="shared" si="18"/>
        <v>0</v>
      </c>
      <c r="J33" s="458">
        <f t="shared" si="18"/>
        <v>656.53967126027965</v>
      </c>
      <c r="K33" s="458">
        <f t="shared" si="18"/>
        <v>0</v>
      </c>
      <c r="L33" s="458">
        <f t="shared" ca="1" si="18"/>
        <v>0</v>
      </c>
      <c r="M33" s="458">
        <f t="shared" si="18"/>
        <v>0</v>
      </c>
      <c r="N33" s="458">
        <f t="shared" ca="1" si="18"/>
        <v>0</v>
      </c>
      <c r="O33" s="458">
        <f t="shared" si="18"/>
        <v>0</v>
      </c>
      <c r="P33" s="458">
        <f t="shared" si="18"/>
        <v>0</v>
      </c>
      <c r="Q33" s="458">
        <f t="shared" ca="1" si="18"/>
        <v>213189.13675301473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7860.5917649341563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982.125</v>
      </c>
      <c r="C8" s="1020">
        <f>'SEAP template'!C76</f>
        <v>24676.875</v>
      </c>
      <c r="D8" s="1020">
        <f>'SEAP template'!D76</f>
        <v>29031.617647058822</v>
      </c>
      <c r="E8" s="1020">
        <f>'SEAP template'!E76</f>
        <v>0</v>
      </c>
      <c r="F8" s="1020">
        <f>'SEAP template'!F76</f>
        <v>0</v>
      </c>
      <c r="G8" s="1020">
        <f>'SEAP template'!G76</f>
        <v>0</v>
      </c>
      <c r="H8" s="1020">
        <f>'SEAP template'!H76</f>
        <v>0</v>
      </c>
      <c r="I8" s="1020">
        <f>'SEAP template'!I76</f>
        <v>0</v>
      </c>
      <c r="J8" s="1020">
        <f>'SEAP template'!J76</f>
        <v>1155.4411764705881</v>
      </c>
      <c r="K8" s="1020">
        <f>'SEAP template'!K76</f>
        <v>0</v>
      </c>
      <c r="L8" s="1020">
        <f>'SEAP template'!L76</f>
        <v>0</v>
      </c>
      <c r="M8" s="1020">
        <f>'SEAP template'!M76</f>
        <v>0</v>
      </c>
      <c r="N8" s="1020">
        <f>'SEAP template'!N76</f>
        <v>0</v>
      </c>
      <c r="O8" s="1020">
        <f>'SEAP template'!O76</f>
        <v>0</v>
      </c>
      <c r="P8" s="1021">
        <f>'SEAP template'!Q76</f>
        <v>5864.3867647058823</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8842.7167649341573</v>
      </c>
      <c r="C10" s="1024">
        <f>SUM(C4:C9)</f>
        <v>24676.875</v>
      </c>
      <c r="D10" s="1024">
        <f t="shared" ref="D10:H10" si="0">SUM(D8:D9)</f>
        <v>29031.617647058822</v>
      </c>
      <c r="E10" s="1024">
        <f t="shared" si="0"/>
        <v>0</v>
      </c>
      <c r="F10" s="1024">
        <f t="shared" si="0"/>
        <v>0</v>
      </c>
      <c r="G10" s="1024">
        <f t="shared" si="0"/>
        <v>0</v>
      </c>
      <c r="H10" s="1024">
        <f t="shared" si="0"/>
        <v>0</v>
      </c>
      <c r="I10" s="1024">
        <f>SUM(I8:I9)</f>
        <v>0</v>
      </c>
      <c r="J10" s="1024">
        <f>SUM(J8:J9)</f>
        <v>1155.4411764705881</v>
      </c>
      <c r="K10" s="1024">
        <f t="shared" ref="K10:L10" si="1">SUM(K8:K9)</f>
        <v>0</v>
      </c>
      <c r="L10" s="1024">
        <f t="shared" si="1"/>
        <v>0</v>
      </c>
      <c r="M10" s="1024">
        <f>SUM(M8:M9)</f>
        <v>0</v>
      </c>
      <c r="N10" s="1024">
        <f>SUM(N8:N9)</f>
        <v>0</v>
      </c>
      <c r="O10" s="1024">
        <f>SUM(O8:O9)</f>
        <v>0</v>
      </c>
      <c r="P10" s="1024">
        <f>SUM(P8:P9)</f>
        <v>5864.3867647058823</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0.21464912674919948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1403.0357142857144</v>
      </c>
      <c r="C17" s="1026">
        <f>'SEAP template'!C87</f>
        <v>35252.67857142858</v>
      </c>
      <c r="D17" s="1021">
        <f>'SEAP template'!D87</f>
        <v>41473.73949579832</v>
      </c>
      <c r="E17" s="1021">
        <f>'SEAP template'!E87</f>
        <v>0</v>
      </c>
      <c r="F17" s="1021">
        <f>'SEAP template'!F87</f>
        <v>0</v>
      </c>
      <c r="G17" s="1021">
        <f>'SEAP template'!G87</f>
        <v>0</v>
      </c>
      <c r="H17" s="1021">
        <f>'SEAP template'!H87</f>
        <v>0</v>
      </c>
      <c r="I17" s="1021">
        <f>'SEAP template'!I87</f>
        <v>0</v>
      </c>
      <c r="J17" s="1021">
        <f>'SEAP template'!J87</f>
        <v>1650.6302521008404</v>
      </c>
      <c r="K17" s="1021">
        <f>'SEAP template'!K87</f>
        <v>0</v>
      </c>
      <c r="L17" s="1021">
        <f>'SEAP template'!L87</f>
        <v>0</v>
      </c>
      <c r="M17" s="1021">
        <f>'SEAP template'!M87</f>
        <v>0</v>
      </c>
      <c r="N17" s="1021">
        <f>'SEAP template'!N87</f>
        <v>0</v>
      </c>
      <c r="O17" s="1021">
        <f>'SEAP template'!O87</f>
        <v>0</v>
      </c>
      <c r="P17" s="1021">
        <f>'SEAP template'!Q87</f>
        <v>8377.6953781512602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1403.0357142857144</v>
      </c>
      <c r="C20" s="1024">
        <f>SUM(C17:C19)</f>
        <v>35252.67857142858</v>
      </c>
      <c r="D20" s="1024">
        <f t="shared" ref="D20:H20" si="2">SUM(D17:D19)</f>
        <v>41473.73949579832</v>
      </c>
      <c r="E20" s="1024">
        <f t="shared" si="2"/>
        <v>0</v>
      </c>
      <c r="F20" s="1024">
        <f t="shared" si="2"/>
        <v>0</v>
      </c>
      <c r="G20" s="1024">
        <f t="shared" si="2"/>
        <v>0</v>
      </c>
      <c r="H20" s="1024">
        <f t="shared" si="2"/>
        <v>0</v>
      </c>
      <c r="I20" s="1024">
        <f>SUM(I17:I19)</f>
        <v>0</v>
      </c>
      <c r="J20" s="1024">
        <f>SUM(J17:J19)</f>
        <v>1650.6302521008404</v>
      </c>
      <c r="K20" s="1024">
        <f t="shared" ref="K20:L20" si="3">SUM(K17:K19)</f>
        <v>0</v>
      </c>
      <c r="L20" s="1024">
        <f t="shared" si="3"/>
        <v>0</v>
      </c>
      <c r="M20" s="1024">
        <f>SUM(M17:M19)</f>
        <v>0</v>
      </c>
      <c r="N20" s="1024">
        <f>SUM(N17:N19)</f>
        <v>0</v>
      </c>
      <c r="O20" s="1024">
        <f>SUM(O17:O19)</f>
        <v>0</v>
      </c>
      <c r="P20" s="1024">
        <f>SUM(P17:P19)</f>
        <v>8377.6953781512602</v>
      </c>
    </row>
    <row r="22" spans="1:16">
      <c r="A22" s="461" t="s">
        <v>856</v>
      </c>
      <c r="B22" s="767" t="s">
        <v>850</v>
      </c>
      <c r="C22" s="767">
        <f ca="1">'EF ele_warmte'!B22</f>
        <v>0.22855086966389504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0.21464912674919948</v>
      </c>
      <c r="C17" s="498">
        <f ca="1">'EF ele_warmte'!B22</f>
        <v>0.22855086966389504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0.21464912674919948</v>
      </c>
      <c r="C17" s="498">
        <f ca="1">'EF ele_warmte'!B22</f>
        <v>0.22855086966389504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0.21464912674919948</v>
      </c>
      <c r="C29" s="499">
        <f ca="1">'EF ele_warmte'!B22</f>
        <v>0.22855086966389504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3731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2243</v>
      </c>
      <c r="C14" s="327"/>
      <c r="D14" s="327"/>
      <c r="E14" s="327"/>
      <c r="F14" s="327"/>
    </row>
    <row r="15" spans="1:6">
      <c r="A15" s="1296" t="s">
        <v>177</v>
      </c>
      <c r="B15" s="1297">
        <v>20</v>
      </c>
      <c r="C15" s="327"/>
      <c r="D15" s="327"/>
      <c r="E15" s="327"/>
      <c r="F15" s="327"/>
    </row>
    <row r="16" spans="1:6">
      <c r="A16" s="1296" t="s">
        <v>6</v>
      </c>
      <c r="B16" s="1297">
        <v>612</v>
      </c>
      <c r="C16" s="327"/>
      <c r="D16" s="327"/>
      <c r="E16" s="327"/>
      <c r="F16" s="327"/>
    </row>
    <row r="17" spans="1:6">
      <c r="A17" s="1296" t="s">
        <v>7</v>
      </c>
      <c r="B17" s="1297">
        <v>586</v>
      </c>
      <c r="C17" s="327"/>
      <c r="D17" s="327"/>
      <c r="E17" s="327"/>
      <c r="F17" s="327"/>
    </row>
    <row r="18" spans="1:6">
      <c r="A18" s="1296" t="s">
        <v>8</v>
      </c>
      <c r="B18" s="1297">
        <v>842</v>
      </c>
      <c r="C18" s="327"/>
      <c r="D18" s="327"/>
      <c r="E18" s="327"/>
      <c r="F18" s="327"/>
    </row>
    <row r="19" spans="1:6">
      <c r="A19" s="1296" t="s">
        <v>9</v>
      </c>
      <c r="B19" s="1297">
        <v>852</v>
      </c>
      <c r="C19" s="327"/>
      <c r="D19" s="327"/>
      <c r="E19" s="327"/>
      <c r="F19" s="327"/>
    </row>
    <row r="20" spans="1:6">
      <c r="A20" s="1296" t="s">
        <v>10</v>
      </c>
      <c r="B20" s="1297">
        <v>699</v>
      </c>
      <c r="C20" s="327"/>
      <c r="D20" s="327"/>
      <c r="E20" s="327"/>
      <c r="F20" s="327"/>
    </row>
    <row r="21" spans="1:6">
      <c r="A21" s="1296" t="s">
        <v>11</v>
      </c>
      <c r="B21" s="1297">
        <v>19941</v>
      </c>
      <c r="C21" s="327"/>
      <c r="D21" s="327"/>
      <c r="E21" s="327"/>
      <c r="F21" s="327"/>
    </row>
    <row r="22" spans="1:6">
      <c r="A22" s="1296" t="s">
        <v>12</v>
      </c>
      <c r="B22" s="1297">
        <v>73846</v>
      </c>
      <c r="C22" s="327"/>
      <c r="D22" s="327"/>
      <c r="E22" s="327"/>
      <c r="F22" s="327"/>
    </row>
    <row r="23" spans="1:6">
      <c r="A23" s="1296" t="s">
        <v>13</v>
      </c>
      <c r="B23" s="1297">
        <v>1033</v>
      </c>
      <c r="C23" s="327"/>
      <c r="D23" s="327"/>
      <c r="E23" s="327"/>
      <c r="F23" s="327"/>
    </row>
    <row r="24" spans="1:6">
      <c r="A24" s="1296" t="s">
        <v>14</v>
      </c>
      <c r="B24" s="1297">
        <v>40</v>
      </c>
      <c r="C24" s="327"/>
      <c r="D24" s="327"/>
      <c r="E24" s="327"/>
      <c r="F24" s="327"/>
    </row>
    <row r="25" spans="1:6">
      <c r="A25" s="1296" t="s">
        <v>15</v>
      </c>
      <c r="B25" s="1297">
        <v>5251</v>
      </c>
      <c r="C25" s="327"/>
      <c r="D25" s="327"/>
      <c r="E25" s="327"/>
      <c r="F25" s="327"/>
    </row>
    <row r="26" spans="1:6">
      <c r="A26" s="1296" t="s">
        <v>16</v>
      </c>
      <c r="B26" s="1297">
        <v>26</v>
      </c>
      <c r="C26" s="327"/>
      <c r="D26" s="327"/>
      <c r="E26" s="327"/>
      <c r="F26" s="327"/>
    </row>
    <row r="27" spans="1:6">
      <c r="A27" s="1296" t="s">
        <v>17</v>
      </c>
      <c r="B27" s="1297">
        <v>0</v>
      </c>
      <c r="C27" s="327"/>
      <c r="D27" s="327"/>
      <c r="E27" s="327"/>
      <c r="F27" s="327"/>
    </row>
    <row r="28" spans="1:6">
      <c r="A28" s="1296" t="s">
        <v>18</v>
      </c>
      <c r="B28" s="1298">
        <v>345178</v>
      </c>
      <c r="C28" s="327"/>
      <c r="D28" s="327"/>
      <c r="E28" s="327"/>
      <c r="F28" s="327"/>
    </row>
    <row r="29" spans="1:6">
      <c r="A29" s="1296" t="s">
        <v>922</v>
      </c>
      <c r="B29" s="1298">
        <v>91</v>
      </c>
      <c r="C29" s="327"/>
      <c r="D29" s="327"/>
      <c r="E29" s="327"/>
      <c r="F29" s="327"/>
    </row>
    <row r="30" spans="1:6">
      <c r="A30" s="1291" t="s">
        <v>923</v>
      </c>
      <c r="B30" s="1299">
        <v>12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5109.3906542613004</v>
      </c>
      <c r="E38" s="1297">
        <v>3</v>
      </c>
      <c r="F38" s="1297">
        <v>9313.3830583290001</v>
      </c>
    </row>
    <row r="39" spans="1:6">
      <c r="A39" s="1296" t="s">
        <v>29</v>
      </c>
      <c r="B39" s="1296" t="s">
        <v>30</v>
      </c>
      <c r="C39" s="1297">
        <v>2044</v>
      </c>
      <c r="D39" s="1297">
        <v>37872167.410488002</v>
      </c>
      <c r="E39" s="1297">
        <v>3418</v>
      </c>
      <c r="F39" s="1297">
        <v>14126514.658393599</v>
      </c>
    </row>
    <row r="40" spans="1:6">
      <c r="A40" s="1296" t="s">
        <v>29</v>
      </c>
      <c r="B40" s="1296" t="s">
        <v>28</v>
      </c>
      <c r="C40" s="1297">
        <v>0</v>
      </c>
      <c r="D40" s="1297">
        <v>0</v>
      </c>
      <c r="E40" s="1297">
        <v>2</v>
      </c>
      <c r="F40" s="1297">
        <v>6251</v>
      </c>
    </row>
    <row r="41" spans="1:6">
      <c r="A41" s="1296" t="s">
        <v>31</v>
      </c>
      <c r="B41" s="1296" t="s">
        <v>32</v>
      </c>
      <c r="C41" s="1297">
        <v>43</v>
      </c>
      <c r="D41" s="1297">
        <v>1190786.2630328799</v>
      </c>
      <c r="E41" s="1297">
        <v>115</v>
      </c>
      <c r="F41" s="1297">
        <v>1929318.21753755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94616.675871682295</v>
      </c>
      <c r="E44" s="1297">
        <v>11</v>
      </c>
      <c r="F44" s="1297">
        <v>445063.79200434301</v>
      </c>
    </row>
    <row r="45" spans="1:6">
      <c r="A45" s="1296" t="s">
        <v>31</v>
      </c>
      <c r="B45" s="1296" t="s">
        <v>36</v>
      </c>
      <c r="C45" s="1297">
        <v>0</v>
      </c>
      <c r="D45" s="1297">
        <v>0</v>
      </c>
      <c r="E45" s="1297">
        <v>3</v>
      </c>
      <c r="F45" s="1297">
        <v>223249.22005139201</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35</v>
      </c>
      <c r="D48" s="1297">
        <v>56271325.169872202</v>
      </c>
      <c r="E48" s="1297">
        <v>48</v>
      </c>
      <c r="F48" s="1297">
        <v>80616849.791699797</v>
      </c>
    </row>
    <row r="49" spans="1:6">
      <c r="A49" s="1296" t="s">
        <v>31</v>
      </c>
      <c r="B49" s="1296" t="s">
        <v>39</v>
      </c>
      <c r="C49" s="1297">
        <v>3</v>
      </c>
      <c r="D49" s="1297">
        <v>68420.1058012414</v>
      </c>
      <c r="E49" s="1297">
        <v>3</v>
      </c>
      <c r="F49" s="1297">
        <v>185296.63245134201</v>
      </c>
    </row>
    <row r="50" spans="1:6">
      <c r="A50" s="1296" t="s">
        <v>31</v>
      </c>
      <c r="B50" s="1296" t="s">
        <v>40</v>
      </c>
      <c r="C50" s="1297">
        <v>8</v>
      </c>
      <c r="D50" s="1297">
        <v>54170604.193539202</v>
      </c>
      <c r="E50" s="1297">
        <v>12</v>
      </c>
      <c r="F50" s="1297">
        <v>124386199.694621</v>
      </c>
    </row>
    <row r="51" spans="1:6">
      <c r="A51" s="1296" t="s">
        <v>41</v>
      </c>
      <c r="B51" s="1296" t="s">
        <v>42</v>
      </c>
      <c r="C51" s="1297">
        <v>10</v>
      </c>
      <c r="D51" s="1297">
        <v>1263180.03251314</v>
      </c>
      <c r="E51" s="1297">
        <v>179</v>
      </c>
      <c r="F51" s="1297">
        <v>5556255.1357175801</v>
      </c>
    </row>
    <row r="52" spans="1:6">
      <c r="A52" s="1296" t="s">
        <v>41</v>
      </c>
      <c r="B52" s="1296" t="s">
        <v>28</v>
      </c>
      <c r="C52" s="1297">
        <v>5</v>
      </c>
      <c r="D52" s="1297">
        <v>22932846.782069098</v>
      </c>
      <c r="E52" s="1297">
        <v>21</v>
      </c>
      <c r="F52" s="1297">
        <v>1446839.72342543</v>
      </c>
    </row>
    <row r="53" spans="1:6">
      <c r="A53" s="1296" t="s">
        <v>43</v>
      </c>
      <c r="B53" s="1296" t="s">
        <v>44</v>
      </c>
      <c r="C53" s="1297">
        <v>46</v>
      </c>
      <c r="D53" s="1297">
        <v>846391.65704484703</v>
      </c>
      <c r="E53" s="1297">
        <v>108</v>
      </c>
      <c r="F53" s="1297">
        <v>459545.887251571</v>
      </c>
    </row>
    <row r="54" spans="1:6">
      <c r="A54" s="1296" t="s">
        <v>45</v>
      </c>
      <c r="B54" s="1296" t="s">
        <v>46</v>
      </c>
      <c r="C54" s="1297">
        <v>0</v>
      </c>
      <c r="D54" s="1297">
        <v>0</v>
      </c>
      <c r="E54" s="1297">
        <v>1</v>
      </c>
      <c r="F54" s="1297">
        <v>635394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316797.78072645498</v>
      </c>
      <c r="E57" s="1297">
        <v>38</v>
      </c>
      <c r="F57" s="1297">
        <v>443205.59665913502</v>
      </c>
    </row>
    <row r="58" spans="1:6">
      <c r="A58" s="1296" t="s">
        <v>48</v>
      </c>
      <c r="B58" s="1296" t="s">
        <v>50</v>
      </c>
      <c r="C58" s="1297">
        <v>7</v>
      </c>
      <c r="D58" s="1297">
        <v>299972.22343922901</v>
      </c>
      <c r="E58" s="1297">
        <v>16</v>
      </c>
      <c r="F58" s="1297">
        <v>167998.671310114</v>
      </c>
    </row>
    <row r="59" spans="1:6">
      <c r="A59" s="1296" t="s">
        <v>48</v>
      </c>
      <c r="B59" s="1296" t="s">
        <v>51</v>
      </c>
      <c r="C59" s="1297">
        <v>17</v>
      </c>
      <c r="D59" s="1297">
        <v>17125632.0097767</v>
      </c>
      <c r="E59" s="1297">
        <v>79</v>
      </c>
      <c r="F59" s="1297">
        <v>3801722.9497688799</v>
      </c>
    </row>
    <row r="60" spans="1:6">
      <c r="A60" s="1296" t="s">
        <v>48</v>
      </c>
      <c r="B60" s="1296" t="s">
        <v>52</v>
      </c>
      <c r="C60" s="1297">
        <v>33</v>
      </c>
      <c r="D60" s="1297">
        <v>1252334.71235325</v>
      </c>
      <c r="E60" s="1297">
        <v>36</v>
      </c>
      <c r="F60" s="1297">
        <v>668481.22608293896</v>
      </c>
    </row>
    <row r="61" spans="1:6">
      <c r="A61" s="1296" t="s">
        <v>48</v>
      </c>
      <c r="B61" s="1296" t="s">
        <v>53</v>
      </c>
      <c r="C61" s="1297">
        <v>52</v>
      </c>
      <c r="D61" s="1297">
        <v>3799343.0503111202</v>
      </c>
      <c r="E61" s="1297">
        <v>136</v>
      </c>
      <c r="F61" s="1297">
        <v>1325740.7631306599</v>
      </c>
    </row>
    <row r="62" spans="1:6">
      <c r="A62" s="1296" t="s">
        <v>48</v>
      </c>
      <c r="B62" s="1296" t="s">
        <v>54</v>
      </c>
      <c r="C62" s="1297">
        <v>3</v>
      </c>
      <c r="D62" s="1297">
        <v>267531.95018773101</v>
      </c>
      <c r="E62" s="1297">
        <v>4</v>
      </c>
      <c r="F62" s="1297">
        <v>35497.620681528402</v>
      </c>
    </row>
    <row r="63" spans="1:6">
      <c r="A63" s="1296" t="s">
        <v>48</v>
      </c>
      <c r="B63" s="1296" t="s">
        <v>28</v>
      </c>
      <c r="C63" s="1297">
        <v>97</v>
      </c>
      <c r="D63" s="1297">
        <v>44458476.698959202</v>
      </c>
      <c r="E63" s="1297">
        <v>148</v>
      </c>
      <c r="F63" s="1297">
        <v>3178665.89534987</v>
      </c>
    </row>
    <row r="64" spans="1:6">
      <c r="A64" s="1296" t="s">
        <v>55</v>
      </c>
      <c r="B64" s="1296" t="s">
        <v>56</v>
      </c>
      <c r="C64" s="1297">
        <v>0</v>
      </c>
      <c r="D64" s="1297">
        <v>0</v>
      </c>
      <c r="E64" s="1297">
        <v>0</v>
      </c>
      <c r="F64" s="1297">
        <v>0</v>
      </c>
    </row>
    <row r="65" spans="1:6">
      <c r="A65" s="1296" t="s">
        <v>55</v>
      </c>
      <c r="B65" s="1296" t="s">
        <v>28</v>
      </c>
      <c r="C65" s="1297">
        <v>2</v>
      </c>
      <c r="D65" s="1297">
        <v>52156.482375373103</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13</v>
      </c>
      <c r="F68" s="1299">
        <v>145324.069568487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51209373</v>
      </c>
      <c r="E73" s="446"/>
      <c r="F73" s="327"/>
    </row>
    <row r="74" spans="1:6">
      <c r="A74" s="1296" t="s">
        <v>63</v>
      </c>
      <c r="B74" s="1296" t="s">
        <v>706</v>
      </c>
      <c r="C74" s="1309" t="s">
        <v>707</v>
      </c>
      <c r="D74" s="1297">
        <v>5897010.2836238593</v>
      </c>
      <c r="E74" s="446"/>
      <c r="F74" s="327"/>
    </row>
    <row r="75" spans="1:6">
      <c r="A75" s="1296" t="s">
        <v>64</v>
      </c>
      <c r="B75" s="1296" t="s">
        <v>704</v>
      </c>
      <c r="C75" s="1309" t="s">
        <v>708</v>
      </c>
      <c r="D75" s="1297">
        <v>18466750</v>
      </c>
      <c r="E75" s="446"/>
      <c r="F75" s="327"/>
    </row>
    <row r="76" spans="1:6">
      <c r="A76" s="1296" t="s">
        <v>64</v>
      </c>
      <c r="B76" s="1296" t="s">
        <v>706</v>
      </c>
      <c r="C76" s="1309" t="s">
        <v>709</v>
      </c>
      <c r="D76" s="1297">
        <v>1857102.2836238591</v>
      </c>
      <c r="E76" s="446"/>
      <c r="F76" s="327"/>
    </row>
    <row r="77" spans="1:6">
      <c r="A77" s="1296" t="s">
        <v>65</v>
      </c>
      <c r="B77" s="1296" t="s">
        <v>704</v>
      </c>
      <c r="C77" s="1309" t="s">
        <v>710</v>
      </c>
      <c r="D77" s="1297">
        <v>74718391</v>
      </c>
      <c r="E77" s="446"/>
      <c r="F77" s="327"/>
    </row>
    <row r="78" spans="1:6">
      <c r="A78" s="1291" t="s">
        <v>65</v>
      </c>
      <c r="B78" s="1291" t="s">
        <v>706</v>
      </c>
      <c r="C78" s="1291" t="s">
        <v>711</v>
      </c>
      <c r="D78" s="1299">
        <v>11870846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265597.43275228201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2064.7218985678273</v>
      </c>
      <c r="C91" s="327"/>
      <c r="D91" s="327"/>
      <c r="E91" s="327"/>
      <c r="F91" s="327"/>
    </row>
    <row r="92" spans="1:6">
      <c r="A92" s="1291" t="s">
        <v>68</v>
      </c>
      <c r="B92" s="1292">
        <v>5795.869866366329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1406</v>
      </c>
      <c r="C97" s="327"/>
      <c r="D97" s="327"/>
      <c r="E97" s="327"/>
      <c r="F97" s="327"/>
    </row>
    <row r="98" spans="1:6">
      <c r="A98" s="1296" t="s">
        <v>71</v>
      </c>
      <c r="B98" s="1297">
        <v>0</v>
      </c>
      <c r="C98" s="327"/>
      <c r="D98" s="327"/>
      <c r="E98" s="327"/>
      <c r="F98" s="327"/>
    </row>
    <row r="99" spans="1:6">
      <c r="A99" s="1296" t="s">
        <v>72</v>
      </c>
      <c r="B99" s="1297">
        <v>175</v>
      </c>
      <c r="C99" s="327"/>
      <c r="D99" s="327"/>
      <c r="E99" s="327"/>
      <c r="F99" s="327"/>
    </row>
    <row r="100" spans="1:6">
      <c r="A100" s="1296" t="s">
        <v>73</v>
      </c>
      <c r="B100" s="1297">
        <v>246</v>
      </c>
      <c r="C100" s="327"/>
      <c r="D100" s="327"/>
      <c r="E100" s="327"/>
      <c r="F100" s="327"/>
    </row>
    <row r="101" spans="1:6">
      <c r="A101" s="1296" t="s">
        <v>74</v>
      </c>
      <c r="B101" s="1297">
        <v>105</v>
      </c>
      <c r="C101" s="327"/>
      <c r="D101" s="327"/>
      <c r="E101" s="327"/>
      <c r="F101" s="327"/>
    </row>
    <row r="102" spans="1:6">
      <c r="A102" s="1296" t="s">
        <v>75</v>
      </c>
      <c r="B102" s="1297">
        <v>75</v>
      </c>
      <c r="C102" s="327"/>
      <c r="D102" s="327"/>
      <c r="E102" s="327"/>
      <c r="F102" s="327"/>
    </row>
    <row r="103" spans="1:6">
      <c r="A103" s="1296" t="s">
        <v>76</v>
      </c>
      <c r="B103" s="1297">
        <v>138</v>
      </c>
      <c r="C103" s="327"/>
      <c r="D103" s="327"/>
      <c r="E103" s="327"/>
      <c r="F103" s="327"/>
    </row>
    <row r="104" spans="1:6">
      <c r="A104" s="1296" t="s">
        <v>77</v>
      </c>
      <c r="B104" s="1297">
        <v>1332</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8</v>
      </c>
      <c r="C123" s="1297">
        <v>3</v>
      </c>
      <c r="D123" s="327"/>
      <c r="E123" s="327"/>
      <c r="F123" s="327"/>
    </row>
    <row r="124" spans="1:6">
      <c r="A124" s="1296" t="s">
        <v>88</v>
      </c>
      <c r="B124" s="1297">
        <v>1</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85</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243028.47095082758</v>
      </c>
      <c r="C3" s="43" t="s">
        <v>163</v>
      </c>
      <c r="D3" s="43"/>
      <c r="E3" s="156"/>
      <c r="F3" s="43"/>
      <c r="G3" s="43"/>
      <c r="H3" s="43"/>
      <c r="I3" s="43"/>
      <c r="J3" s="43"/>
      <c r="K3" s="96"/>
    </row>
    <row r="4" spans="1:11">
      <c r="A4" s="353" t="s">
        <v>164</v>
      </c>
      <c r="B4" s="49">
        <f>IF(ISERROR('SEAP template'!B78+'SEAP template'!C78),0,'SEAP template'!B78+'SEAP template'!C78)</f>
        <v>33519.591764934157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5864.3867647058823</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0.21464912674919948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8377.6953781512602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36655.714285714283</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0.22855086966389504</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635.39400000000001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635.39400000000001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0.21464912674919948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136.38676724168084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14132.765658393599</v>
      </c>
      <c r="C5" s="17">
        <f>IF(ISERROR('Eigen informatie GS &amp; warmtenet'!B57),0,'Eigen informatie GS &amp; warmtenet'!B57)</f>
        <v>0</v>
      </c>
      <c r="D5" s="30">
        <f>(SUM(HH_hh_gas_kWh,HH_rest_gas_kWh)/1000)*0.902</f>
        <v>34160.695004260175</v>
      </c>
      <c r="E5" s="17">
        <f>B32*B41</f>
        <v>1019.9570575567207</v>
      </c>
      <c r="F5" s="17">
        <f>B36*B45</f>
        <v>31257.066220248686</v>
      </c>
      <c r="G5" s="18"/>
      <c r="H5" s="17"/>
      <c r="I5" s="17"/>
      <c r="J5" s="17">
        <f>B35*B44+C35*C44</f>
        <v>591.94659594183679</v>
      </c>
      <c r="K5" s="17"/>
      <c r="L5" s="17"/>
      <c r="M5" s="17"/>
      <c r="N5" s="17">
        <f>B34*B43+C34*C43</f>
        <v>5986.6299927256568</v>
      </c>
      <c r="O5" s="17">
        <f>B52*B53*B54</f>
        <v>140.70000000000002</v>
      </c>
      <c r="P5" s="17">
        <f>B60*B61*B62/1000-B60*B61*B62/1000/B63</f>
        <v>247.86666666666667</v>
      </c>
    </row>
    <row r="6" spans="1:16">
      <c r="A6" s="16" t="s">
        <v>617</v>
      </c>
      <c r="B6" s="769">
        <f>kWh_PV_kleiner_dan_10kW</f>
        <v>2064.7218985678273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16197.487556961427</v>
      </c>
      <c r="C8" s="21">
        <f>C5</f>
        <v>0</v>
      </c>
      <c r="D8" s="21">
        <f>D5</f>
        <v>34160.695004260175</v>
      </c>
      <c r="E8" s="21">
        <f>E5</f>
        <v>1019.9570575567207</v>
      </c>
      <c r="F8" s="21">
        <f>F5</f>
        <v>31257.066220248686</v>
      </c>
      <c r="G8" s="21"/>
      <c r="H8" s="21"/>
      <c r="I8" s="21"/>
      <c r="J8" s="21">
        <f>J5</f>
        <v>591.94659594183679</v>
      </c>
      <c r="K8" s="21"/>
      <c r="L8" s="21">
        <f>L5</f>
        <v>0</v>
      </c>
      <c r="M8" s="21">
        <f>M5</f>
        <v>0</v>
      </c>
      <c r="N8" s="21">
        <f>N5</f>
        <v>5986.6299927256568</v>
      </c>
      <c r="O8" s="21">
        <f>O5</f>
        <v>140.70000000000002</v>
      </c>
      <c r="P8" s="21">
        <f>P5</f>
        <v>247.86666666666667</v>
      </c>
    </row>
    <row r="9" spans="1:16">
      <c r="B9" s="19"/>
      <c r="C9" s="19"/>
      <c r="D9" s="257"/>
      <c r="E9" s="19"/>
      <c r="F9" s="19"/>
      <c r="G9" s="19"/>
      <c r="H9" s="19"/>
      <c r="I9" s="19"/>
      <c r="J9" s="19"/>
      <c r="K9" s="19"/>
      <c r="L9" s="19"/>
      <c r="M9" s="19"/>
      <c r="N9" s="19"/>
      <c r="O9" s="19"/>
      <c r="P9" s="19"/>
    </row>
    <row r="10" spans="1:16">
      <c r="A10" s="24" t="s">
        <v>207</v>
      </c>
      <c r="B10" s="25">
        <f ca="1">'EF ele_warmte'!B12</f>
        <v>0.21464912674919948</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3476.7765596327945</v>
      </c>
      <c r="C12" s="23">
        <f ca="1">C10*C8</f>
        <v>0</v>
      </c>
      <c r="D12" s="23">
        <f>D8*D10</f>
        <v>6900.4603908605559</v>
      </c>
      <c r="E12" s="23">
        <f>E10*E8</f>
        <v>231.53025206537561</v>
      </c>
      <c r="F12" s="23">
        <f>F10*F8</f>
        <v>8345.6366808063995</v>
      </c>
      <c r="G12" s="23"/>
      <c r="H12" s="23"/>
      <c r="I12" s="23"/>
      <c r="J12" s="23">
        <f>J10*J8</f>
        <v>209.54909496341023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3731</v>
      </c>
      <c r="C26" s="36"/>
      <c r="D26" s="227"/>
    </row>
    <row r="27" spans="1:5" s="15" customFormat="1">
      <c r="A27" s="229" t="s">
        <v>722</v>
      </c>
      <c r="B27" s="37">
        <f>SUM(HH_hh_gas_aantal,HH_rest_gas_aantal)</f>
        <v>2044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1941.8</v>
      </c>
      <c r="C31" s="34" t="s">
        <v>104</v>
      </c>
      <c r="D31" s="173"/>
    </row>
    <row r="32" spans="1:5">
      <c r="A32" s="170" t="s">
        <v>72</v>
      </c>
      <c r="B32" s="33">
        <f>IF((B21*($B$26-($B$27-0.05*$B$27)-$B$60))&lt;0,0,B21*($B$26-($B$27-0.05*$B$27)-$B$60))</f>
        <v>44.478822524945365</v>
      </c>
      <c r="C32" s="34" t="s">
        <v>104</v>
      </c>
      <c r="D32" s="173"/>
    </row>
    <row r="33" spans="1:6">
      <c r="A33" s="170" t="s">
        <v>73</v>
      </c>
      <c r="B33" s="33">
        <f>IF((B22*($B$26-($B$27-0.05*$B$27)-$B$60))&lt;0,0,B22*($B$26-($B$27-0.05*$B$27)-$B$60))</f>
        <v>299.3946421131277</v>
      </c>
      <c r="C33" s="34" t="s">
        <v>104</v>
      </c>
      <c r="D33" s="173"/>
    </row>
    <row r="34" spans="1:6">
      <c r="A34" s="170" t="s">
        <v>74</v>
      </c>
      <c r="B34" s="33">
        <f>IF((B24*($B$26-($B$27-0.05*$B$27)-$B$60))&lt;0,0,B24*($B$26-($B$27-0.05*$B$27)-$B$60))</f>
        <v>75.960478854115735</v>
      </c>
      <c r="C34" s="33">
        <f>B26*C24</f>
        <v>763.21361232297397</v>
      </c>
      <c r="D34" s="232"/>
    </row>
    <row r="35" spans="1:6">
      <c r="A35" s="170" t="s">
        <v>76</v>
      </c>
      <c r="B35" s="33">
        <f>IF((B19*($B$26-($B$27-0.05*$B$27)-$B$60))&lt;0,0,B19*($B$26-($B$27-0.05*$B$27)-$B$60))</f>
        <v>28.229409069587241</v>
      </c>
      <c r="C35" s="33">
        <f>B35/2</f>
        <v>14.114704534793621</v>
      </c>
      <c r="D35" s="232"/>
    </row>
    <row r="36" spans="1:6">
      <c r="A36" s="170" t="s">
        <v>77</v>
      </c>
      <c r="B36" s="33">
        <f>IF((B18*($B$26-($B$27-0.05*$B$27)-$B$60))&lt;0,0,B18*($B$26-($B$27-0.05*$B$27)-$B$60))</f>
        <v>1328.1366474382241</v>
      </c>
      <c r="C36" s="34" t="s">
        <v>104</v>
      </c>
      <c r="D36" s="173"/>
    </row>
    <row r="37" spans="1:6">
      <c r="A37" s="170" t="s">
        <v>78</v>
      </c>
      <c r="B37" s="33">
        <f>B60</f>
        <v>13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9621.3127229831262</v>
      </c>
      <c r="C5" s="17">
        <f>IF(ISERROR('Eigen informatie GS &amp; warmtenet'!B58),0,'Eigen informatie GS &amp; warmtenet'!B58)</f>
        <v>0</v>
      </c>
      <c r="D5" s="30">
        <f>SUM(D6:D12)</f>
        <v>60903.119760029833</v>
      </c>
      <c r="E5" s="17">
        <f>SUM(E6:E12)</f>
        <v>138.40850240770072</v>
      </c>
      <c r="F5" s="17">
        <f>SUM(F6:F12)</f>
        <v>1856.5474774265822</v>
      </c>
      <c r="G5" s="18"/>
      <c r="H5" s="17"/>
      <c r="I5" s="17"/>
      <c r="J5" s="17">
        <f>SUM(J6:J12)</f>
        <v>0</v>
      </c>
      <c r="K5" s="17"/>
      <c r="L5" s="17"/>
      <c r="M5" s="17"/>
      <c r="N5" s="17">
        <f>SUM(N6:N12)</f>
        <v>574.85865382399288</v>
      </c>
      <c r="O5" s="17">
        <f>B38*B39*B40</f>
        <v>0</v>
      </c>
      <c r="P5" s="17">
        <f>B46*B47*B48/1000-B46*B47*B48/1000/B49</f>
        <v>38.133333333333333</v>
      </c>
      <c r="R5" s="32"/>
    </row>
    <row r="6" spans="1:18">
      <c r="A6" s="32" t="s">
        <v>53</v>
      </c>
      <c r="B6" s="37">
        <f>B26</f>
        <v>1325.7407631306598</v>
      </c>
      <c r="C6" s="33"/>
      <c r="D6" s="37">
        <f>IF(ISERROR(TER_kantoor_gas_kWh/1000),0,TER_kantoor_gas_kWh/1000)*0.902</f>
        <v>3427.0074313806308</v>
      </c>
      <c r="E6" s="33">
        <f>$C$26*'E Balans VL '!I12/100/3.6*1000000</f>
        <v>5.1507835404356932</v>
      </c>
      <c r="F6" s="33">
        <f>$C$26*('E Balans VL '!L12+'E Balans VL '!N12)/100/3.6*1000000</f>
        <v>201.63310679299695</v>
      </c>
      <c r="G6" s="34"/>
      <c r="H6" s="33"/>
      <c r="I6" s="33"/>
      <c r="J6" s="33">
        <f>$C$26*('E Balans VL '!D12+'E Balans VL '!E12)/100/3.6*1000000</f>
        <v>0</v>
      </c>
      <c r="K6" s="33"/>
      <c r="L6" s="33"/>
      <c r="M6" s="33"/>
      <c r="N6" s="33">
        <f>$C$26*'E Balans VL '!Y12/100/3.6*1000000</f>
        <v>0.73064198031716965</v>
      </c>
      <c r="O6" s="33"/>
      <c r="P6" s="33"/>
      <c r="R6" s="32"/>
    </row>
    <row r="7" spans="1:18">
      <c r="A7" s="32" t="s">
        <v>52</v>
      </c>
      <c r="B7" s="37">
        <f t="shared" ref="B7:B12" si="0">B27</f>
        <v>668.48122608293897</v>
      </c>
      <c r="C7" s="33"/>
      <c r="D7" s="37">
        <f>IF(ISERROR(TER_horeca_gas_kWh/1000),0,TER_horeca_gas_kWh/1000)*0.902</f>
        <v>1129.6059105426316</v>
      </c>
      <c r="E7" s="33">
        <f>$C$27*'E Balans VL '!I9/100/3.6*1000000</f>
        <v>37.655726187520649</v>
      </c>
      <c r="F7" s="33">
        <f>$C$27*('E Balans VL '!L9+'E Balans VL '!N9)/100/3.6*1000000</f>
        <v>192.74996444830569</v>
      </c>
      <c r="G7" s="34"/>
      <c r="H7" s="33"/>
      <c r="I7" s="33"/>
      <c r="J7" s="33">
        <f>$C$27*('E Balans VL '!D9+'E Balans VL '!E9)/100/3.6*1000000</f>
        <v>0</v>
      </c>
      <c r="K7" s="33"/>
      <c r="L7" s="33"/>
      <c r="M7" s="33"/>
      <c r="N7" s="33">
        <f>$C$27*'E Balans VL '!Y9/100/3.6*1000000</f>
        <v>0.18456419276621372</v>
      </c>
      <c r="O7" s="33"/>
      <c r="P7" s="33"/>
      <c r="R7" s="32"/>
    </row>
    <row r="8" spans="1:18">
      <c r="A8" s="6" t="s">
        <v>51</v>
      </c>
      <c r="B8" s="37">
        <f t="shared" si="0"/>
        <v>3801.72294976888</v>
      </c>
      <c r="C8" s="33"/>
      <c r="D8" s="37">
        <f>IF(ISERROR(TER_handel_gas_kWh/1000),0,TER_handel_gas_kWh/1000)*0.902</f>
        <v>15447.320072818586</v>
      </c>
      <c r="E8" s="33">
        <f>$C$28*'E Balans VL '!I13/100/3.6*1000000</f>
        <v>54.795725669104549</v>
      </c>
      <c r="F8" s="33">
        <f>$C$28*('E Balans VL '!L13+'E Balans VL '!N13)/100/3.6*1000000</f>
        <v>660.44781252803671</v>
      </c>
      <c r="G8" s="34"/>
      <c r="H8" s="33"/>
      <c r="I8" s="33"/>
      <c r="J8" s="33">
        <f>$C$28*('E Balans VL '!D13+'E Balans VL '!E13)/100/3.6*1000000</f>
        <v>0</v>
      </c>
      <c r="K8" s="33"/>
      <c r="L8" s="33"/>
      <c r="M8" s="33"/>
      <c r="N8" s="33">
        <f>$C$28*'E Balans VL '!Y13/100/3.6*1000000</f>
        <v>11.39038517402466</v>
      </c>
      <c r="O8" s="33"/>
      <c r="P8" s="33"/>
      <c r="R8" s="32"/>
    </row>
    <row r="9" spans="1:18">
      <c r="A9" s="32" t="s">
        <v>50</v>
      </c>
      <c r="B9" s="37">
        <f t="shared" si="0"/>
        <v>167.99867131011399</v>
      </c>
      <c r="C9" s="33"/>
      <c r="D9" s="37">
        <f>IF(ISERROR(TER_gezond_gas_kWh/1000),0,TER_gezond_gas_kWh/1000)*0.902</f>
        <v>270.57494554218459</v>
      </c>
      <c r="E9" s="33">
        <f>$C$29*'E Balans VL '!I10/100/3.6*1000000</f>
        <v>0.17946612461571521</v>
      </c>
      <c r="F9" s="33">
        <f>$C$29*('E Balans VL '!L10+'E Balans VL '!N10)/100/3.6*1000000</f>
        <v>27.405688961892242</v>
      </c>
      <c r="G9" s="34"/>
      <c r="H9" s="33"/>
      <c r="I9" s="33"/>
      <c r="J9" s="33">
        <f>$C$29*('E Balans VL '!D10+'E Balans VL '!E10)/100/3.6*1000000</f>
        <v>0</v>
      </c>
      <c r="K9" s="33"/>
      <c r="L9" s="33"/>
      <c r="M9" s="33"/>
      <c r="N9" s="33">
        <f>$C$29*'E Balans VL '!Y10/100/3.6*1000000</f>
        <v>1.7294504630081731</v>
      </c>
      <c r="O9" s="33"/>
      <c r="P9" s="33"/>
      <c r="R9" s="32"/>
    </row>
    <row r="10" spans="1:18">
      <c r="A10" s="32" t="s">
        <v>49</v>
      </c>
      <c r="B10" s="37">
        <f t="shared" si="0"/>
        <v>443.20559665913504</v>
      </c>
      <c r="C10" s="33"/>
      <c r="D10" s="37">
        <f>IF(ISERROR(TER_ander_gas_kWh/1000),0,TER_ander_gas_kWh/1000)*0.902</f>
        <v>285.75159821526239</v>
      </c>
      <c r="E10" s="33">
        <f>$C$30*'E Balans VL '!I14/100/3.6*1000000</f>
        <v>2.0382351224595325</v>
      </c>
      <c r="F10" s="33">
        <f>$C$30*('E Balans VL '!L14+'E Balans VL '!N14)/100/3.6*1000000</f>
        <v>132.84269727975649</v>
      </c>
      <c r="G10" s="34"/>
      <c r="H10" s="33"/>
      <c r="I10" s="33"/>
      <c r="J10" s="33">
        <f>$C$30*('E Balans VL '!D14+'E Balans VL '!E14)/100/3.6*1000000</f>
        <v>0</v>
      </c>
      <c r="K10" s="33"/>
      <c r="L10" s="33"/>
      <c r="M10" s="33"/>
      <c r="N10" s="33">
        <f>$C$30*'E Balans VL '!Y14/100/3.6*1000000</f>
        <v>308.50035161687919</v>
      </c>
      <c r="O10" s="33"/>
      <c r="P10" s="33"/>
      <c r="R10" s="32"/>
    </row>
    <row r="11" spans="1:18">
      <c r="A11" s="32" t="s">
        <v>54</v>
      </c>
      <c r="B11" s="37">
        <f t="shared" si="0"/>
        <v>35.497620681528403</v>
      </c>
      <c r="C11" s="33"/>
      <c r="D11" s="37">
        <f>IF(ISERROR(TER_onderwijs_gas_kWh/1000),0,TER_onderwijs_gas_kWh/1000)*0.902</f>
        <v>241.31381906933339</v>
      </c>
      <c r="E11" s="33">
        <f>$C$31*'E Balans VL '!I11/100/3.6*1000000</f>
        <v>3.2928711430843256E-2</v>
      </c>
      <c r="F11" s="33">
        <f>$C$31*('E Balans VL '!L11+'E Balans VL '!N11)/100/3.6*1000000</f>
        <v>12.469498291266381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3178.66589534987</v>
      </c>
      <c r="C12" s="33"/>
      <c r="D12" s="37">
        <f>IF(ISERROR(TER_rest_gas_kWh/1000),0,TER_rest_gas_kWh/1000)*0.902</f>
        <v>40101.545982461204</v>
      </c>
      <c r="E12" s="33">
        <f>$C$32*'E Balans VL '!I8/100/3.6*1000000</f>
        <v>38.555637052133754</v>
      </c>
      <c r="F12" s="33">
        <f>$C$32*('E Balans VL '!L8+'E Balans VL '!N8)/100/3.6*1000000</f>
        <v>628.99870912432755</v>
      </c>
      <c r="G12" s="34"/>
      <c r="H12" s="33"/>
      <c r="I12" s="33"/>
      <c r="J12" s="33">
        <f>$C$32*('E Balans VL '!D8+'E Balans VL '!E8)/100/3.6*1000000</f>
        <v>0</v>
      </c>
      <c r="K12" s="33"/>
      <c r="L12" s="33"/>
      <c r="M12" s="33"/>
      <c r="N12" s="33">
        <f>$C$32*'E Balans VL '!Y8/100/3.6*1000000</f>
        <v>252.32326039699751</v>
      </c>
      <c r="O12" s="33"/>
      <c r="P12" s="33"/>
      <c r="R12" s="32"/>
    </row>
    <row r="13" spans="1:18">
      <c r="A13" s="16" t="s">
        <v>484</v>
      </c>
      <c r="B13" s="245">
        <f ca="1">'lokale energieproductie'!N41+'lokale energieproductie'!N34</f>
        <v>0</v>
      </c>
      <c r="C13" s="245">
        <f ca="1">'lokale energieproductie'!O41+'lokale energieproductie'!O34</f>
        <v>0</v>
      </c>
      <c r="D13" s="305">
        <f ca="1">('lokale energieproductie'!P34+'lokale energieproductie'!P41)*(-1)</f>
        <v>0</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9621.3127229831262</v>
      </c>
      <c r="C16" s="21">
        <f t="shared" ca="1" si="1"/>
        <v>0</v>
      </c>
      <c r="D16" s="21">
        <f t="shared" ca="1" si="1"/>
        <v>60903.119760029833</v>
      </c>
      <c r="E16" s="21">
        <f t="shared" si="1"/>
        <v>138.40850240770072</v>
      </c>
      <c r="F16" s="21">
        <f t="shared" ca="1" si="1"/>
        <v>1856.5474774265822</v>
      </c>
      <c r="G16" s="21">
        <f t="shared" si="1"/>
        <v>0</v>
      </c>
      <c r="H16" s="21">
        <f t="shared" si="1"/>
        <v>0</v>
      </c>
      <c r="I16" s="21">
        <f t="shared" si="1"/>
        <v>0</v>
      </c>
      <c r="J16" s="21">
        <f t="shared" si="1"/>
        <v>0</v>
      </c>
      <c r="K16" s="21">
        <f t="shared" si="1"/>
        <v>0</v>
      </c>
      <c r="L16" s="21">
        <f t="shared" ca="1" si="1"/>
        <v>0</v>
      </c>
      <c r="M16" s="21">
        <f t="shared" si="1"/>
        <v>0</v>
      </c>
      <c r="N16" s="21">
        <f t="shared" ca="1" si="1"/>
        <v>574.85865382399288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0.21464912674919948</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2065.2063741692905</v>
      </c>
      <c r="C20" s="23">
        <f t="shared" ref="C20:P20" ca="1" si="2">C16*C18</f>
        <v>0</v>
      </c>
      <c r="D20" s="23">
        <f t="shared" ca="1" si="2"/>
        <v>12302.430191526028</v>
      </c>
      <c r="E20" s="23">
        <f t="shared" si="2"/>
        <v>31.418730046548067</v>
      </c>
      <c r="F20" s="23">
        <f t="shared" ca="1" si="2"/>
        <v>495.6981764728975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1325.7407631306598</v>
      </c>
      <c r="C26" s="39">
        <f>IF(ISERROR(B26*3.6/1000000/'E Balans VL '!Z12*100),0,B26*3.6/1000000/'E Balans VL '!Z12*100)</f>
        <v>2.8159390495501181E-2</v>
      </c>
      <c r="D26" s="235" t="s">
        <v>672</v>
      </c>
      <c r="F26" s="6"/>
    </row>
    <row r="27" spans="1:18">
      <c r="A27" s="230" t="s">
        <v>52</v>
      </c>
      <c r="B27" s="33">
        <f>IF(ISERROR(TER_horeca_ele_kWh/1000),0,TER_horeca_ele_kWh/1000)</f>
        <v>668.48122608293897</v>
      </c>
      <c r="C27" s="39">
        <f>IF(ISERROR(B27*3.6/1000000/'E Balans VL '!Z9*100),0,B27*3.6/1000000/'E Balans VL '!Z9*100)</f>
        <v>5.1978486430954603E-2</v>
      </c>
      <c r="D27" s="235" t="s">
        <v>672</v>
      </c>
      <c r="F27" s="6"/>
    </row>
    <row r="28" spans="1:18">
      <c r="A28" s="170" t="s">
        <v>51</v>
      </c>
      <c r="B28" s="33">
        <f>IF(ISERROR(TER_handel_ele_kWh/1000),0,TER_handel_ele_kWh/1000)</f>
        <v>3801.72294976888</v>
      </c>
      <c r="C28" s="39">
        <f>IF(ISERROR(B28*3.6/1000000/'E Balans VL '!Z13*100),0,B28*3.6/1000000/'E Balans VL '!Z13*100)</f>
        <v>0.10877176777322456</v>
      </c>
      <c r="D28" s="235" t="s">
        <v>672</v>
      </c>
      <c r="F28" s="6"/>
    </row>
    <row r="29" spans="1:18">
      <c r="A29" s="230" t="s">
        <v>50</v>
      </c>
      <c r="B29" s="33">
        <f>IF(ISERROR(TER_gezond_ele_kWh/1000),0,TER_gezond_ele_kWh/1000)</f>
        <v>167.99867131011399</v>
      </c>
      <c r="C29" s="39">
        <f>IF(ISERROR(B29*3.6/1000000/'E Balans VL '!Z10*100),0,B29*3.6/1000000/'E Balans VL '!Z10*100)</f>
        <v>1.83157589937313E-2</v>
      </c>
      <c r="D29" s="235" t="s">
        <v>672</v>
      </c>
      <c r="F29" s="6"/>
    </row>
    <row r="30" spans="1:18">
      <c r="A30" s="230" t="s">
        <v>49</v>
      </c>
      <c r="B30" s="33">
        <f>IF(ISERROR(TER_ander_ele_kWh/1000),0,TER_ander_ele_kWh/1000)</f>
        <v>443.20559665913504</v>
      </c>
      <c r="C30" s="39">
        <f>IF(ISERROR(B30*3.6/1000000/'E Balans VL '!Z14*100),0,B30*3.6/1000000/'E Balans VL '!Z14*100)</f>
        <v>3.2432780175452654E-2</v>
      </c>
      <c r="D30" s="235" t="s">
        <v>672</v>
      </c>
      <c r="F30" s="6"/>
    </row>
    <row r="31" spans="1:18">
      <c r="A31" s="230" t="s">
        <v>54</v>
      </c>
      <c r="B31" s="33">
        <f>IF(ISERROR(TER_onderwijs_ele_kWh/1000),0,TER_onderwijs_ele_kWh/1000)</f>
        <v>35.497620681528403</v>
      </c>
      <c r="C31" s="39">
        <f>IF(ISERROR(B31*3.6/1000000/'E Balans VL '!Z11*100),0,B31*3.6/1000000/'E Balans VL '!Z11*100)</f>
        <v>7.129723473691227E-3</v>
      </c>
      <c r="D31" s="235" t="s">
        <v>672</v>
      </c>
    </row>
    <row r="32" spans="1:18">
      <c r="A32" s="230" t="s">
        <v>249</v>
      </c>
      <c r="B32" s="33">
        <f>IF(ISERROR(TER_rest_ele_kWh/1000),0,TER_rest_ele_kWh/1000)</f>
        <v>3178.66589534987</v>
      </c>
      <c r="C32" s="39">
        <f>IF(ISERROR(B32*3.6/1000000/'E Balans VL '!Z8*100),0,B32*3.6/1000000/'E Balans VL '!Z8*100)</f>
        <v>2.5904198012782233E-2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207785.97734836541</v>
      </c>
      <c r="C5" s="17">
        <f>IF(ISERROR('Eigen informatie GS &amp; warmtenet'!B59),0,'Eigen informatie GS &amp; warmtenet'!B59)</f>
        <v>0</v>
      </c>
      <c r="D5" s="30">
        <f>SUM(D6:D15)</f>
        <v>100839.76867212172</v>
      </c>
      <c r="E5" s="17">
        <f>SUM(E6:E15)</f>
        <v>15179.469042808461</v>
      </c>
      <c r="F5" s="17">
        <f>SUM(F6:F15)</f>
        <v>205912.78869162878</v>
      </c>
      <c r="G5" s="18"/>
      <c r="H5" s="17"/>
      <c r="I5" s="17"/>
      <c r="J5" s="17">
        <f>SUM(J6:J15)</f>
        <v>209.49938533407641</v>
      </c>
      <c r="K5" s="17"/>
      <c r="L5" s="17"/>
      <c r="M5" s="17"/>
      <c r="N5" s="17">
        <f>SUM(N6:N15)</f>
        <v>40457.745279147341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445.06379200434299</v>
      </c>
      <c r="C8" s="33"/>
      <c r="D8" s="37">
        <f>IF( ISERROR(IND_metaal_Gas_kWH/1000),0,IND_metaal_Gas_kWH/1000)*0.902</f>
        <v>85.344241636257422</v>
      </c>
      <c r="E8" s="33">
        <f>C30*'E Balans VL '!I18/100/3.6*1000000</f>
        <v>12.783902670897467</v>
      </c>
      <c r="F8" s="33">
        <f>C30*'E Balans VL '!L18/100/3.6*1000000+C30*'E Balans VL '!N18/100/3.6*1000000</f>
        <v>114.1503028422529</v>
      </c>
      <c r="G8" s="34"/>
      <c r="H8" s="33"/>
      <c r="I8" s="33"/>
      <c r="J8" s="40">
        <f>C30*'E Balans VL '!D18/100/3.6*1000000+C30*'E Balans VL '!E18/100/3.6*1000000</f>
        <v>0</v>
      </c>
      <c r="K8" s="33"/>
      <c r="L8" s="33"/>
      <c r="M8" s="33"/>
      <c r="N8" s="33">
        <f>C30*'E Balans VL '!Y18/100/3.6*1000000</f>
        <v>12.084390456832161</v>
      </c>
      <c r="O8" s="33"/>
      <c r="P8" s="33"/>
      <c r="R8" s="32"/>
    </row>
    <row r="9" spans="1:18">
      <c r="A9" s="6" t="s">
        <v>32</v>
      </c>
      <c r="B9" s="37">
        <f t="shared" si="0"/>
        <v>1929.31821753755</v>
      </c>
      <c r="C9" s="33"/>
      <c r="D9" s="37">
        <f>IF( ISERROR(IND_andere_gas_kWh/1000),0,IND_andere_gas_kWh/1000)*0.902</f>
        <v>1074.0892092556578</v>
      </c>
      <c r="E9" s="33">
        <f>C31*'E Balans VL '!I19/100/3.6*1000000</f>
        <v>522.21900526236743</v>
      </c>
      <c r="F9" s="33">
        <f>C31*'E Balans VL '!L19/100/3.6*1000000+C31*'E Balans VL '!N19/100/3.6*1000000</f>
        <v>1285.1300973954005</v>
      </c>
      <c r="G9" s="34"/>
      <c r="H9" s="33"/>
      <c r="I9" s="33"/>
      <c r="J9" s="40">
        <f>C31*'E Balans VL '!D19/100/3.6*1000000+C31*'E Balans VL '!E19/100/3.6*1000000</f>
        <v>0</v>
      </c>
      <c r="K9" s="33"/>
      <c r="L9" s="33"/>
      <c r="M9" s="33"/>
      <c r="N9" s="33">
        <f>C31*'E Balans VL '!Y19/100/3.6*1000000</f>
        <v>163.11107501903638</v>
      </c>
      <c r="O9" s="33"/>
      <c r="P9" s="33"/>
      <c r="R9" s="32"/>
    </row>
    <row r="10" spans="1:18">
      <c r="A10" s="6" t="s">
        <v>40</v>
      </c>
      <c r="B10" s="37">
        <f t="shared" si="0"/>
        <v>124386.199694621</v>
      </c>
      <c r="C10" s="33"/>
      <c r="D10" s="37">
        <f>IF( ISERROR(IND_voed_gas_kWh/1000),0,IND_voed_gas_kWh/1000)*0.902</f>
        <v>48861.884982572359</v>
      </c>
      <c r="E10" s="33">
        <f>C32*'E Balans VL '!I20/100/3.6*1000000</f>
        <v>10145.224216950966</v>
      </c>
      <c r="F10" s="33">
        <f>C32*'E Balans VL '!L20/100/3.6*1000000+C32*'E Balans VL '!N20/100/3.6*1000000</f>
        <v>185471.10904954915</v>
      </c>
      <c r="G10" s="34"/>
      <c r="H10" s="33"/>
      <c r="I10" s="33"/>
      <c r="J10" s="40">
        <f>C32*'E Balans VL '!D20/100/3.6*1000000+C32*'E Balans VL '!E20/100/3.6*1000000</f>
        <v>1.6454784373680817</v>
      </c>
      <c r="K10" s="33"/>
      <c r="L10" s="33"/>
      <c r="M10" s="33"/>
      <c r="N10" s="33">
        <f>C32*'E Balans VL '!Y20/100/3.6*1000000</f>
        <v>36540.276354561378</v>
      </c>
      <c r="O10" s="33"/>
      <c r="P10" s="33"/>
      <c r="R10" s="32"/>
    </row>
    <row r="11" spans="1:18">
      <c r="A11" s="6" t="s">
        <v>39</v>
      </c>
      <c r="B11" s="37">
        <f t="shared" si="0"/>
        <v>185.29663245134202</v>
      </c>
      <c r="C11" s="33"/>
      <c r="D11" s="37">
        <f>IF( ISERROR(IND_textiel_gas_kWh/1000),0,IND_textiel_gas_kWh/1000)*0.902</f>
        <v>61.714935432719749</v>
      </c>
      <c r="E11" s="33">
        <f>C33*'E Balans VL '!I21/100/3.6*1000000</f>
        <v>3.6729583667173007E-2</v>
      </c>
      <c r="F11" s="33">
        <f>C33*'E Balans VL '!L21/100/3.6*1000000+C33*'E Balans VL '!N21/100/3.6*1000000</f>
        <v>6.824698534283657</v>
      </c>
      <c r="G11" s="34"/>
      <c r="H11" s="33"/>
      <c r="I11" s="33"/>
      <c r="J11" s="40">
        <f>C33*'E Balans VL '!D21/100/3.6*1000000+C33*'E Balans VL '!E21/100/3.6*1000000</f>
        <v>0</v>
      </c>
      <c r="K11" s="33"/>
      <c r="L11" s="33"/>
      <c r="M11" s="33"/>
      <c r="N11" s="33">
        <f>C33*'E Balans VL '!Y21/100/3.6*1000000</f>
        <v>0.86158256427466406</v>
      </c>
      <c r="O11" s="33"/>
      <c r="P11" s="33"/>
      <c r="R11" s="32"/>
    </row>
    <row r="12" spans="1:18">
      <c r="A12" s="6" t="s">
        <v>36</v>
      </c>
      <c r="B12" s="37">
        <f t="shared" si="0"/>
        <v>223.249220051392</v>
      </c>
      <c r="C12" s="33"/>
      <c r="D12" s="37">
        <f>IF( ISERROR(IND_min_gas_kWh/1000),0,IND_min_gas_kWh/1000)*0.902</f>
        <v>0</v>
      </c>
      <c r="E12" s="33">
        <f>C34*'E Balans VL '!I22/100/3.6*1000000</f>
        <v>1.7390627802658503</v>
      </c>
      <c r="F12" s="33">
        <f>C34*'E Balans VL '!L22/100/3.6*1000000+C34*'E Balans VL '!N22/100/3.6*1000000</f>
        <v>84.195886719801308</v>
      </c>
      <c r="G12" s="34"/>
      <c r="H12" s="33"/>
      <c r="I12" s="33"/>
      <c r="J12" s="40">
        <f>C34*'E Balans VL '!D22/100/3.6*1000000+C34*'E Balans VL '!E22/100/3.6*1000000</f>
        <v>1.2278511909497993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80616.849791699802</v>
      </c>
      <c r="C15" s="33"/>
      <c r="D15" s="37">
        <f>IF( ISERROR(IND_rest_gas_kWh/1000),0,IND_rest_gas_kWh/1000)*0.902</f>
        <v>50756.735303224727</v>
      </c>
      <c r="E15" s="33">
        <f>C37*'E Balans VL '!I15/100/3.6*1000000</f>
        <v>4497.4661255602969</v>
      </c>
      <c r="F15" s="33">
        <f>C37*'E Balans VL '!L15/100/3.6*1000000+C37*'E Balans VL '!N15/100/3.6*1000000</f>
        <v>18951.37865658792</v>
      </c>
      <c r="G15" s="34"/>
      <c r="H15" s="33"/>
      <c r="I15" s="33"/>
      <c r="J15" s="40">
        <f>C37*'E Balans VL '!D15/100/3.6*1000000+C37*'E Balans VL '!E15/100/3.6*1000000</f>
        <v>206.62605570575852</v>
      </c>
      <c r="K15" s="33"/>
      <c r="L15" s="33"/>
      <c r="M15" s="33"/>
      <c r="N15" s="33">
        <f>C37*'E Balans VL '!Y15/100/3.6*1000000</f>
        <v>3741.4118765458179</v>
      </c>
      <c r="O15" s="33"/>
      <c r="P15" s="33"/>
      <c r="R15" s="32"/>
    </row>
    <row r="16" spans="1:18">
      <c r="A16" s="16" t="s">
        <v>484</v>
      </c>
      <c r="B16" s="245">
        <f>'lokale energieproductie'!N40+'lokale energieproductie'!N33</f>
        <v>1309.5</v>
      </c>
      <c r="C16" s="245">
        <f>'lokale energieproductie'!O40+'lokale energieproductie'!O33</f>
        <v>1870.7142857142858</v>
      </c>
      <c r="D16" s="305">
        <f>('lokale energieproductie'!P33+'lokale energieproductie'!P40)*(-1)</f>
        <v>-935.35714285714289</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-2806.0714285714284</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209095.47734836541</v>
      </c>
      <c r="C18" s="21">
        <f>C5+C16</f>
        <v>1870.7142857142858</v>
      </c>
      <c r="D18" s="21">
        <f>MAX((D5+D16),0)</f>
        <v>99904.411529264573</v>
      </c>
      <c r="E18" s="21">
        <f>MAX((E5+E16),0)</f>
        <v>15179.469042808461</v>
      </c>
      <c r="F18" s="21">
        <f>MAX((F5+F16),0)</f>
        <v>205912.78869162878</v>
      </c>
      <c r="G18" s="21"/>
      <c r="H18" s="21"/>
      <c r="I18" s="21"/>
      <c r="J18" s="21">
        <f>MAX((J5+J16),0)</f>
        <v>209.49938533407641</v>
      </c>
      <c r="K18" s="21"/>
      <c r="L18" s="21">
        <f>MAX((L5+L16),0)</f>
        <v>0</v>
      </c>
      <c r="M18" s="21"/>
      <c r="N18" s="21">
        <f>MAX((N5+N16),0)</f>
        <v>37651.673850575913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0.21464912674919948</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44882.161620033658</v>
      </c>
      <c r="C22" s="23">
        <f ca="1">C18*C20</f>
        <v>427.55337689267225</v>
      </c>
      <c r="D22" s="23">
        <f>D18*D20</f>
        <v>20180.691128911443</v>
      </c>
      <c r="E22" s="23">
        <f>E18*E20</f>
        <v>3445.739472717521</v>
      </c>
      <c r="F22" s="23">
        <f>F18*F20</f>
        <v>54978.714580664891</v>
      </c>
      <c r="G22" s="23"/>
      <c r="H22" s="23"/>
      <c r="I22" s="23"/>
      <c r="J22" s="23">
        <f>J18*J20</f>
        <v>74.162782408263041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445.06379200434299</v>
      </c>
      <c r="C30" s="39">
        <f>IF(ISERROR(B30*3.6/1000000/'E Balans VL '!Z18*100),0,B30*3.6/1000000/'E Balans VL '!Z18*100)</f>
        <v>4.3793141006392339E-2</v>
      </c>
      <c r="D30" s="235" t="s">
        <v>672</v>
      </c>
    </row>
    <row r="31" spans="1:18">
      <c r="A31" s="6" t="s">
        <v>32</v>
      </c>
      <c r="B31" s="37">
        <f>IF( ISERROR(IND_ander_ele_kWh/1000),0,IND_ander_ele_kWh/1000)</f>
        <v>1929.31821753755</v>
      </c>
      <c r="C31" s="39">
        <f>IF(ISERROR(B31*3.6/1000000/'E Balans VL '!Z19*100),0,B31*3.6/1000000/'E Balans VL '!Z19*100)</f>
        <v>8.4020269371778339E-2</v>
      </c>
      <c r="D31" s="235" t="s">
        <v>672</v>
      </c>
    </row>
    <row r="32" spans="1:18">
      <c r="A32" s="170" t="s">
        <v>40</v>
      </c>
      <c r="B32" s="37">
        <f>IF( ISERROR(IND_voed_ele_kWh/1000),0,IND_voed_ele_kWh/1000)</f>
        <v>124386.199694621</v>
      </c>
      <c r="C32" s="39">
        <f>IF(ISERROR(B32*3.6/1000000/'E Balans VL '!Z20*100),0,B32*3.6/1000000/'E Balans VL '!Z20*100)</f>
        <v>23.600487547907811</v>
      </c>
      <c r="D32" s="235" t="s">
        <v>672</v>
      </c>
    </row>
    <row r="33" spans="1:5">
      <c r="A33" s="170" t="s">
        <v>39</v>
      </c>
      <c r="B33" s="37">
        <f>IF( ISERROR(IND_textiel_ele_kWh/1000),0,IND_textiel_ele_kWh/1000)</f>
        <v>185.29663245134202</v>
      </c>
      <c r="C33" s="39">
        <f>IF(ISERROR(B33*3.6/1000000/'E Balans VL '!Z21*100),0,B33*3.6/1000000/'E Balans VL '!Z21*100)</f>
        <v>1.0579498026430148E-2</v>
      </c>
      <c r="D33" s="235" t="s">
        <v>672</v>
      </c>
    </row>
    <row r="34" spans="1:5">
      <c r="A34" s="170" t="s">
        <v>36</v>
      </c>
      <c r="B34" s="37">
        <f>IF( ISERROR(IND_min_ele_kWh/1000),0,IND_min_ele_kWh/1000)</f>
        <v>223.249220051392</v>
      </c>
      <c r="C34" s="39">
        <f>IF(ISERROR(B34*3.6/1000000/'E Balans VL '!Z22*100),0,B34*3.6/1000000/'E Balans VL '!Z22*100)</f>
        <v>3.1391082138017432E-2</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80616.849791699802</v>
      </c>
      <c r="C37" s="39">
        <f>IF(ISERROR(B37*3.6/1000000/'E Balans VL '!Z15*100),0,B37*3.6/1000000/'E Balans VL '!Z15*100)</f>
        <v>0.62125184554700741</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7003.0948591430106</v>
      </c>
      <c r="C5" s="17">
        <f>'Eigen informatie GS &amp; warmtenet'!B60</f>
        <v>0</v>
      </c>
      <c r="D5" s="30">
        <f>IF(ISERROR(SUM(LB_lb_gas_kWh,LB_rest_gas_kWh)/1000),0,SUM(LB_lb_gas_kWh,LB_rest_gas_kWh)/1000)*0.902</f>
        <v>21824.816186753182</v>
      </c>
      <c r="E5" s="17">
        <f>B17*'E Balans VL '!I25/3.6*1000000/100</f>
        <v>88.248017045702241</v>
      </c>
      <c r="F5" s="17">
        <f>B17*('E Balans VL '!L25/3.6*1000000+'E Balans VL '!N25/3.6*1000000)/100</f>
        <v>24162.431644134107</v>
      </c>
      <c r="G5" s="18"/>
      <c r="H5" s="17"/>
      <c r="I5" s="17"/>
      <c r="J5" s="17">
        <f>('E Balans VL '!D25+'E Balans VL '!E25)/3.6*1000000*landbouw!B17/100</f>
        <v>1053.1858584423908</v>
      </c>
      <c r="K5" s="17"/>
      <c r="L5" s="17">
        <f>L6*(-1)</f>
        <v>0</v>
      </c>
      <c r="M5" s="17"/>
      <c r="N5" s="17">
        <f>N6*(-1)</f>
        <v>0</v>
      </c>
      <c r="O5" s="17"/>
      <c r="P5" s="17"/>
      <c r="R5" s="32"/>
    </row>
    <row r="6" spans="1:18">
      <c r="A6" s="16" t="s">
        <v>484</v>
      </c>
      <c r="B6" s="17" t="s">
        <v>204</v>
      </c>
      <c r="C6" s="17">
        <f>'lokale energieproductie'!O42+'lokale energieproductie'!O35</f>
        <v>34785</v>
      </c>
      <c r="D6" s="305">
        <f>('lokale energieproductie'!P35+'lokale energieproductie'!P42)*(-1)</f>
        <v>-69570</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7003.0948591430106</v>
      </c>
      <c r="C8" s="21">
        <f>C5+C6</f>
        <v>34785</v>
      </c>
      <c r="D8" s="21">
        <f>MAX((D5+D6),0)</f>
        <v>0</v>
      </c>
      <c r="E8" s="21">
        <f>MAX((E5+E6),0)</f>
        <v>88.248017045702241</v>
      </c>
      <c r="F8" s="21">
        <f>MAX((F5+F6),0)</f>
        <v>24162.431644134107</v>
      </c>
      <c r="G8" s="21"/>
      <c r="H8" s="21"/>
      <c r="I8" s="21"/>
      <c r="J8" s="21">
        <f>MAX((J5+J6),0)</f>
        <v>1053.1858584423908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0.21464912674919948</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1503.2081960568553</v>
      </c>
      <c r="C12" s="23">
        <f ca="1">C8*C10</f>
        <v>7950.1420012585886</v>
      </c>
      <c r="D12" s="23">
        <f>D8*D10</f>
        <v>0</v>
      </c>
      <c r="E12" s="23">
        <f>E8*E10</f>
        <v>20.032299869374409</v>
      </c>
      <c r="F12" s="23">
        <f>F8*F10</f>
        <v>6451.3692489838068</v>
      </c>
      <c r="G12" s="23"/>
      <c r="H12" s="23"/>
      <c r="I12" s="23"/>
      <c r="J12" s="23">
        <f>J8*J10</f>
        <v>372.82779388860632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0.97671100811274403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364.08386668245885</v>
      </c>
      <c r="C26" s="245">
        <f>B26*'GWP N2O_CH4'!B5</f>
        <v>7645.7612003316353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495.32735900538347</v>
      </c>
      <c r="C27" s="245">
        <f>B27*'GWP N2O_CH4'!B5</f>
        <v>10401.874539113052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6.9867854179575826</v>
      </c>
      <c r="C28" s="245">
        <f>B28*'GWP N2O_CH4'!B4</f>
        <v>2165.9034795668508</v>
      </c>
      <c r="D28" s="50"/>
    </row>
    <row r="29" spans="1:4">
      <c r="A29" s="41" t="s">
        <v>266</v>
      </c>
      <c r="B29" s="245">
        <f>B34*'ha_N2O bodem landbouw'!B4</f>
        <v>13.360707981186849</v>
      </c>
      <c r="C29" s="245">
        <f>B29*'GWP N2O_CH4'!B4</f>
        <v>4141.8194741679235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3.3360352789820855E-3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4.0494270450563402E-5</v>
      </c>
      <c r="C5" s="434" t="s">
        <v>204</v>
      </c>
      <c r="D5" s="419">
        <f>SUM(D6:D11)</f>
        <v>3.6431784464248772E-5</v>
      </c>
      <c r="E5" s="419">
        <f>SUM(E6:E11)</f>
        <v>1.4399713987618805E-3</v>
      </c>
      <c r="F5" s="432" t="s">
        <v>204</v>
      </c>
      <c r="G5" s="419">
        <f>SUM(G6:G11)</f>
        <v>0.45378922607639977</v>
      </c>
      <c r="H5" s="419">
        <f>SUM(H6:H11)</f>
        <v>6.4052560185888688E-2</v>
      </c>
      <c r="I5" s="434" t="s">
        <v>204</v>
      </c>
      <c r="J5" s="434" t="s">
        <v>204</v>
      </c>
      <c r="K5" s="434" t="s">
        <v>204</v>
      </c>
      <c r="L5" s="434" t="s">
        <v>204</v>
      </c>
      <c r="M5" s="419">
        <f>SUM(M6:M11)</f>
        <v>2.3408815000126405E-2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1.3351112530138993E-5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1.1894256903777817E-5</v>
      </c>
      <c r="E6" s="873">
        <f>vkm_GW_PW*SUMIFS(TableVerdeelsleutelVkm[LPG],TableVerdeelsleutelVkm[Voertuigtype],"Lichte voertuigen")*SUMIFS(TableECFTransport[EnergieConsumptieFactor (PJ per km)],TableECFTransport[Index],CONCATENATE($A6,"_LPG_LPG"))</f>
        <v>4.2810205790306491E-4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8.3910314385866575E-2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2.0571316632817725E-2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4.7263901605440091E-3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3.5666750976820133E-7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5.5813467488113035E-2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1.2722530167472994E-6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2.5200640561429855E-3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5.206833768212709E-6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7.3138708604456157E-6</v>
      </c>
      <c r="E8" s="422">
        <f>vkm_NGW_PW*SUMIFS(TableVerdeelsleutelVkm[LPG],TableVerdeelsleutelVkm[Voertuigtype],"Lichte voertuigen")*SUMIFS(TableECFTransport[EnergieConsumptieFactor (PJ per km)],TableECFTransport[Index],CONCATENATE($A8,"_LPG_LPG"))</f>
        <v>2.5053084323595903E-4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4.6127344416544008E-2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1.2142964960791871E-2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2.6362416164666886E-3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1.1232268811271602E-7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2.257787134609307E-2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4.8360844318211192E-7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1.019424264525467E-3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2.0749352319905019E-5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1.722365670002534E-5</v>
      </c>
      <c r="E10" s="422">
        <f>vkm_SW_PW*SUMIFS(TableVerdeelsleutelVkm[LPG],TableVerdeelsleutelVkm[Voertuigtype],"Lichte voertuigen")*SUMIFS(TableECFTransport[EnergieConsumptieFactor (PJ per km)],TableECFTransport[Index],CONCATENATE($A10,"_LPG_LPG"))</f>
        <v>7.6133849762285652E-4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0.13831032343641439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3.1333886680388827E-2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7.6732178163134808E-3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7.1798163442576685E-7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0.10704990500336868</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2.6360504303470269E-6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4.8334770861337764E-3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11.248408458489834</v>
      </c>
      <c r="C14" s="21"/>
      <c r="D14" s="21">
        <f t="shared" ref="D14:M14" si="0">((D5)*10^9/3600)+D12</f>
        <v>10.119940128957991</v>
      </c>
      <c r="E14" s="21">
        <f t="shared" si="0"/>
        <v>399.99205521163344</v>
      </c>
      <c r="F14" s="21"/>
      <c r="G14" s="21">
        <f t="shared" si="0"/>
        <v>126052.56279899993</v>
      </c>
      <c r="H14" s="21">
        <f t="shared" si="0"/>
        <v>17792.377829413523</v>
      </c>
      <c r="I14" s="21"/>
      <c r="J14" s="21"/>
      <c r="K14" s="21"/>
      <c r="L14" s="21"/>
      <c r="M14" s="21">
        <f t="shared" si="0"/>
        <v>6502.4486111462238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0.21464912674919948</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2.4144610529331518</v>
      </c>
      <c r="C18" s="23"/>
      <c r="D18" s="23">
        <f t="shared" ref="D18:M18" si="1">D14*D16</f>
        <v>2.0442279060495143</v>
      </c>
      <c r="E18" s="23">
        <f t="shared" si="1"/>
        <v>90.798196533040795</v>
      </c>
      <c r="F18" s="23"/>
      <c r="G18" s="23">
        <f t="shared" si="1"/>
        <v>33656.034267332987</v>
      </c>
      <c r="H18" s="23">
        <f t="shared" si="1"/>
        <v>4430.3020795239672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1.7676603592357551E-5</v>
      </c>
      <c r="C50" s="316">
        <f t="shared" ref="C50:P50" si="2">SUM(C51:C52)</f>
        <v>0</v>
      </c>
      <c r="D50" s="316">
        <f t="shared" si="2"/>
        <v>0</v>
      </c>
      <c r="E50" s="316">
        <f t="shared" si="2"/>
        <v>0</v>
      </c>
      <c r="F50" s="316">
        <f t="shared" si="2"/>
        <v>0</v>
      </c>
      <c r="G50" s="316">
        <f t="shared" si="2"/>
        <v>3.4406507847761941E-3</v>
      </c>
      <c r="H50" s="316">
        <f t="shared" si="2"/>
        <v>0</v>
      </c>
      <c r="I50" s="316">
        <f t="shared" si="2"/>
        <v>0</v>
      </c>
      <c r="J50" s="316">
        <f t="shared" si="2"/>
        <v>0</v>
      </c>
      <c r="K50" s="316">
        <f t="shared" si="2"/>
        <v>0</v>
      </c>
      <c r="L50" s="316">
        <f t="shared" si="2"/>
        <v>0</v>
      </c>
      <c r="M50" s="316">
        <f t="shared" si="2"/>
        <v>1.5428167219613139E-4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1.7676603592357551E-5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3.4406507847761941E-3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1.5428167219613139E-4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4.9101676645437644</v>
      </c>
      <c r="C54" s="21">
        <f t="shared" ref="C54:P54" si="3">(C50)*10^9/3600</f>
        <v>0</v>
      </c>
      <c r="D54" s="21">
        <f t="shared" si="3"/>
        <v>0</v>
      </c>
      <c r="E54" s="21">
        <f t="shared" si="3"/>
        <v>0</v>
      </c>
      <c r="F54" s="21">
        <f t="shared" si="3"/>
        <v>0</v>
      </c>
      <c r="G54" s="21">
        <f t="shared" si="3"/>
        <v>955.7363291044984</v>
      </c>
      <c r="H54" s="21">
        <f t="shared" si="3"/>
        <v>0</v>
      </c>
      <c r="I54" s="21">
        <f t="shared" si="3"/>
        <v>0</v>
      </c>
      <c r="J54" s="21">
        <f t="shared" si="3"/>
        <v>0</v>
      </c>
      <c r="K54" s="21">
        <f t="shared" si="3"/>
        <v>0</v>
      </c>
      <c r="L54" s="21">
        <f t="shared" si="3"/>
        <v>0</v>
      </c>
      <c r="M54" s="21">
        <f t="shared" si="3"/>
        <v>42.856020054480943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0.21464912674919948</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1.0539632013864753</v>
      </c>
      <c r="C58" s="23">
        <f t="shared" ref="C58:P58" ca="1" si="4">C54*C56</f>
        <v>0</v>
      </c>
      <c r="D58" s="23">
        <f t="shared" si="4"/>
        <v>0</v>
      </c>
      <c r="E58" s="23">
        <f t="shared" si="4"/>
        <v>0</v>
      </c>
      <c r="F58" s="23">
        <f t="shared" si="4"/>
        <v>0</v>
      </c>
      <c r="G58" s="23">
        <f t="shared" si="4"/>
        <v>255.1815998709011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7860.5917649341563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25659</v>
      </c>
      <c r="C8" s="546">
        <f>B51</f>
        <v>29031.617647058822</v>
      </c>
      <c r="D8" s="1001"/>
      <c r="E8" s="1001">
        <f>E51</f>
        <v>0</v>
      </c>
      <c r="F8" s="1002"/>
      <c r="G8" s="547"/>
      <c r="H8" s="1001">
        <f>I51</f>
        <v>0</v>
      </c>
      <c r="I8" s="1001">
        <f>G51+F51</f>
        <v>0</v>
      </c>
      <c r="J8" s="1001">
        <f>H51+D51+C51</f>
        <v>1155.4411764705881</v>
      </c>
      <c r="K8" s="1001"/>
      <c r="L8" s="1001"/>
      <c r="M8" s="1001"/>
      <c r="N8" s="548"/>
      <c r="O8" s="549">
        <f>C8*$C$12+D8*$D$12+E8*$E$12+F8*$F$12+G8*$G$12+H8*$H$12+I8*$I$12+J8*$J$12</f>
        <v>5864.3867647058823</v>
      </c>
      <c r="P8" s="1244"/>
      <c r="Q8" s="1245"/>
      <c r="S8" s="1013"/>
      <c r="T8" s="1265"/>
      <c r="U8" s="1265"/>
    </row>
    <row r="9" spans="1:21" s="534" customFormat="1" ht="17.45" customHeight="1" thickBot="1">
      <c r="A9" s="550" t="s">
        <v>237</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33519.591764934157</v>
      </c>
      <c r="C10" s="559">
        <f t="shared" ref="C10:L10" si="0">SUM(C8:C9)</f>
        <v>29031.617647058822</v>
      </c>
      <c r="D10" s="559">
        <f t="shared" si="0"/>
        <v>0</v>
      </c>
      <c r="E10" s="559">
        <f t="shared" si="0"/>
        <v>0</v>
      </c>
      <c r="F10" s="559">
        <f t="shared" si="0"/>
        <v>0</v>
      </c>
      <c r="G10" s="559">
        <f t="shared" si="0"/>
        <v>0</v>
      </c>
      <c r="H10" s="559">
        <f t="shared" si="0"/>
        <v>0</v>
      </c>
      <c r="I10" s="559">
        <f t="shared" si="0"/>
        <v>0</v>
      </c>
      <c r="J10" s="559">
        <f t="shared" si="0"/>
        <v>1155.4411764705881</v>
      </c>
      <c r="K10" s="559">
        <f t="shared" si="0"/>
        <v>0</v>
      </c>
      <c r="L10" s="559">
        <f t="shared" si="0"/>
        <v>0</v>
      </c>
      <c r="M10" s="1004"/>
      <c r="N10" s="1004"/>
      <c r="O10" s="560">
        <f>SUM(O4:O9)</f>
        <v>5864.3867647058823</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36655.71428571429</v>
      </c>
      <c r="C17" s="571">
        <f>B52</f>
        <v>41473.73949579832</v>
      </c>
      <c r="D17" s="572"/>
      <c r="E17" s="572">
        <f>E52</f>
        <v>0</v>
      </c>
      <c r="F17" s="1007"/>
      <c r="G17" s="573"/>
      <c r="H17" s="571">
        <f>I52</f>
        <v>0</v>
      </c>
      <c r="I17" s="572">
        <f>G52+F52</f>
        <v>0</v>
      </c>
      <c r="J17" s="572">
        <f>H52+D52+C52</f>
        <v>1650.6302521008404</v>
      </c>
      <c r="K17" s="572"/>
      <c r="L17" s="572"/>
      <c r="M17" s="572"/>
      <c r="N17" s="1008"/>
      <c r="O17" s="574">
        <f>C17*$C$22+E17*$E$22+H17*$H$22+I17*$I$22+J17*$J$22+D17*$D$22+F17*$F$22+G17*$G$22+K17*$K$22+L17*$L$22</f>
        <v>8377.6953781512602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36655.71428571429</v>
      </c>
      <c r="C20" s="558">
        <f>SUM(C17:C19)</f>
        <v>41473.73949579832</v>
      </c>
      <c r="D20" s="558">
        <f t="shared" ref="D20:L20" si="1">SUM(D17:D19)</f>
        <v>0</v>
      </c>
      <c r="E20" s="558">
        <f t="shared" si="1"/>
        <v>0</v>
      </c>
      <c r="F20" s="558">
        <f t="shared" si="1"/>
        <v>0</v>
      </c>
      <c r="G20" s="558">
        <f t="shared" si="1"/>
        <v>0</v>
      </c>
      <c r="H20" s="558">
        <f t="shared" si="1"/>
        <v>0</v>
      </c>
      <c r="I20" s="558">
        <f t="shared" si="1"/>
        <v>0</v>
      </c>
      <c r="J20" s="558">
        <f t="shared" si="1"/>
        <v>1650.6302521008404</v>
      </c>
      <c r="K20" s="558">
        <f t="shared" si="1"/>
        <v>0</v>
      </c>
      <c r="L20" s="558">
        <f t="shared" si="1"/>
        <v>0</v>
      </c>
      <c r="M20" s="558"/>
      <c r="N20" s="558"/>
      <c r="O20" s="578">
        <f>SUM(O17:O19)</f>
        <v>8377.6953781512602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37020</v>
      </c>
      <c r="C28" s="777">
        <v>8851</v>
      </c>
      <c r="D28" s="630"/>
      <c r="E28" s="629"/>
      <c r="F28" s="629"/>
      <c r="G28" s="629" t="s">
        <v>926</v>
      </c>
      <c r="H28" s="629" t="s">
        <v>927</v>
      </c>
      <c r="I28" s="629"/>
      <c r="J28" s="776"/>
      <c r="K28" s="776"/>
      <c r="L28" s="629" t="s">
        <v>928</v>
      </c>
      <c r="M28" s="629">
        <v>291</v>
      </c>
      <c r="N28" s="629">
        <v>1309.5</v>
      </c>
      <c r="O28" s="629">
        <v>1870.7142857142858</v>
      </c>
      <c r="P28" s="629">
        <v>935.35714285714289</v>
      </c>
      <c r="Q28" s="629">
        <v>2806.0714285714284</v>
      </c>
      <c r="R28" s="629">
        <v>0</v>
      </c>
      <c r="S28" s="629">
        <v>0</v>
      </c>
      <c r="T28" s="629">
        <v>0</v>
      </c>
      <c r="U28" s="629">
        <v>0</v>
      </c>
      <c r="V28" s="629">
        <v>0</v>
      </c>
      <c r="W28" s="629">
        <v>0</v>
      </c>
      <c r="X28" s="629">
        <v>500</v>
      </c>
      <c r="Y28" s="629" t="s">
        <v>40</v>
      </c>
      <c r="Z28" s="631" t="s">
        <v>377</v>
      </c>
    </row>
    <row r="29" spans="1:26" s="583" customFormat="1" ht="25.5" hidden="1">
      <c r="A29" s="582"/>
      <c r="B29" s="777">
        <v>37020</v>
      </c>
      <c r="C29" s="777">
        <v>8850</v>
      </c>
      <c r="D29" s="630"/>
      <c r="E29" s="629"/>
      <c r="F29" s="629"/>
      <c r="G29" s="629" t="s">
        <v>926</v>
      </c>
      <c r="H29" s="629" t="s">
        <v>927</v>
      </c>
      <c r="I29" s="629"/>
      <c r="J29" s="776"/>
      <c r="K29" s="776"/>
      <c r="L29" s="629" t="s">
        <v>928</v>
      </c>
      <c r="M29" s="629">
        <v>1925</v>
      </c>
      <c r="N29" s="629">
        <v>8662.5</v>
      </c>
      <c r="O29" s="629">
        <v>12375</v>
      </c>
      <c r="P29" s="629">
        <v>24750</v>
      </c>
      <c r="Q29" s="629">
        <v>0</v>
      </c>
      <c r="R29" s="629">
        <v>0</v>
      </c>
      <c r="S29" s="629">
        <v>0</v>
      </c>
      <c r="T29" s="629">
        <v>0</v>
      </c>
      <c r="U29" s="629">
        <v>0</v>
      </c>
      <c r="V29" s="629">
        <v>0</v>
      </c>
      <c r="W29" s="629">
        <v>0</v>
      </c>
      <c r="X29" s="629">
        <v>10</v>
      </c>
      <c r="Y29" s="629" t="s">
        <v>105</v>
      </c>
      <c r="Z29" s="631" t="s">
        <v>105</v>
      </c>
    </row>
    <row r="30" spans="1:26" s="583" customFormat="1" ht="25.5" hidden="1">
      <c r="A30" s="582"/>
      <c r="B30" s="777">
        <v>37020</v>
      </c>
      <c r="C30" s="777">
        <v>8850</v>
      </c>
      <c r="D30" s="630"/>
      <c r="E30" s="629"/>
      <c r="F30" s="629"/>
      <c r="G30" s="629" t="s">
        <v>926</v>
      </c>
      <c r="H30" s="629" t="s">
        <v>927</v>
      </c>
      <c r="I30" s="629"/>
      <c r="J30" s="776"/>
      <c r="K30" s="776"/>
      <c r="L30" s="629" t="s">
        <v>928</v>
      </c>
      <c r="M30" s="629">
        <v>2000</v>
      </c>
      <c r="N30" s="629">
        <v>9000</v>
      </c>
      <c r="O30" s="629">
        <v>12857.142857142857</v>
      </c>
      <c r="P30" s="629">
        <v>25714.285714285717</v>
      </c>
      <c r="Q30" s="629">
        <v>0</v>
      </c>
      <c r="R30" s="629">
        <v>0</v>
      </c>
      <c r="S30" s="629">
        <v>0</v>
      </c>
      <c r="T30" s="629">
        <v>0</v>
      </c>
      <c r="U30" s="629">
        <v>0</v>
      </c>
      <c r="V30" s="629">
        <v>0</v>
      </c>
      <c r="W30" s="629">
        <v>0</v>
      </c>
      <c r="X30" s="629">
        <v>10</v>
      </c>
      <c r="Y30" s="629" t="s">
        <v>105</v>
      </c>
      <c r="Z30" s="631" t="s">
        <v>105</v>
      </c>
    </row>
    <row r="31" spans="1:26" s="583" customFormat="1" ht="25.5" hidden="1">
      <c r="A31" s="582"/>
      <c r="B31" s="777">
        <v>37020</v>
      </c>
      <c r="C31" s="777">
        <v>8850</v>
      </c>
      <c r="D31" s="630"/>
      <c r="E31" s="629"/>
      <c r="F31" s="629"/>
      <c r="G31" s="629" t="s">
        <v>926</v>
      </c>
      <c r="H31" s="629" t="s">
        <v>927</v>
      </c>
      <c r="I31" s="629"/>
      <c r="J31" s="776"/>
      <c r="K31" s="776"/>
      <c r="L31" s="629" t="s">
        <v>928</v>
      </c>
      <c r="M31" s="629">
        <v>1486</v>
      </c>
      <c r="N31" s="629">
        <v>6687</v>
      </c>
      <c r="O31" s="629">
        <v>9552.8571428571431</v>
      </c>
      <c r="P31" s="629">
        <v>19105.714285714286</v>
      </c>
      <c r="Q31" s="629">
        <v>0</v>
      </c>
      <c r="R31" s="629">
        <v>0</v>
      </c>
      <c r="S31" s="629">
        <v>0</v>
      </c>
      <c r="T31" s="629">
        <v>0</v>
      </c>
      <c r="U31" s="629">
        <v>0</v>
      </c>
      <c r="V31" s="629">
        <v>0</v>
      </c>
      <c r="W31" s="629">
        <v>0</v>
      </c>
      <c r="X31" s="629">
        <v>10</v>
      </c>
      <c r="Y31" s="629" t="s">
        <v>105</v>
      </c>
      <c r="Z31" s="631" t="s">
        <v>105</v>
      </c>
    </row>
    <row r="32" spans="1:26" s="566" customFormat="1" hidden="1">
      <c r="A32" s="585" t="s">
        <v>269</v>
      </c>
      <c r="B32" s="586"/>
      <c r="C32" s="586"/>
      <c r="D32" s="586"/>
      <c r="E32" s="586"/>
      <c r="F32" s="586"/>
      <c r="G32" s="586"/>
      <c r="H32" s="586"/>
      <c r="I32" s="586"/>
      <c r="J32" s="586"/>
      <c r="K32" s="586"/>
      <c r="L32" s="587"/>
      <c r="M32" s="587">
        <f>SUM(M28:M31)</f>
        <v>5702</v>
      </c>
      <c r="N32" s="587">
        <f>SUM(N28:N31)</f>
        <v>25659</v>
      </c>
      <c r="O32" s="587">
        <f>SUM(O28:O31)</f>
        <v>36655.71428571429</v>
      </c>
      <c r="P32" s="587">
        <f>SUM(P28:P31)</f>
        <v>70505.357142857145</v>
      </c>
      <c r="Q32" s="587">
        <f>SUM(Q28:Q31)</f>
        <v>2806.0714285714284</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291</v>
      </c>
      <c r="N33" s="587">
        <f>SUMIF($Z$28:$Z$31,"industrie",N28:N31)</f>
        <v>1309.5</v>
      </c>
      <c r="O33" s="587">
        <f>SUMIF($Z$28:$Z$31,"industrie",O28:O31)</f>
        <v>1870.7142857142858</v>
      </c>
      <c r="P33" s="587">
        <f>SUMIF($Z$28:$Z$31,"industrie",P28:P31)</f>
        <v>935.35714285714289</v>
      </c>
      <c r="Q33" s="587">
        <f>SUMIF($Z$28:$Z$31,"industrie",Q28:Q31)</f>
        <v>2806.0714285714284</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0</v>
      </c>
      <c r="N34" s="587">
        <f ca="1">SUMIF($Z$28:AD31,"tertiair",N28:N31)</f>
        <v>0</v>
      </c>
      <c r="O34" s="587">
        <f ca="1">SUMIF($Z$28:AE31,"tertiair",O28:O31)</f>
        <v>0</v>
      </c>
      <c r="P34" s="587">
        <f ca="1">SUMIF($Z$28:AF31,"tertiair",P28:P31)</f>
        <v>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5411</v>
      </c>
      <c r="N35" s="592">
        <f>SUMIF($Z$28:$Z$31,"landbouw",N28:N31)</f>
        <v>24349.5</v>
      </c>
      <c r="O35" s="592">
        <f>SUMIF($Z$28:$Z$31,"landbouw",O28:O31)</f>
        <v>34785</v>
      </c>
      <c r="P35" s="592">
        <f>SUMIF($Z$28:$Z$31,"landbouw",P28:P31)</f>
        <v>69570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12.75" hidden="1">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6" customFormat="1" hidden="1">
      <c r="A39" s="585" t="s">
        <v>269</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29031.617647058822</v>
      </c>
      <c r="C51" s="621">
        <f t="shared" si="2"/>
        <v>1155.4411764705881</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41473.73949579832</v>
      </c>
      <c r="C52" s="624">
        <f t="shared" si="3"/>
        <v>1650.6302521008404</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2021-11-11T13:24:36Z</dcterms:modified>
</cp:coreProperties>
</file>