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5C6B920-EC98-4D11-BAA6-CCBF03EF580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G12" i="18"/>
  <c r="F12" i="18"/>
  <c r="E12" i="18"/>
  <c r="D12" i="18"/>
  <c r="C12" i="18"/>
  <c r="L10" i="18"/>
  <c r="K10" i="18"/>
  <c r="G10" i="18"/>
  <c r="D10" i="18"/>
  <c r="B6" i="18"/>
  <c r="B5" i="18"/>
  <c r="B4" i="18"/>
  <c r="J9" i="18" l="1"/>
  <c r="F20" i="18"/>
  <c r="B17" i="18"/>
  <c r="B20" i="18" s="1"/>
  <c r="I50" i="18"/>
  <c r="H17" i="18" s="1"/>
  <c r="G50" i="18"/>
  <c r="F50" i="18"/>
  <c r="C50" i="18"/>
  <c r="B50" i="18"/>
  <c r="C17" i="18" s="1"/>
  <c r="C20" i="18" s="1"/>
  <c r="C46" i="18"/>
  <c r="O18" i="18"/>
  <c r="H20" i="18"/>
  <c r="G20" i="18"/>
  <c r="K20" i="18"/>
  <c r="B10" i="18"/>
  <c r="O19" i="18"/>
  <c r="O9" i="18"/>
  <c r="D50" i="18"/>
  <c r="H50" i="18"/>
  <c r="E49" i="18"/>
  <c r="E8" i="18" s="1"/>
  <c r="E10" i="18" s="1"/>
  <c r="E50" i="18"/>
  <c r="E17" i="18" s="1"/>
  <c r="E20" i="18" s="1"/>
  <c r="N6" i="17"/>
  <c r="I17" i="18" l="1"/>
  <c r="I20" i="18" s="1"/>
  <c r="I49" i="18"/>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3" i="13" l="1"/>
  <c r="B36"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<sst xmlns="http://schemas.openxmlformats.org/spreadsheetml/2006/main" count="2521" uniqueCount="929">
  <si>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</si>
  <si>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</si>
  <si>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</si>
  <si>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</si>
  <si>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</si>
  <si>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</si>
  <si>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</si>
  <si>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</si>
  <si>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</si>
  <si>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</si>
  <si>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</si>
  <si>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</si>
  <si>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</si>
  <si>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</si>
  <si>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</si>
  <si>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</si>
  <si>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</si>
  <si>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</si>
  <si>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</si>
  <si>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</si>
  <si>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</si>
  <si>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</si>
  <si>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</si>
  <si>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</si>
  <si>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</si>
  <si>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</si>
  <si>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</si>
  <si>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</si>
  <si>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</si>
  <si>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</si>
  <si>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</si>
  <si>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</si>
  <si>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</si>
  <si>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</si>
  <si>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</si>
  <si>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</si>
  <si>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</si>
  <si>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</si>
  <si>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</si>
  <si>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</si>
  <si>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</si>
  <si>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</si>
  <si>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</si>
  <si>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</si>
  <si>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</si>
  <si>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</si>
  <si>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</si>
  <si>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</si>
  <si>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</si>
  <si>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</si>
  <si>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</si>
  <si>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</si>
  <si>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</si>
  <si>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</si>
  <si>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</si>
  <si>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</si>
  <si>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</si>
  <si>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</si>
  <si>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</si>
  <si>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</si>
  <si>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</si>
  <si>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</si>
  <si>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</si>
  <si>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</si>
  <si>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</si>
  <si>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</si>
  <si>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</si>
  <si>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</si>
  <si>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</si>
  <si>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</si>
  <si>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</si>
  <si>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</si>
  <si>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</si>
  <si>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</si>
  <si>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</si>
  <si>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</si>
  <si>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</si>
  <si>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</si>
  <si>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</si>
  <si>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</si>
  <si>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</si>
  <si>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</si>
  <si>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</si>
  <si>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</si>
  <si>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</si>
  <si>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</si>
  <si>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</si>
  <si>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</si>
  <si>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</si>
  <si>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</si>
  <si>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</si>
  <si>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</si>
  <si>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</si>
  <si>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</si>
  <si>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</si>
  <si>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</si>
  <si>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</si>
  <si>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</si>
  <si>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</si>
  <si>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</si>
  <si>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</si>
  <si>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</si>
  <si>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</si>
  <si>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</si>
  <si>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</si>
  <si>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</si>
  <si>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</si>
  <si>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</si>
  <si>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</si>
  <si>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</si>
  <si>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</si>
  <si>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</si>
  <si>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</si>
  <si>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</si>
  <si>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</si>
  <si>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</si>
  <si>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</si>
  <si>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</si>
  <si>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</si>
  <si>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</si>
  <si>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</si>
  <si>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</si>
  <si>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</si>
  <si>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</si>
  <si>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</si>
  <si>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</si>
  <si>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</si>
  <si>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</si>
  <si>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</si>
  <si>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</si>
  <si>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</si>
  <si>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</si>
  <si>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</si>
  <si>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</si>
  <si>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</si>
  <si>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</si>
  <si>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</si>
  <si>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</si>
  <si>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</si>
  <si>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</si>
  <si>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</si>
  <si>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</si>
  <si>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</si>
  <si>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</si>
  <si>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</si>
  <si>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</si>
  <si>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</si>
  <si>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</si>
  <si>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</si>
  <si>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</si>
  <si>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</si>
  <si>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</si>
  <si>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</si>
  <si>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</si>
  <si>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</si>
  <si>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</si>
  <si>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</si>
  <si>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</si>
  <si>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</si>
  <si>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</si>
  <si>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</si>
  <si>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</si>
  <si>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</si>
  <si>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</si>
  <si>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</si>
  <si>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</si>
  <si>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</si>
  <si>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</si>
  <si>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</si>
  <si>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</si>
  <si>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</si>
  <si>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</si>
  <si>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</si>
  <si>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</si>
  <si>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</si>
  <si>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</si>
  <si>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</si>
  <si>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</si>
  <si>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</si>
  <si>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</si>
  <si>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</si>
  <si>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</si>
  <si>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</si>
  <si>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</si>
  <si>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</si>
  <si>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</si>
  <si>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</si>
  <si>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</si>
  <si>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</si>
  <si>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</si>
  <si>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</si>
  <si>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</si>
  <si>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</si>
  <si>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</si>
  <si>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</si>
  <si>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</si>
  <si>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</si>
  <si>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</si>
  <si>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</si>
  <si>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</si>
  <si>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</si>
  <si>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</si>
  <si>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</si>
  <si>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</si>
  <si>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</si>
  <si>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</si>
  <si>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</si>
  <si>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</si>
  <si>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</si>
  <si>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</si>
  <si>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</si>
  <si>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</si>
  <si>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</si>
  <si>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</si>
  <si>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</si>
  <si>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</si>
  <si>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</si>
  <si>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</si>
  <si>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</si>
  <si>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</si>
  <si>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</si>
  <si>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</si>
  <si>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</si>
  <si>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</si>
  <si>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</si>
  <si>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</si>
  <si>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</si>
  <si>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</si>
  <si>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</si>
  <si>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</si>
  <si>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</si>
  <si>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</si>
  <si>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</si>
  <si>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</si>
  <si>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</si>
  <si>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</si>
  <si>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</si>
  <si>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</si>
  <si>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</si>
  <si>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</si>
  <si>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</si>
  <si>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</si>
  <si>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</si>
  <si>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</si>
  <si>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</si>
  <si>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</si>
  <si>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</si>
  <si>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</si>
  <si>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</si>
  <si>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</si>
  <si>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</si>
  <si>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</si>
  <si>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</si>
  <si>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</si>
  <si>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</si>
  <si>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</si>
  <si>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</si>
  <si>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</si>
  <si>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</si>
  <si>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</si>
  <si>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</si>
  <si>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</si>
  <si>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</si>
  <si>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</si>
  <si>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</si>
  <si>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</si>
  <si>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</si>
  <si>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</si>
  <si>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</si>
  <si>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</si>
  <si>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</si>
  <si>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</si>
  <si>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</si>
  <si>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</si>
  <si>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</si>
  <si>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</si>
  <si>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</si>
  <si>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</si>
  <si>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</si>
  <si>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</si>
  <si>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</si>
  <si>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</si>
  <si>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</si>
  <si>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</si>
  <si>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</si>
  <si>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</si>
  <si>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</si>
  <si>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</si>
  <si>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</si>
  <si>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</si>
  <si>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</si>
  <si>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</si>
  <si>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</si>
  <si>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</si>
  <si>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</si>
  <si>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</si>
  <si>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</si>
  <si>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</si>
  <si>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</si>
  <si>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</si>
  <si>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</si>
  <si>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</si>
  <si>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</si>
  <si>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</si>
  <si>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</si>
  <si>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</si>
  <si>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</si>
  <si>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</si>
  <si>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</si>
  <si>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</si>
  <si>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</si>
  <si>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</si>
  <si>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</si>
  <si>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</si>
  <si>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</si>
  <si>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</si>
  <si>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</si>
  <si>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</si>
  <si>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</si>
  <si>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</si>
  <si>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</si>
  <si>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</si>
  <si>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</si>
  <si>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</si>
  <si>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</si>
  <si>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</si>
  <si>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</si>
  <si>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</si>
  <si>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</si>
  <si>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</si>
  <si>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</si>
  <si>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</si>
  <si>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</si>
  <si>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</si>
  <si>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</si>
  <si>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</si>
  <si>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</si>
  <si>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</si>
  <si>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</si>
  <si>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</si>
  <si>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</si>
  <si>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</si>
  <si>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</si>
  <si>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</si>
  <si>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</si>
  <si>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</si>
  <si>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</si>
  <si>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</si>
  <si>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</si>
  <si>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</si>
  <si>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</si>
  <si>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</si>
  <si>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</si>
  <si>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</si>
  <si>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</si>
  <si>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</si>
  <si>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</si>
  <si>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</si>
  <si>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</si>
  <si>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</si>
  <si>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</si>
  <si>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</si>
  <si>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</si>
  <si>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</si>
  <si>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</si>
  <si>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</si>
  <si>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</si>
  <si>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</si>
  <si>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</si>
  <si>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</si>
  <si>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</si>
  <si>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</si>
  <si>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</si>
  <si>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</si>
  <si>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</si>
  <si>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</si>
  <si>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</si>
  <si>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</si>
  <si>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</si>
  <si>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</si>
  <si>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</si>
  <si>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</si>
  <si>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</si>
  <si>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</si>
  <si>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</si>
  <si>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</si>
  <si>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</si>
  <si>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</si>
  <si>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</si>
  <si>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</si>
  <si>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</si>
  <si>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</si>
  <si>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</si>
  <si>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</si>
  <si>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</si>
  <si>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</si>
  <si>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</si>
  <si>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</si>
  <si>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</si>
  <si>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</si>
  <si>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</si>
  <si>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</si>
  <si>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</si>
  <si>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</si>
  <si>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</si>
  <si>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</si>
  <si>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</si>
  <si>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</si>
  <si>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</si>
  <si>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</si>
  <si>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</si>
  <si>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</si>
  <si>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</si>
  <si>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</si>
  <si>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</si>
  <si>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</si>
  <si>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</si>
  <si>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</si>
  <si>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</si>
  <si>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</si>
  <si>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</si>
  <si>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</si>
  <si>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</si>
  <si>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</si>
  <si>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</si>
  <si>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</si>
  <si>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</si>
  <si>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</si>
  <si>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</si>
  <si>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</si>
  <si>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</si>
  <si>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</si>
  <si>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</si>
  <si>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</si>
  <si>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</si>
  <si>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</si>
  <si>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</si>
  <si>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</si>
  <si>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</si>
  <si>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</si>
  <si>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</si>
  <si>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</si>
  <si>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</si>
  <si>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</si>
  <si>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</si>
  <si>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</si>
  <si>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</si>
  <si>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</si>
  <si>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</si>
  <si>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</si>
  <si>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</si>
  <si>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</si>
  <si>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</si>
  <si>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</si>
  <si>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</si>
  <si>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</si>
  <si>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</si>
  <si>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</si>
  <si>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</si>
  <si>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</si>
  <si>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</si>
  <si>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</si>
  <si>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</si>
  <si>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</si>
  <si>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</si>
  <si>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</si>
  <si>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</si>
  <si>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</si>
  <si>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</si>
  <si>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</si>
  <si>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</si>
  <si>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</si>
  <si>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</si>
  <si>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</si>
  <si>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</si>
  <si>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</si>
  <si>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</si>
  <si>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</si>
  <si>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</si>
  <si>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</si>
  <si>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</si>
  <si>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</si>
  <si>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</si>
  <si>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</si>
  <si>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</si>
  <si>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</si>
  <si>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</si>
  <si>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</si>
  <si>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</si>
  <si>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</si>
  <si>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</si>
  <si>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</si>
  <si>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</si>
  <si>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</si>
  <si>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</si>
  <si>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</si>
  <si>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</si>
  <si>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</si>
  <si>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</si>
  <si>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</si>
  <si>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</si>
  <si>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</si>
  <si>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</si>
  <si>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</si>
  <si>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</si>
  <si>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</si>
  <si>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</si>
  <si>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</si>
  <si>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</si>
  <si>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</si>
  <si>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</si>
  <si>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</si>
  <si>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</si>
  <si>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</si>
  <si>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</si>
  <si>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</si>
  <si>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</si>
  <si>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</si>
  <si>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</si>
  <si>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</si>
  <si>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</si>
  <si>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</si>
  <si>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</si>
  <si>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</si>
  <si>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</si>
  <si>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</si>
  <si>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</si>
  <si>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</si>
  <si>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</si>
  <si>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</si>
  <si>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</si>
  <si>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</si>
  <si>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</si>
  <si>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</si>
  <si>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</si>
  <si>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</si>
  <si>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</si>
  <si>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</si>
  <si>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</si>
  <si>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</si>
  <si>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</si>
  <si>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</si>
  <si>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</si>
  <si>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</si>
  <si>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</si>
  <si>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</si>
  <si>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</si>
  <si>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</si>
  <si>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</si>
  <si>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</si>
  <si>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</si>
  <si>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</si>
  <si>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</si>
  <si>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</si>
  <si>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</si>
  <si>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</si>
  <si>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</si>
  <si>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</si>
  <si>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</si>
  <si>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</si>
  <si>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</si>
  <si>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</si>
  <si>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</si>
  <si>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</si>
  <si>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</si>
  <si>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</si>
  <si>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</si>
  <si>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</si>
  <si>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</si>
  <si>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</si>
  <si>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</si>
  <si>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</si>
  <si>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</si>
  <si>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</si>
  <si>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</si>
  <si>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</si>
  <si>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</si>
  <si>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</si>
  <si>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</si>
  <si>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</si>
  <si>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</si>
  <si>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</si>
  <si>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</si>
  <si>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</si>
  <si>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</si>
  <si>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</si>
  <si>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</si>
  <si>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</si>
  <si>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</si>
  <si>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</si>
  <si>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</si>
  <si>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</si>
  <si>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</si>
  <si>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</si>
  <si>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</si>
  <si>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</si>
  <si>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</si>
  <si>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</si>
  <si>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</si>
  <si>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</si>
  <si>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</si>
  <si>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</si>
  <si>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</si>
  <si>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</si>
  <si>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</si>
  <si>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</si>
  <si>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</si>
  <si>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</si>
  <si>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</si>
  <si>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</si>
  <si>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</si>
  <si>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</si>
  <si>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</si>
  <si>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</si>
  <si>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</si>
  <si>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</si>
  <si>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</si>
  <si>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</si>
  <si>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</si>
  <si>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</si>
  <si>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</si>
  <si>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</si>
  <si>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</si>
  <si>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</si>
  <si>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</si>
  <si>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</si>
  <si>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</si>
  <si>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</si>
  <si>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</si>
  <si>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</si>
  <si>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</si>
  <si>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</si>
  <si>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</si>
  <si>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</si>
  <si>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</si>
  <si>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</si>
  <si>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</si>
  <si>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</si>
  <si>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</si>
  <si>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</si>
  <si>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</si>
  <si>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</si>
  <si>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</si>
  <si>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</si>
  <si>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</si>
  <si>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</si>
  <si>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</si>
  <si>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</si>
  <si>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</si>
  <si>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</si>
  <si>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</si>
  <si>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</si>
  <si>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</si>
  <si>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</si>
  <si>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</si>
  <si>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</si>
  <si>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</si>
  <si>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</si>
  <si>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</si>
  <si>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</si>
  <si>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</si>
  <si>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</si>
  <si>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</si>
  <si>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</si>
  <si>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</si>
  <si>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</si>
  <si>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</si>
  <si>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</si>
  <si>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</si>
  <si>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</si>
  <si>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</si>
  <si>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</si>
  <si>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</si>
  <si>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</si>
  <si>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</si>
  <si>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</si>
  <si>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</si>
  <si>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</si>
  <si>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</si>
  <si>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</si>
  <si>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</si>
  <si>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</si>
  <si>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</si>
  <si>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</si>
  <si>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</si>
  <si>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</si>
  <si>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</si>
  <si>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</si>
  <si>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</si>
  <si>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</si>
  <si>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</si>
  <si>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</si>
  <si>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</si>
  <si>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</si>
  <si>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</si>
  <si>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</si>
  <si>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</si>
  <si>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</si>
  <si>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</si>
  <si>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</si>
  <si>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</si>
  <si>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</si>
  <si>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</si>
  <si>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</si>
  <si>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</si>
  <si>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</si>
  <si>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</si>
  <si>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</si>
  <si>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</si>
  <si>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</si>
  <si>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</si>
  <si>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</si>
  <si>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</si>
  <si>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</si>
  <si>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</si>
  <si>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</si>
  <si>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</si>
  <si>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</si>
  <si>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</si>
  <si>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</si>
  <si>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</si>
  <si>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</si>
  <si>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</si>
  <si>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</si>
  <si>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</si>
  <si>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</si>
  <si>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</si>
  <si>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</si>
  <si>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</si>
  <si>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</si>
  <si>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</si>
  <si>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</si>
  <si>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</si>
  <si>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</si>
  <si>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</si>
  <si>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</si>
  <si>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</si>
  <si>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</si>
  <si>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</si>
  <si>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</si>
  <si>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</si>
  <si>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</si>
  <si>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</si>
  <si>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</si>
  <si>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</si>
  <si>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</si>
  <si>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</si>
  <si>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</si>
  <si>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</si>
  <si>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</si>
  <si>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</si>
  <si>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</si>
  <si>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</si>
  <si>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</si>
  <si>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</si>
  <si>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</si>
  <si>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</si>
  <si>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</si>
  <si>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</si>
  <si>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</si>
  <si>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</si>
  <si>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</si>
  <si>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</si>
  <si>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</si>
  <si>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</si>
  <si>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</si>
  <si>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</si>
  <si>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</si>
  <si>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</si>
  <si>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</si>
  <si>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</si>
  <si>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</si>
  <si>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</si>
  <si>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</si>
  <si>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</si>
  <si>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</si>
  <si>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</si>
  <si>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</si>
  <si>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</si>
  <si>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</si>
  <si>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</si>
  <si>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</si>
  <si>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</si>
  <si>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</si>
  <si>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</si>
  <si>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</si>
  <si>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</si>
  <si>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</si>
  <si>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</si>
  <si>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</si>
  <si>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</si>
  <si>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</si>
  <si>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</si>
  <si>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</si>
  <si>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</si>
  <si>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</si>
  <si>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</si>
  <si>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</si>
  <si>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</si>
  <si>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</si>
  <si>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</si>
  <si>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</si>
  <si>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</si>
  <si>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</si>
  <si>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</si>
  <si>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</si>
  <si>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</si>
  <si>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</si>
  <si>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</si>
  <si>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</si>
  <si>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</si>
  <si>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</si>
  <si>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</si>
  <si>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</si>
  <si>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</si>
  <si>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</si>
  <si>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</si>
  <si>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</si>
  <si>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</si>
  <si>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</si>
  <si>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</si>
  <si>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</si>
  <si>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</si>
  <si>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</si>
  <si>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</si>
  <si>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</si>
  <si>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</si>
  <si>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</si>
  <si>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</si>
  <si>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</si>
  <si>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</si>
  <si>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</si>
  <si>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</si>
  <si>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</si>
  <si>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</si>
  <si>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</si>
  <si>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</si>
  <si>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</si>
  <si>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</si>
  <si>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</si>
  <si>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</si>
  <si>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</si>
  <si>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</si>
  <si>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</si>
  <si>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</si>
  <si>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</si>
  <si>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</si>
  <si>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</si>
  <si>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</si>
  <si>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</si>
  <si>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</si>
  <si>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</si>
  <si>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</si>
  <si>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</si>
  <si>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</si>
  <si>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</si>
  <si>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</si>
  <si>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</si>
  <si>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</si>
  <si>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</si>
  <si>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</si>
  <si>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</si>
  <si>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</si>
  <si>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</si>
  <si>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</si>
  <si>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</si>
  <si>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</si>
  <si>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</si>
  <si>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</si>
  <si>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</si>
  <si>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</si>
  <si>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</si>
  <si>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</si>
  <si>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</si>
  <si>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</si>
  <si>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</si>
  <si>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</si>
  <si>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</si>
  <si>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</si>
  <si>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</si>
  <si>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</si>
  <si>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</si>
  <si>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</si>
  <si>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</si>
  <si>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</si>
  <si>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</si>
  <si>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</si>
  <si>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</si>
  <si>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</si>
  <si>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</si>
  <si>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</si>
  <si>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</si>
  <si>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</si>
  <si>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</si>
  <si>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</si>
  <si>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</si>
  <si>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</si>
  <si>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</si>
  <si>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</si>
  <si>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</si>
  <si>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</si>
  <si>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</si>
  <si>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</si>
  <si>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</si>
  <si>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</si>
  <si>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</si>
  <si>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</si>
  <si>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</si>
  <si>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</si>
  <si>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</si>
  <si>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</si>
  <si>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</si>
  <si>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</si>
  <si>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</si>
  <si>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</si>
  <si>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</si>
  <si>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</si>
  <si>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</si>
  <si>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</si>
  <si>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37002</t>
  </si>
  <si>
    <t>DENTERGEM</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</si>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</sst>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AE628A6-FEE8-4427-B376-F3631E61CCA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78565.770587246137</c:v>
                </c:pt>
                <c:pt idx="1">
                  <c:v>18339.680351109924</c:v>
                </c:pt>
                <c:pt idx="2">
                  <c:v>615.26199999999994</c:v>
                </c:pt>
                <c:pt idx="3">
                  <c:v>18783.747812935904</c:v>
                </c:pt>
                <c:pt idx="4">
                  <c:v>28425.605989265347</c:v>
                </c:pt>
                <c:pt idx="5">
                  <c:v>32868.853015392473</c:v>
                </c:pt>
                <c:pt idx="6">
                  <c:v>152.88770682168038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78565.770587246137</c:v>
                </c:pt>
                <c:pt idx="1">
                  <c:v>18339.680351109924</c:v>
                </c:pt>
                <c:pt idx="2">
                  <c:v>615.26199999999994</c:v>
                </c:pt>
                <c:pt idx="3">
                  <c:v>18783.747812935904</c:v>
                </c:pt>
                <c:pt idx="4">
                  <c:v>28425.605989265347</c:v>
                </c:pt>
                <c:pt idx="5">
                  <c:v>32868.853015392473</c:v>
                </c:pt>
                <c:pt idx="6">
                  <c:v>152.88770682168038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17132.193770043967</c:v>
                </c:pt>
                <c:pt idx="2">
                  <c:v>3671.2428902577094</c:v>
                </c:pt>
                <c:pt idx="3">
                  <c:v>129.39008620546869</c:v>
                </c:pt>
                <c:pt idx="4">
                  <c:v>4684.4857573758009</c:v>
                </c:pt>
                <c:pt idx="5">
                  <c:v>6089.5567349358398</c:v>
                </c:pt>
                <c:pt idx="6">
                  <c:v>8323.7568488658908</c:v>
                </c:pt>
                <c:pt idx="7">
                  <c:v>39.035281600672249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17132.193770043967</c:v>
                </c:pt>
                <c:pt idx="2">
                  <c:v>3671.2428902577094</c:v>
                </c:pt>
                <c:pt idx="3">
                  <c:v>129.39008620546869</c:v>
                </c:pt>
                <c:pt idx="4">
                  <c:v>4684.4857573758009</c:v>
                </c:pt>
                <c:pt idx="5">
                  <c:v>6089.5567349358398</c:v>
                </c:pt>
                <c:pt idx="6">
                  <c:v>8323.7568488658908</c:v>
                </c:pt>
                <c:pt idx="7">
                  <c:v>39.035281600672249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37002</v>
      </c>
      <c r="B6" s="385"/>
      <c r="C6" s="386"/>
    </row>
    <row r="7" spans="1:7" s="383" customFormat="1" ht="15.75" customHeight="1">
      <c r="A7" s="387" t="str">
        <f>txtMunicipality</f>
        <v>DENTERGEM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8897.2131891389199</v>
      </c>
      <c r="D10" s="676">
        <f ca="1">tertiair!C16</f>
        <v>0</v>
      </c>
      <c r="E10" s="676">
        <f ca="1">tertiair!D16</f>
        <v>7194.3604710908712</v>
      </c>
      <c r="F10" s="676">
        <f>tertiair!E16</f>
        <v>109.48322317332597</v>
      </c>
      <c r="G10" s="676">
        <f ca="1">tertiair!F16</f>
        <v>1690.7433886729448</v>
      </c>
      <c r="H10" s="676">
        <f>tertiair!G16</f>
        <v>0</v>
      </c>
      <c r="I10" s="676">
        <f>tertiair!H16</f>
        <v>0</v>
      </c>
      <c r="J10" s="676">
        <f>tertiair!I16</f>
        <v>0</v>
      </c>
      <c r="K10" s="676">
        <f>tertiair!J16</f>
        <v>0</v>
      </c>
      <c r="L10" s="676">
        <f>tertiair!K16</f>
        <v>0</v>
      </c>
      <c r="M10" s="676">
        <f ca="1">tertiair!L16</f>
        <v>0</v>
      </c>
      <c r="N10" s="676">
        <f>tertiair!M16</f>
        <v>0</v>
      </c>
      <c r="O10" s="676">
        <f ca="1">tertiair!N16</f>
        <v>1061.5787457005301</v>
      </c>
      <c r="P10" s="676">
        <f>tertiair!O16</f>
        <v>1.5633333333333335</v>
      </c>
      <c r="Q10" s="677">
        <f>tertiair!P16</f>
        <v>0</v>
      </c>
      <c r="R10" s="679">
        <f ca="1">SUM(C10:Q10)</f>
        <v>18954.942351109923</v>
      </c>
      <c r="S10" s="67"/>
    </row>
    <row r="11" spans="1:19" s="444" customFormat="1">
      <c r="A11" s="791" t="s">
        <v>214</v>
      </c>
      <c r="B11" s="796"/>
      <c r="C11" s="676">
        <f>huishoudens!B8</f>
        <v>14797.647149923081</v>
      </c>
      <c r="D11" s="676">
        <f>huishoudens!C8</f>
        <v>0</v>
      </c>
      <c r="E11" s="676">
        <f>huishoudens!D8</f>
        <v>22566.900182551028</v>
      </c>
      <c r="F11" s="676">
        <f>huishoudens!E8</f>
        <v>1098.3114886475969</v>
      </c>
      <c r="G11" s="676">
        <f>huishoudens!F8</f>
        <v>33658.274803602435</v>
      </c>
      <c r="H11" s="676">
        <f>huishoudens!G8</f>
        <v>0</v>
      </c>
      <c r="I11" s="676">
        <f>huishoudens!H8</f>
        <v>0</v>
      </c>
      <c r="J11" s="676">
        <f>huishoudens!I8</f>
        <v>0</v>
      </c>
      <c r="K11" s="676">
        <f>huishoudens!J8</f>
        <v>637.42070528552767</v>
      </c>
      <c r="L11" s="676">
        <f>huishoudens!K8</f>
        <v>0</v>
      </c>
      <c r="M11" s="676">
        <f>huishoudens!L8</f>
        <v>0</v>
      </c>
      <c r="N11" s="676">
        <f>huishoudens!M8</f>
        <v>0</v>
      </c>
      <c r="O11" s="676">
        <f>huishoudens!N8</f>
        <v>5393.022923903125</v>
      </c>
      <c r="P11" s="676">
        <f>huishoudens!O8</f>
        <v>128.19333333333336</v>
      </c>
      <c r="Q11" s="677">
        <f>huishoudens!P8</f>
        <v>286</v>
      </c>
      <c r="R11" s="679">
        <f>SUM(C11:Q11)</f>
        <v>78565.770587246137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19290.236928929266</v>
      </c>
      <c r="D13" s="676">
        <f>industrie!C18</f>
        <v>0</v>
      </c>
      <c r="E13" s="676">
        <f>industrie!D18</f>
        <v>1588.479207031713</v>
      </c>
      <c r="F13" s="676">
        <f>industrie!E18</f>
        <v>1367.4531761714761</v>
      </c>
      <c r="G13" s="676">
        <f>industrie!F18</f>
        <v>5196.1333888877643</v>
      </c>
      <c r="H13" s="676">
        <f>industrie!G18</f>
        <v>0</v>
      </c>
      <c r="I13" s="676">
        <f>industrie!H18</f>
        <v>0</v>
      </c>
      <c r="J13" s="676">
        <f>industrie!I18</f>
        <v>0</v>
      </c>
      <c r="K13" s="676">
        <f>industrie!J18</f>
        <v>39.978348307608066</v>
      </c>
      <c r="L13" s="676">
        <f>industrie!K18</f>
        <v>0</v>
      </c>
      <c r="M13" s="676">
        <f>industrie!L18</f>
        <v>0</v>
      </c>
      <c r="N13" s="676">
        <f>industrie!M18</f>
        <v>0</v>
      </c>
      <c r="O13" s="676">
        <f>industrie!N18</f>
        <v>943.32493993752064</v>
      </c>
      <c r="P13" s="676">
        <f>industrie!O18</f>
        <v>0</v>
      </c>
      <c r="Q13" s="677">
        <f>industrie!P18</f>
        <v>0</v>
      </c>
      <c r="R13" s="679">
        <f>SUM(C13:Q13)</f>
        <v>28425.605989265347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42985.097267991267</v>
      </c>
      <c r="D16" s="711">
        <f t="shared" ref="D16:R16" ca="1" si="0">SUM(D9:D15)</f>
        <v>0</v>
      </c>
      <c r="E16" s="711">
        <f t="shared" ca="1" si="0"/>
        <v>31349.73986067361</v>
      </c>
      <c r="F16" s="711">
        <f t="shared" si="0"/>
        <v>2575.2478879923992</v>
      </c>
      <c r="G16" s="711">
        <f t="shared" ca="1" si="0"/>
        <v>40545.15158116314</v>
      </c>
      <c r="H16" s="711">
        <f t="shared" si="0"/>
        <v>0</v>
      </c>
      <c r="I16" s="711">
        <f t="shared" si="0"/>
        <v>0</v>
      </c>
      <c r="J16" s="711">
        <f t="shared" si="0"/>
        <v>0</v>
      </c>
      <c r="K16" s="711">
        <f t="shared" si="0"/>
        <v>677.3990535931357</v>
      </c>
      <c r="L16" s="711">
        <f t="shared" si="0"/>
        <v>0</v>
      </c>
      <c r="M16" s="711">
        <f t="shared" ca="1" si="0"/>
        <v>0</v>
      </c>
      <c r="N16" s="711">
        <f t="shared" si="0"/>
        <v>0</v>
      </c>
      <c r="O16" s="711">
        <f t="shared" ca="1" si="0"/>
        <v>7397.9266095411758</v>
      </c>
      <c r="P16" s="711">
        <f t="shared" si="0"/>
        <v>129.75666666666669</v>
      </c>
      <c r="Q16" s="711">
        <f t="shared" si="0"/>
        <v>286</v>
      </c>
      <c r="R16" s="711">
        <f t="shared" ca="1" si="0"/>
        <v>125946.31892762141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0.74808409720618729</v>
      </c>
      <c r="D19" s="676">
        <f>transport!C54</f>
        <v>0</v>
      </c>
      <c r="E19" s="676">
        <f>transport!D54</f>
        <v>0</v>
      </c>
      <c r="F19" s="676">
        <f>transport!E54</f>
        <v>0</v>
      </c>
      <c r="G19" s="676">
        <f>transport!F54</f>
        <v>0</v>
      </c>
      <c r="H19" s="676">
        <f>transport!G54</f>
        <v>145.61033304179989</v>
      </c>
      <c r="I19" s="676">
        <f>transport!H54</f>
        <v>0</v>
      </c>
      <c r="J19" s="676">
        <f>transport!I54</f>
        <v>0</v>
      </c>
      <c r="K19" s="676">
        <f>transport!J54</f>
        <v>0</v>
      </c>
      <c r="L19" s="676">
        <f>transport!K54</f>
        <v>0</v>
      </c>
      <c r="M19" s="676">
        <f>transport!L54</f>
        <v>0</v>
      </c>
      <c r="N19" s="676">
        <f>transport!M54</f>
        <v>6.5292896826743156</v>
      </c>
      <c r="O19" s="676">
        <f>transport!N54</f>
        <v>0</v>
      </c>
      <c r="P19" s="676">
        <f>transport!O54</f>
        <v>0</v>
      </c>
      <c r="Q19" s="677">
        <f>transport!P54</f>
        <v>0</v>
      </c>
      <c r="R19" s="679">
        <f>SUM(C19:Q19)</f>
        <v>152.88770682168038</v>
      </c>
      <c r="S19" s="67"/>
    </row>
    <row r="20" spans="1:19" s="444" customFormat="1">
      <c r="A20" s="791" t="s">
        <v>296</v>
      </c>
      <c r="B20" s="796"/>
      <c r="C20" s="676">
        <f>transport!B14</f>
        <v>2.2451816447244459</v>
      </c>
      <c r="D20" s="676">
        <f>transport!C14</f>
        <v>0</v>
      </c>
      <c r="E20" s="676">
        <f>transport!D14</f>
        <v>2.2920540921730006</v>
      </c>
      <c r="F20" s="676">
        <f>transport!E14</f>
        <v>80.803181893052795</v>
      </c>
      <c r="G20" s="676">
        <f>transport!F14</f>
        <v>0</v>
      </c>
      <c r="H20" s="676">
        <f>transport!G14</f>
        <v>27468.680584809343</v>
      </c>
      <c r="I20" s="676">
        <f>transport!H14</f>
        <v>3896.9544258081287</v>
      </c>
      <c r="J20" s="676">
        <f>transport!I14</f>
        <v>0</v>
      </c>
      <c r="K20" s="676">
        <f>transport!J14</f>
        <v>0</v>
      </c>
      <c r="L20" s="676">
        <f>transport!K14</f>
        <v>0</v>
      </c>
      <c r="M20" s="676">
        <f>transport!L14</f>
        <v>0</v>
      </c>
      <c r="N20" s="676">
        <f>transport!M14</f>
        <v>1417.8775871450509</v>
      </c>
      <c r="O20" s="676">
        <f>transport!N14</f>
        <v>0</v>
      </c>
      <c r="P20" s="676">
        <f>transport!O14</f>
        <v>0</v>
      </c>
      <c r="Q20" s="677">
        <f>transport!P14</f>
        <v>0</v>
      </c>
      <c r="R20" s="679">
        <f>SUM(C20:Q20)</f>
        <v>32868.853015392473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2.9932657419306334</v>
      </c>
      <c r="D22" s="794">
        <f t="shared" ref="D22:R22" si="1">SUM(D18:D21)</f>
        <v>0</v>
      </c>
      <c r="E22" s="794">
        <f t="shared" si="1"/>
        <v>2.2920540921730006</v>
      </c>
      <c r="F22" s="794">
        <f t="shared" si="1"/>
        <v>80.803181893052795</v>
      </c>
      <c r="G22" s="794">
        <f t="shared" si="1"/>
        <v>0</v>
      </c>
      <c r="H22" s="794">
        <f t="shared" si="1"/>
        <v>27614.290917851144</v>
      </c>
      <c r="I22" s="794">
        <f t="shared" si="1"/>
        <v>3896.9544258081287</v>
      </c>
      <c r="J22" s="794">
        <f t="shared" si="1"/>
        <v>0</v>
      </c>
      <c r="K22" s="794">
        <f t="shared" si="1"/>
        <v>0</v>
      </c>
      <c r="L22" s="794">
        <f t="shared" si="1"/>
        <v>0</v>
      </c>
      <c r="M22" s="794">
        <f t="shared" si="1"/>
        <v>0</v>
      </c>
      <c r="N22" s="794">
        <f t="shared" si="1"/>
        <v>1424.4068768277252</v>
      </c>
      <c r="O22" s="794">
        <f t="shared" si="1"/>
        <v>0</v>
      </c>
      <c r="P22" s="794">
        <f t="shared" si="1"/>
        <v>0</v>
      </c>
      <c r="Q22" s="794">
        <f t="shared" si="1"/>
        <v>0</v>
      </c>
      <c r="R22" s="794">
        <f t="shared" si="1"/>
        <v>33021.740722214156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2416.220249371409</v>
      </c>
      <c r="D24" s="676">
        <f>+landbouw!C8</f>
        <v>7637.1428571428569</v>
      </c>
      <c r="E24" s="676">
        <f>+landbouw!D8</f>
        <v>0</v>
      </c>
      <c r="F24" s="676">
        <f>+landbouw!E8</f>
        <v>30.447487866641897</v>
      </c>
      <c r="G24" s="676">
        <f>+landbouw!F8</f>
        <v>8336.5651596719472</v>
      </c>
      <c r="H24" s="676">
        <f>+landbouw!G8</f>
        <v>0</v>
      </c>
      <c r="I24" s="676">
        <f>+landbouw!H8</f>
        <v>0</v>
      </c>
      <c r="J24" s="676">
        <f>+landbouw!I8</f>
        <v>0</v>
      </c>
      <c r="K24" s="676">
        <f>+landbouw!J8</f>
        <v>363.37205888305238</v>
      </c>
      <c r="L24" s="676">
        <f>+landbouw!K8</f>
        <v>0</v>
      </c>
      <c r="M24" s="676">
        <f>+landbouw!L8</f>
        <v>0</v>
      </c>
      <c r="N24" s="676">
        <f>+landbouw!M8</f>
        <v>0</v>
      </c>
      <c r="O24" s="676">
        <f>+landbouw!N8</f>
        <v>0</v>
      </c>
      <c r="P24" s="676">
        <f>+landbouw!O8</f>
        <v>0</v>
      </c>
      <c r="Q24" s="677">
        <f>+landbouw!P8</f>
        <v>0</v>
      </c>
      <c r="R24" s="679">
        <f>SUM(C24:Q24)</f>
        <v>18783.747812935904</v>
      </c>
      <c r="S24" s="67"/>
    </row>
    <row r="25" spans="1:19" s="444" customFormat="1" ht="15" thickBot="1">
      <c r="A25" s="813" t="s">
        <v>833</v>
      </c>
      <c r="B25" s="977"/>
      <c r="C25" s="978">
        <f>IF(Onbekend_ele_kWh="---",0,Onbekend_ele_kWh)/1000+IF(REST_rest_ele_kWh="---",0,REST_rest_ele_kWh)/1000</f>
        <v>368.07072151071202</v>
      </c>
      <c r="D25" s="978"/>
      <c r="E25" s="978">
        <f>IF(onbekend_gas_kWh="---",0,onbekend_gas_kWh)/1000+IF(REST_rest_gas_kWh="---",0,REST_rest_gas_kWh)/1000</f>
        <v>748.63785289764189</v>
      </c>
      <c r="F25" s="978"/>
      <c r="G25" s="978"/>
      <c r="H25" s="978"/>
      <c r="I25" s="978"/>
      <c r="J25" s="978"/>
      <c r="K25" s="978"/>
      <c r="L25" s="978"/>
      <c r="M25" s="978"/>
      <c r="N25" s="978"/>
      <c r="O25" s="978"/>
      <c r="P25" s="978"/>
      <c r="Q25" s="979"/>
      <c r="R25" s="679">
        <f>SUM(C25:Q25)</f>
        <v>1116.7085744083538</v>
      </c>
      <c r="S25" s="67"/>
    </row>
    <row r="26" spans="1:19" s="444" customFormat="1" ht="15.75" thickBot="1">
      <c r="A26" s="684" t="s">
        <v>834</v>
      </c>
      <c r="B26" s="799"/>
      <c r="C26" s="794">
        <f>SUM(C24:C25)</f>
        <v>2784.2909708821207</v>
      </c>
      <c r="D26" s="794">
        <f t="shared" ref="D26:R26" si="2">SUM(D24:D25)</f>
        <v>7637.1428571428569</v>
      </c>
      <c r="E26" s="794">
        <f t="shared" si="2"/>
        <v>748.63785289764189</v>
      </c>
      <c r="F26" s="794">
        <f t="shared" si="2"/>
        <v>30.447487866641897</v>
      </c>
      <c r="G26" s="794">
        <f t="shared" si="2"/>
        <v>8336.5651596719472</v>
      </c>
      <c r="H26" s="794">
        <f t="shared" si="2"/>
        <v>0</v>
      </c>
      <c r="I26" s="794">
        <f t="shared" si="2"/>
        <v>0</v>
      </c>
      <c r="J26" s="794">
        <f t="shared" si="2"/>
        <v>0</v>
      </c>
      <c r="K26" s="794">
        <f t="shared" si="2"/>
        <v>363.37205888305238</v>
      </c>
      <c r="L26" s="794">
        <f t="shared" si="2"/>
        <v>0</v>
      </c>
      <c r="M26" s="794">
        <f t="shared" si="2"/>
        <v>0</v>
      </c>
      <c r="N26" s="794">
        <f t="shared" si="2"/>
        <v>0</v>
      </c>
      <c r="O26" s="794">
        <f t="shared" si="2"/>
        <v>0</v>
      </c>
      <c r="P26" s="794">
        <f t="shared" si="2"/>
        <v>0</v>
      </c>
      <c r="Q26" s="794">
        <f t="shared" si="2"/>
        <v>0</v>
      </c>
      <c r="R26" s="794">
        <f t="shared" si="2"/>
        <v>19900.456387344257</v>
      </c>
      <c r="S26" s="67"/>
    </row>
    <row r="27" spans="1:19" s="444" customFormat="1" ht="17.25" thickTop="1" thickBot="1">
      <c r="A27" s="685" t="s">
        <v>109</v>
      </c>
      <c r="B27" s="786"/>
      <c r="C27" s="686">
        <f ca="1">C22+C16+C26</f>
        <v>45772.381504615318</v>
      </c>
      <c r="D27" s="686">
        <f t="shared" ref="D27:R27" ca="1" si="3">D22+D16+D26</f>
        <v>7637.1428571428569</v>
      </c>
      <c r="E27" s="686">
        <f t="shared" ca="1" si="3"/>
        <v>32100.669767663425</v>
      </c>
      <c r="F27" s="686">
        <f t="shared" si="3"/>
        <v>2686.4985577520938</v>
      </c>
      <c r="G27" s="686">
        <f t="shared" ca="1" si="3"/>
        <v>48881.716740835087</v>
      </c>
      <c r="H27" s="686">
        <f t="shared" si="3"/>
        <v>27614.290917851144</v>
      </c>
      <c r="I27" s="686">
        <f t="shared" si="3"/>
        <v>3896.9544258081287</v>
      </c>
      <c r="J27" s="686">
        <f t="shared" si="3"/>
        <v>0</v>
      </c>
      <c r="K27" s="686">
        <f t="shared" si="3"/>
        <v>1040.7711124761881</v>
      </c>
      <c r="L27" s="686">
        <f t="shared" si="3"/>
        <v>0</v>
      </c>
      <c r="M27" s="686">
        <f t="shared" ca="1" si="3"/>
        <v>0</v>
      </c>
      <c r="N27" s="686">
        <f t="shared" si="3"/>
        <v>1424.4068768277252</v>
      </c>
      <c r="O27" s="686">
        <f t="shared" ca="1" si="3"/>
        <v>7397.9266095411758</v>
      </c>
      <c r="P27" s="686">
        <f t="shared" si="3"/>
        <v>129.75666666666669</v>
      </c>
      <c r="Q27" s="686">
        <f t="shared" si="3"/>
        <v>286</v>
      </c>
      <c r="R27" s="686">
        <f t="shared" ca="1" si="3"/>
        <v>178868.51603717983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1871.0909848668009</v>
      </c>
      <c r="D40" s="676">
        <f ca="1">tertiair!C20</f>
        <v>0</v>
      </c>
      <c r="E40" s="676">
        <f ca="1">tertiair!D20</f>
        <v>1453.2608151603561</v>
      </c>
      <c r="F40" s="676">
        <f>tertiair!E20</f>
        <v>24.852691660344995</v>
      </c>
      <c r="G40" s="676">
        <f ca="1">tertiair!F20</f>
        <v>451.42848477567628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3800.6329764631782</v>
      </c>
    </row>
    <row r="41" spans="1:18">
      <c r="A41" s="804" t="s">
        <v>214</v>
      </c>
      <c r="B41" s="811"/>
      <c r="C41" s="676">
        <f ca="1">huishoudens!B12</f>
        <v>3111.9569230127254</v>
      </c>
      <c r="D41" s="676">
        <f ca="1">huishoudens!C12</f>
        <v>0</v>
      </c>
      <c r="E41" s="676">
        <f>huishoudens!D12</f>
        <v>4558.5138368753078</v>
      </c>
      <c r="F41" s="676">
        <f>huishoudens!E12</f>
        <v>249.31670792300451</v>
      </c>
      <c r="G41" s="676">
        <f>huishoudens!F12</f>
        <v>8986.7593725618499</v>
      </c>
      <c r="H41" s="676">
        <f>huishoudens!G12</f>
        <v>0</v>
      </c>
      <c r="I41" s="676">
        <f>huishoudens!H12</f>
        <v>0</v>
      </c>
      <c r="J41" s="676">
        <f>huishoudens!I12</f>
        <v>0</v>
      </c>
      <c r="K41" s="676">
        <f>huishoudens!J12</f>
        <v>225.64692967107678</v>
      </c>
      <c r="L41" s="676">
        <f>huishoudens!K12</f>
        <v>0</v>
      </c>
      <c r="M41" s="676">
        <f>huishoudens!L12</f>
        <v>0</v>
      </c>
      <c r="N41" s="676">
        <f>huishoudens!M12</f>
        <v>0</v>
      </c>
      <c r="O41" s="676">
        <f>huishoudens!N12</f>
        <v>0</v>
      </c>
      <c r="P41" s="676">
        <f>huishoudens!O12</f>
        <v>0</v>
      </c>
      <c r="Q41" s="753">
        <f>huishoudens!P12</f>
        <v>0</v>
      </c>
      <c r="R41" s="832">
        <f t="shared" ca="1" si="4"/>
        <v>17132.193770043967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4056.7521139905816</v>
      </c>
      <c r="D43" s="676">
        <f ca="1">industrie!C22</f>
        <v>0</v>
      </c>
      <c r="E43" s="676">
        <f>industrie!D22</f>
        <v>320.87279982040604</v>
      </c>
      <c r="F43" s="676">
        <f>industrie!E22</f>
        <v>310.41187099092508</v>
      </c>
      <c r="G43" s="676">
        <f>industrie!F22</f>
        <v>1387.3676148330333</v>
      </c>
      <c r="H43" s="676">
        <f>industrie!G22</f>
        <v>0</v>
      </c>
      <c r="I43" s="676">
        <f>industrie!H22</f>
        <v>0</v>
      </c>
      <c r="J43" s="676">
        <f>industrie!I22</f>
        <v>0</v>
      </c>
      <c r="K43" s="676">
        <f>industrie!J22</f>
        <v>14.152335300893254</v>
      </c>
      <c r="L43" s="676">
        <f>industrie!K22</f>
        <v>0</v>
      </c>
      <c r="M43" s="676">
        <f>industrie!L22</f>
        <v>0</v>
      </c>
      <c r="N43" s="676">
        <f>industrie!M22</f>
        <v>0</v>
      </c>
      <c r="O43" s="676">
        <f>industrie!N22</f>
        <v>0</v>
      </c>
      <c r="P43" s="676">
        <f>industrie!O22</f>
        <v>0</v>
      </c>
      <c r="Q43" s="753">
        <f>industrie!P22</f>
        <v>0</v>
      </c>
      <c r="R43" s="831">
        <f t="shared" ca="1" si="4"/>
        <v>6089.5567349358398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9039.8000218701072</v>
      </c>
      <c r="D46" s="711">
        <f t="shared" ref="D46:Q46" ca="1" si="5">SUM(D39:D45)</f>
        <v>0</v>
      </c>
      <c r="E46" s="711">
        <f t="shared" ca="1" si="5"/>
        <v>6332.6474518560699</v>
      </c>
      <c r="F46" s="711">
        <f t="shared" si="5"/>
        <v>584.58127057427464</v>
      </c>
      <c r="G46" s="711">
        <f t="shared" ca="1" si="5"/>
        <v>10825.555472170559</v>
      </c>
      <c r="H46" s="711">
        <f t="shared" si="5"/>
        <v>0</v>
      </c>
      <c r="I46" s="711">
        <f t="shared" si="5"/>
        <v>0</v>
      </c>
      <c r="J46" s="711">
        <f t="shared" si="5"/>
        <v>0</v>
      </c>
      <c r="K46" s="711">
        <f t="shared" si="5"/>
        <v>239.79926497197002</v>
      </c>
      <c r="L46" s="711">
        <f t="shared" si="5"/>
        <v>0</v>
      </c>
      <c r="M46" s="711">
        <f t="shared" ca="1" si="5"/>
        <v>0</v>
      </c>
      <c r="N46" s="711">
        <f t="shared" si="5"/>
        <v>0</v>
      </c>
      <c r="O46" s="711">
        <f t="shared" ca="1" si="5"/>
        <v>0</v>
      </c>
      <c r="P46" s="711">
        <f t="shared" si="5"/>
        <v>0</v>
      </c>
      <c r="Q46" s="711">
        <f t="shared" si="5"/>
        <v>0</v>
      </c>
      <c r="R46" s="711">
        <f ca="1">SUM(R39:R45)</f>
        <v>27022.383481442983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0.15732267851167273</v>
      </c>
      <c r="D49" s="676">
        <f ca="1">transport!C58</f>
        <v>0</v>
      </c>
      <c r="E49" s="676">
        <f>transport!D58</f>
        <v>0</v>
      </c>
      <c r="F49" s="676">
        <f>transport!E58</f>
        <v>0</v>
      </c>
      <c r="G49" s="676">
        <f>transport!F58</f>
        <v>0</v>
      </c>
      <c r="H49" s="676">
        <f>transport!G58</f>
        <v>38.877958922160573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39.035281600672249</v>
      </c>
    </row>
    <row r="50" spans="1:18">
      <c r="A50" s="807" t="s">
        <v>296</v>
      </c>
      <c r="B50" s="817"/>
      <c r="C50" s="682">
        <f ca="1">transport!B18</f>
        <v>0.47216347922971358</v>
      </c>
      <c r="D50" s="682">
        <f>transport!C18</f>
        <v>0</v>
      </c>
      <c r="E50" s="682">
        <f>transport!D18</f>
        <v>0.46299492661894615</v>
      </c>
      <c r="F50" s="682">
        <f>transport!E18</f>
        <v>18.342322289722986</v>
      </c>
      <c r="G50" s="682">
        <f>transport!F18</f>
        <v>0</v>
      </c>
      <c r="H50" s="682">
        <f>transport!G18</f>
        <v>7334.1377161440951</v>
      </c>
      <c r="I50" s="682">
        <f>transport!H18</f>
        <v>970.3416520262241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8323.7568488658908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0.62948615774138628</v>
      </c>
      <c r="D52" s="711">
        <f t="shared" ref="D52:Q52" ca="1" si="6">SUM(D48:D51)</f>
        <v>0</v>
      </c>
      <c r="E52" s="711">
        <f t="shared" si="6"/>
        <v>0.46299492661894615</v>
      </c>
      <c r="F52" s="711">
        <f t="shared" si="6"/>
        <v>18.342322289722986</v>
      </c>
      <c r="G52" s="711">
        <f t="shared" si="6"/>
        <v>0</v>
      </c>
      <c r="H52" s="711">
        <f t="shared" si="6"/>
        <v>7373.0156750662554</v>
      </c>
      <c r="I52" s="711">
        <f t="shared" si="6"/>
        <v>970.3416520262241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8362.7921304665633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508.13303333793681</v>
      </c>
      <c r="D54" s="682">
        <f ca="1">+landbouw!C12</f>
        <v>1814.9445378151263</v>
      </c>
      <c r="E54" s="682">
        <f>+landbouw!D12</f>
        <v>0</v>
      </c>
      <c r="F54" s="682">
        <f>+landbouw!E12</f>
        <v>6.9115797457277104</v>
      </c>
      <c r="G54" s="682">
        <f>+landbouw!F12</f>
        <v>2225.8628976324098</v>
      </c>
      <c r="H54" s="682">
        <f>+landbouw!G12</f>
        <v>0</v>
      </c>
      <c r="I54" s="682">
        <f>+landbouw!H12</f>
        <v>0</v>
      </c>
      <c r="J54" s="682">
        <f>+landbouw!I12</f>
        <v>0</v>
      </c>
      <c r="K54" s="682">
        <f>+landbouw!J12</f>
        <v>128.63370884460053</v>
      </c>
      <c r="L54" s="682">
        <f>+landbouw!K12</f>
        <v>0</v>
      </c>
      <c r="M54" s="682">
        <f>+landbouw!L12</f>
        <v>0</v>
      </c>
      <c r="N54" s="682">
        <f>+landbouw!M12</f>
        <v>0</v>
      </c>
      <c r="O54" s="682">
        <f>+landbouw!N12</f>
        <v>0</v>
      </c>
      <c r="P54" s="682">
        <f>+landbouw!O12</f>
        <v>0</v>
      </c>
      <c r="Q54" s="683">
        <f>+landbouw!P12</f>
        <v>0</v>
      </c>
      <c r="R54" s="710">
        <f ca="1">SUM(C54:Q54)</f>
        <v>4684.4857573758009</v>
      </c>
    </row>
    <row r="55" spans="1:18" ht="15" thickBot="1">
      <c r="A55" s="807" t="s">
        <v>833</v>
      </c>
      <c r="B55" s="817"/>
      <c r="C55" s="682">
        <f ca="1">C25*'EF ele_warmte'!B12</f>
        <v>77.405564435931495</v>
      </c>
      <c r="D55" s="682"/>
      <c r="E55" s="682">
        <f>E25*EF_CO2_aardgas</f>
        <v>151.22484628532368</v>
      </c>
      <c r="F55" s="682"/>
      <c r="G55" s="682"/>
      <c r="H55" s="682"/>
      <c r="I55" s="682"/>
      <c r="J55" s="682"/>
      <c r="K55" s="682"/>
      <c r="L55" s="682"/>
      <c r="M55" s="682"/>
      <c r="N55" s="682"/>
      <c r="O55" s="682"/>
      <c r="P55" s="682"/>
      <c r="Q55" s="683"/>
      <c r="R55" s="710">
        <f ca="1">SUM(C55:Q55)</f>
        <v>228.63041072125517</v>
      </c>
    </row>
    <row r="56" spans="1:18" ht="15.75" thickBot="1">
      <c r="A56" s="805" t="s">
        <v>834</v>
      </c>
      <c r="B56" s="818"/>
      <c r="C56" s="711">
        <f ca="1">SUM(C54:C55)</f>
        <v>585.53859777386833</v>
      </c>
      <c r="D56" s="711">
        <f t="shared" ref="D56:Q56" ca="1" si="7">SUM(D54:D55)</f>
        <v>1814.9445378151263</v>
      </c>
      <c r="E56" s="711">
        <f t="shared" si="7"/>
        <v>151.22484628532368</v>
      </c>
      <c r="F56" s="711">
        <f t="shared" si="7"/>
        <v>6.9115797457277104</v>
      </c>
      <c r="G56" s="711">
        <f t="shared" si="7"/>
        <v>2225.8628976324098</v>
      </c>
      <c r="H56" s="711">
        <f t="shared" si="7"/>
        <v>0</v>
      </c>
      <c r="I56" s="711">
        <f t="shared" si="7"/>
        <v>0</v>
      </c>
      <c r="J56" s="711">
        <f t="shared" si="7"/>
        <v>0</v>
      </c>
      <c r="K56" s="711">
        <f t="shared" si="7"/>
        <v>128.63370884460053</v>
      </c>
      <c r="L56" s="711">
        <f t="shared" si="7"/>
        <v>0</v>
      </c>
      <c r="M56" s="711">
        <f t="shared" si="7"/>
        <v>0</v>
      </c>
      <c r="N56" s="711">
        <f t="shared" si="7"/>
        <v>0</v>
      </c>
      <c r="O56" s="711">
        <f t="shared" si="7"/>
        <v>0</v>
      </c>
      <c r="P56" s="711">
        <f t="shared" si="7"/>
        <v>0</v>
      </c>
      <c r="Q56" s="712">
        <f t="shared" si="7"/>
        <v>0</v>
      </c>
      <c r="R56" s="713">
        <f ca="1">SUM(R54:R55)</f>
        <v>4913.1161680970563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9625.9681058017159</v>
      </c>
      <c r="D61" s="719">
        <f t="shared" ref="D61:Q61" ca="1" si="8">D46+D52+D56</f>
        <v>1814.9445378151263</v>
      </c>
      <c r="E61" s="719">
        <f t="shared" ca="1" si="8"/>
        <v>6484.335293068013</v>
      </c>
      <c r="F61" s="719">
        <f t="shared" si="8"/>
        <v>609.83517260972542</v>
      </c>
      <c r="G61" s="719">
        <f t="shared" ca="1" si="8"/>
        <v>13051.41836980297</v>
      </c>
      <c r="H61" s="719">
        <f t="shared" si="8"/>
        <v>7373.0156750662554</v>
      </c>
      <c r="I61" s="719">
        <f t="shared" si="8"/>
        <v>970.3416520262241</v>
      </c>
      <c r="J61" s="719">
        <f t="shared" si="8"/>
        <v>0</v>
      </c>
      <c r="K61" s="719">
        <f t="shared" si="8"/>
        <v>368.43297381657055</v>
      </c>
      <c r="L61" s="719">
        <f t="shared" si="8"/>
        <v>0</v>
      </c>
      <c r="M61" s="719">
        <f t="shared" ca="1" si="8"/>
        <v>0</v>
      </c>
      <c r="N61" s="719">
        <f t="shared" si="8"/>
        <v>0</v>
      </c>
      <c r="O61" s="719">
        <f t="shared" ca="1" si="8"/>
        <v>0</v>
      </c>
      <c r="P61" s="719">
        <f t="shared" si="8"/>
        <v>0</v>
      </c>
      <c r="Q61" s="719">
        <f t="shared" si="8"/>
        <v>0</v>
      </c>
      <c r="R61" s="719">
        <f ca="1">R46+R52+R56</f>
        <v>40298.291780006599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0.21030079251679554</v>
      </c>
      <c r="D63" s="762">
        <f t="shared" ca="1" si="9"/>
        <v>0.23764705882352946</v>
      </c>
      <c r="E63" s="984">
        <f t="shared" ca="1" si="9"/>
        <v>0.20200000000000004</v>
      </c>
      <c r="F63" s="762">
        <f t="shared" si="9"/>
        <v>0.22700000000000004</v>
      </c>
      <c r="G63" s="762">
        <f t="shared" ca="1" si="9"/>
        <v>0.26700000000000002</v>
      </c>
      <c r="H63" s="762">
        <f t="shared" si="9"/>
        <v>0.26700000000000002</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2618.6578424835097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5346</v>
      </c>
      <c r="D76" s="994">
        <f>'lokale energieproductie'!C8</f>
        <v>6289.4117647058838</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1270.4611764705885</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2618.6578424835097</v>
      </c>
      <c r="C78" s="734">
        <f>SUM(C72:C77)</f>
        <v>5346</v>
      </c>
      <c r="D78" s="735">
        <f t="shared" ref="D78:H78" si="10">SUM(D76:D77)</f>
        <v>6289.4117647058838</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1270.4611764705885</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7637.1428571428569</v>
      </c>
      <c r="D87" s="756">
        <f>'lokale energieproductie'!C17</f>
        <v>8984.8739495798327</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1814.9445378151263</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7637.1428571428569</v>
      </c>
      <c r="D90" s="734">
        <f t="shared" ref="D90:H90" si="12">SUM(D87:D89)</f>
        <v>8984.8739495798327</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1814.9445378151263</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14797.647149923081</v>
      </c>
      <c r="C4" s="448">
        <f>huishoudens!C8</f>
        <v>0</v>
      </c>
      <c r="D4" s="448">
        <f>huishoudens!D8</f>
        <v>22566.900182551028</v>
      </c>
      <c r="E4" s="448">
        <f>huishoudens!E8</f>
        <v>1098.3114886475969</v>
      </c>
      <c r="F4" s="448">
        <f>huishoudens!F8</f>
        <v>33658.274803602435</v>
      </c>
      <c r="G4" s="448">
        <f>huishoudens!G8</f>
        <v>0</v>
      </c>
      <c r="H4" s="448">
        <f>huishoudens!H8</f>
        <v>0</v>
      </c>
      <c r="I4" s="448">
        <f>huishoudens!I8</f>
        <v>0</v>
      </c>
      <c r="J4" s="448">
        <f>huishoudens!J8</f>
        <v>637.42070528552767</v>
      </c>
      <c r="K4" s="448">
        <f>huishoudens!K8</f>
        <v>0</v>
      </c>
      <c r="L4" s="448">
        <f>huishoudens!L8</f>
        <v>0</v>
      </c>
      <c r="M4" s="448">
        <f>huishoudens!M8</f>
        <v>0</v>
      </c>
      <c r="N4" s="448">
        <f>huishoudens!N8</f>
        <v>5393.022923903125</v>
      </c>
      <c r="O4" s="448">
        <f>huishoudens!O8</f>
        <v>128.19333333333336</v>
      </c>
      <c r="P4" s="449">
        <f>huishoudens!P8</f>
        <v>286</v>
      </c>
      <c r="Q4" s="450">
        <f>SUM(B4:P4)</f>
        <v>78565.770587246137</v>
      </c>
    </row>
    <row r="5" spans="1:17">
      <c r="A5" s="447" t="s">
        <v>149</v>
      </c>
      <c r="B5" s="448">
        <f ca="1">tertiair!B16</f>
        <v>8281.9511891389193</v>
      </c>
      <c r="C5" s="448">
        <f ca="1">tertiair!C16</f>
        <v>0</v>
      </c>
      <c r="D5" s="448">
        <f ca="1">tertiair!D16</f>
        <v>7194.3604710908712</v>
      </c>
      <c r="E5" s="448">
        <f>tertiair!E16</f>
        <v>109.48322317332597</v>
      </c>
      <c r="F5" s="448">
        <f ca="1">tertiair!F16</f>
        <v>1690.7433886729448</v>
      </c>
      <c r="G5" s="448">
        <f>tertiair!G16</f>
        <v>0</v>
      </c>
      <c r="H5" s="448">
        <f>tertiair!H16</f>
        <v>0</v>
      </c>
      <c r="I5" s="448">
        <f>tertiair!I16</f>
        <v>0</v>
      </c>
      <c r="J5" s="448">
        <f>tertiair!J16</f>
        <v>0</v>
      </c>
      <c r="K5" s="448">
        <f>tertiair!K16</f>
        <v>0</v>
      </c>
      <c r="L5" s="448">
        <f ca="1">tertiair!L16</f>
        <v>0</v>
      </c>
      <c r="M5" s="448">
        <f>tertiair!M16</f>
        <v>0</v>
      </c>
      <c r="N5" s="448">
        <f ca="1">tertiair!N16</f>
        <v>1061.5787457005301</v>
      </c>
      <c r="O5" s="448">
        <f>tertiair!O16</f>
        <v>1.5633333333333335</v>
      </c>
      <c r="P5" s="449">
        <f>tertiair!P16</f>
        <v>0</v>
      </c>
      <c r="Q5" s="447">
        <f t="shared" ref="Q5:Q14" ca="1" si="0">SUM(B5:P5)</f>
        <v>18339.680351109924</v>
      </c>
    </row>
    <row r="6" spans="1:17">
      <c r="A6" s="447" t="s">
        <v>187</v>
      </c>
      <c r="B6" s="448">
        <f>'openbare verlichting'!B8</f>
        <v>615.26199999999994</v>
      </c>
      <c r="C6" s="448"/>
      <c r="D6" s="448"/>
      <c r="E6" s="448"/>
      <c r="F6" s="448"/>
      <c r="G6" s="448"/>
      <c r="H6" s="448"/>
      <c r="I6" s="448"/>
      <c r="J6" s="448"/>
      <c r="K6" s="448"/>
      <c r="L6" s="448"/>
      <c r="M6" s="448"/>
      <c r="N6" s="448"/>
      <c r="O6" s="448"/>
      <c r="P6" s="449"/>
      <c r="Q6" s="447">
        <f t="shared" si="0"/>
        <v>615.26199999999994</v>
      </c>
    </row>
    <row r="7" spans="1:17">
      <c r="A7" s="447" t="s">
        <v>105</v>
      </c>
      <c r="B7" s="448">
        <f>landbouw!B8</f>
        <v>2416.220249371409</v>
      </c>
      <c r="C7" s="448">
        <f>landbouw!C8</f>
        <v>7637.1428571428569</v>
      </c>
      <c r="D7" s="448">
        <f>landbouw!D8</f>
        <v>0</v>
      </c>
      <c r="E7" s="448">
        <f>landbouw!E8</f>
        <v>30.447487866641897</v>
      </c>
      <c r="F7" s="448">
        <f>landbouw!F8</f>
        <v>8336.5651596719472</v>
      </c>
      <c r="G7" s="448">
        <f>landbouw!G8</f>
        <v>0</v>
      </c>
      <c r="H7" s="448">
        <f>landbouw!H8</f>
        <v>0</v>
      </c>
      <c r="I7" s="448">
        <f>landbouw!I8</f>
        <v>0</v>
      </c>
      <c r="J7" s="448">
        <f>landbouw!J8</f>
        <v>363.37205888305238</v>
      </c>
      <c r="K7" s="448">
        <f>landbouw!K8</f>
        <v>0</v>
      </c>
      <c r="L7" s="448">
        <f>landbouw!L8</f>
        <v>0</v>
      </c>
      <c r="M7" s="448">
        <f>landbouw!M8</f>
        <v>0</v>
      </c>
      <c r="N7" s="448">
        <f>landbouw!N8</f>
        <v>0</v>
      </c>
      <c r="O7" s="448">
        <f>landbouw!O8</f>
        <v>0</v>
      </c>
      <c r="P7" s="449">
        <f>landbouw!P8</f>
        <v>0</v>
      </c>
      <c r="Q7" s="447">
        <f t="shared" si="0"/>
        <v>18783.747812935904</v>
      </c>
    </row>
    <row r="8" spans="1:17">
      <c r="A8" s="447" t="s">
        <v>639</v>
      </c>
      <c r="B8" s="448">
        <f>industrie!B18</f>
        <v>19290.236928929266</v>
      </c>
      <c r="C8" s="448">
        <f>industrie!C18</f>
        <v>0</v>
      </c>
      <c r="D8" s="448">
        <f>industrie!D18</f>
        <v>1588.479207031713</v>
      </c>
      <c r="E8" s="448">
        <f>industrie!E18</f>
        <v>1367.4531761714761</v>
      </c>
      <c r="F8" s="448">
        <f>industrie!F18</f>
        <v>5196.1333888877643</v>
      </c>
      <c r="G8" s="448">
        <f>industrie!G18</f>
        <v>0</v>
      </c>
      <c r="H8" s="448">
        <f>industrie!H18</f>
        <v>0</v>
      </c>
      <c r="I8" s="448">
        <f>industrie!I18</f>
        <v>0</v>
      </c>
      <c r="J8" s="448">
        <f>industrie!J18</f>
        <v>39.978348307608066</v>
      </c>
      <c r="K8" s="448">
        <f>industrie!K18</f>
        <v>0</v>
      </c>
      <c r="L8" s="448">
        <f>industrie!L18</f>
        <v>0</v>
      </c>
      <c r="M8" s="448">
        <f>industrie!M18</f>
        <v>0</v>
      </c>
      <c r="N8" s="448">
        <f>industrie!N18</f>
        <v>943.32493993752064</v>
      </c>
      <c r="O8" s="448">
        <f>industrie!O18</f>
        <v>0</v>
      </c>
      <c r="P8" s="449">
        <f>industrie!P18</f>
        <v>0</v>
      </c>
      <c r="Q8" s="447">
        <f t="shared" si="0"/>
        <v>28425.605989265347</v>
      </c>
    </row>
    <row r="9" spans="1:17" s="453" customFormat="1">
      <c r="A9" s="451" t="s">
        <v>557</v>
      </c>
      <c r="B9" s="452">
        <f>transport!B14</f>
        <v>2.2451816447244459</v>
      </c>
      <c r="C9" s="452">
        <f>transport!C14</f>
        <v>0</v>
      </c>
      <c r="D9" s="452">
        <f>transport!D14</f>
        <v>2.2920540921730006</v>
      </c>
      <c r="E9" s="452">
        <f>transport!E14</f>
        <v>80.803181893052795</v>
      </c>
      <c r="F9" s="452">
        <f>transport!F14</f>
        <v>0</v>
      </c>
      <c r="G9" s="452">
        <f>transport!G14</f>
        <v>27468.680584809343</v>
      </c>
      <c r="H9" s="452">
        <f>transport!H14</f>
        <v>3896.9544258081287</v>
      </c>
      <c r="I9" s="452">
        <f>transport!I14</f>
        <v>0</v>
      </c>
      <c r="J9" s="452">
        <f>transport!J14</f>
        <v>0</v>
      </c>
      <c r="K9" s="452">
        <f>transport!K14</f>
        <v>0</v>
      </c>
      <c r="L9" s="452">
        <f>transport!L14</f>
        <v>0</v>
      </c>
      <c r="M9" s="452">
        <f>transport!M14</f>
        <v>1417.8775871450509</v>
      </c>
      <c r="N9" s="452">
        <f>transport!N14</f>
        <v>0</v>
      </c>
      <c r="O9" s="452">
        <f>transport!O14</f>
        <v>0</v>
      </c>
      <c r="P9" s="452">
        <f>transport!P14</f>
        <v>0</v>
      </c>
      <c r="Q9" s="451">
        <f>SUM(B9:P9)</f>
        <v>32868.853015392473</v>
      </c>
    </row>
    <row r="10" spans="1:17">
      <c r="A10" s="447" t="s">
        <v>547</v>
      </c>
      <c r="B10" s="448">
        <f>transport!B54</f>
        <v>0.74808409720618729</v>
      </c>
      <c r="C10" s="448">
        <f>transport!C54</f>
        <v>0</v>
      </c>
      <c r="D10" s="448">
        <f>transport!D54</f>
        <v>0</v>
      </c>
      <c r="E10" s="448">
        <f>transport!E54</f>
        <v>0</v>
      </c>
      <c r="F10" s="448">
        <f>transport!F54</f>
        <v>0</v>
      </c>
      <c r="G10" s="448">
        <f>transport!G54</f>
        <v>145.61033304179989</v>
      </c>
      <c r="H10" s="448">
        <f>transport!H54</f>
        <v>0</v>
      </c>
      <c r="I10" s="448">
        <f>transport!I54</f>
        <v>0</v>
      </c>
      <c r="J10" s="448">
        <f>transport!J54</f>
        <v>0</v>
      </c>
      <c r="K10" s="448">
        <f>transport!K54</f>
        <v>0</v>
      </c>
      <c r="L10" s="448">
        <f>transport!L54</f>
        <v>0</v>
      </c>
      <c r="M10" s="448">
        <f>transport!M54</f>
        <v>6.5292896826743156</v>
      </c>
      <c r="N10" s="448">
        <f>transport!N54</f>
        <v>0</v>
      </c>
      <c r="O10" s="448">
        <f>transport!O54</f>
        <v>0</v>
      </c>
      <c r="P10" s="449">
        <f>transport!P54</f>
        <v>0</v>
      </c>
      <c r="Q10" s="447">
        <f t="shared" si="0"/>
        <v>152.88770682168038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368.07072151071202</v>
      </c>
      <c r="C14" s="455"/>
      <c r="D14" s="455">
        <f>'SEAP template'!E25</f>
        <v>748.63785289764189</v>
      </c>
      <c r="E14" s="455"/>
      <c r="F14" s="455"/>
      <c r="G14" s="455"/>
      <c r="H14" s="455"/>
      <c r="I14" s="455"/>
      <c r="J14" s="455"/>
      <c r="K14" s="455"/>
      <c r="L14" s="455"/>
      <c r="M14" s="455"/>
      <c r="N14" s="455"/>
      <c r="O14" s="455"/>
      <c r="P14" s="456"/>
      <c r="Q14" s="447">
        <f t="shared" si="0"/>
        <v>1116.7085744083538</v>
      </c>
    </row>
    <row r="15" spans="1:17" s="460" customFormat="1">
      <c r="A15" s="457" t="s">
        <v>551</v>
      </c>
      <c r="B15" s="458">
        <f ca="1">SUM(B4:B14)</f>
        <v>45772.381504615318</v>
      </c>
      <c r="C15" s="458">
        <f t="shared" ref="C15:Q15" ca="1" si="1">SUM(C4:C14)</f>
        <v>7637.1428571428569</v>
      </c>
      <c r="D15" s="458">
        <f t="shared" ca="1" si="1"/>
        <v>32100.669767663425</v>
      </c>
      <c r="E15" s="458">
        <f t="shared" si="1"/>
        <v>2686.4985577520933</v>
      </c>
      <c r="F15" s="458">
        <f t="shared" ca="1" si="1"/>
        <v>48881.716740835087</v>
      </c>
      <c r="G15" s="458">
        <f t="shared" si="1"/>
        <v>27614.290917851144</v>
      </c>
      <c r="H15" s="458">
        <f t="shared" si="1"/>
        <v>3896.9544258081287</v>
      </c>
      <c r="I15" s="458">
        <f t="shared" si="1"/>
        <v>0</v>
      </c>
      <c r="J15" s="458">
        <f t="shared" si="1"/>
        <v>1040.7711124761881</v>
      </c>
      <c r="K15" s="458">
        <f t="shared" si="1"/>
        <v>0</v>
      </c>
      <c r="L15" s="458">
        <f t="shared" ca="1" si="1"/>
        <v>0</v>
      </c>
      <c r="M15" s="458">
        <f t="shared" si="1"/>
        <v>1424.4068768277252</v>
      </c>
      <c r="N15" s="458">
        <f t="shared" ca="1" si="1"/>
        <v>7397.9266095411758</v>
      </c>
      <c r="O15" s="458">
        <f t="shared" si="1"/>
        <v>129.75666666666669</v>
      </c>
      <c r="P15" s="458">
        <f t="shared" si="1"/>
        <v>286</v>
      </c>
      <c r="Q15" s="458">
        <f t="shared" ca="1" si="1"/>
        <v>178868.5160371798</v>
      </c>
    </row>
    <row r="17" spans="1:17">
      <c r="A17" s="461" t="s">
        <v>552</v>
      </c>
      <c r="B17" s="767">
        <f ca="1">huishoudens!B10</f>
        <v>0.21030079251679559</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3111.9569230127254</v>
      </c>
      <c r="C22" s="448">
        <f t="shared" ref="C22:C32" ca="1" si="3">C4*$C$17</f>
        <v>0</v>
      </c>
      <c r="D22" s="448">
        <f t="shared" ref="D22:D32" si="4">D4*$D$17</f>
        <v>4558.5138368753078</v>
      </c>
      <c r="E22" s="448">
        <f t="shared" ref="E22:E32" si="5">E4*$E$17</f>
        <v>249.31670792300451</v>
      </c>
      <c r="F22" s="448">
        <f t="shared" ref="F22:F32" si="6">F4*$F$17</f>
        <v>8986.7593725618499</v>
      </c>
      <c r="G22" s="448">
        <f t="shared" ref="G22:G32" si="7">G4*$G$17</f>
        <v>0</v>
      </c>
      <c r="H22" s="448">
        <f t="shared" ref="H22:H32" si="8">H4*$H$17</f>
        <v>0</v>
      </c>
      <c r="I22" s="448">
        <f t="shared" ref="I22:I32" si="9">I4*$I$17</f>
        <v>0</v>
      </c>
      <c r="J22" s="448">
        <f t="shared" ref="J22:J32" si="10">J4*$J$17</f>
        <v>225.64692967107678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17132.193770043967</v>
      </c>
    </row>
    <row r="23" spans="1:17">
      <c r="A23" s="447" t="s">
        <v>149</v>
      </c>
      <c r="B23" s="448">
        <f t="shared" ca="1" si="2"/>
        <v>1741.7008986613323</v>
      </c>
      <c r="C23" s="448">
        <f t="shared" ca="1" si="3"/>
        <v>0</v>
      </c>
      <c r="D23" s="448">
        <f t="shared" ca="1" si="4"/>
        <v>1453.2608151603561</v>
      </c>
      <c r="E23" s="448">
        <f t="shared" si="5"/>
        <v>24.852691660344995</v>
      </c>
      <c r="F23" s="448">
        <f t="shared" ca="1" si="6"/>
        <v>451.42848477567628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3671.2428902577094</v>
      </c>
    </row>
    <row r="24" spans="1:17">
      <c r="A24" s="447" t="s">
        <v>187</v>
      </c>
      <c r="B24" s="448">
        <f t="shared" ca="1" si="2"/>
        <v>129.39008620546869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129.39008620546869</v>
      </c>
    </row>
    <row r="25" spans="1:17">
      <c r="A25" s="447" t="s">
        <v>105</v>
      </c>
      <c r="B25" s="448">
        <f t="shared" ca="1" si="2"/>
        <v>508.13303333793681</v>
      </c>
      <c r="C25" s="448">
        <f t="shared" ca="1" si="3"/>
        <v>1814.9445378151263</v>
      </c>
      <c r="D25" s="448">
        <f t="shared" si="4"/>
        <v>0</v>
      </c>
      <c r="E25" s="448">
        <f t="shared" si="5"/>
        <v>6.9115797457277104</v>
      </c>
      <c r="F25" s="448">
        <f t="shared" si="6"/>
        <v>2225.8628976324098</v>
      </c>
      <c r="G25" s="448">
        <f t="shared" si="7"/>
        <v>0</v>
      </c>
      <c r="H25" s="448">
        <f t="shared" si="8"/>
        <v>0</v>
      </c>
      <c r="I25" s="448">
        <f t="shared" si="9"/>
        <v>0</v>
      </c>
      <c r="J25" s="448">
        <f t="shared" si="10"/>
        <v>128.63370884460053</v>
      </c>
      <c r="K25" s="448">
        <f t="shared" si="11"/>
        <v>0</v>
      </c>
      <c r="L25" s="448">
        <f t="shared" si="12"/>
        <v>0</v>
      </c>
      <c r="M25" s="448">
        <f t="shared" si="13"/>
        <v>0</v>
      </c>
      <c r="N25" s="448">
        <f t="shared" si="14"/>
        <v>0</v>
      </c>
      <c r="O25" s="448">
        <f t="shared" si="15"/>
        <v>0</v>
      </c>
      <c r="P25" s="449">
        <f t="shared" si="16"/>
        <v>0</v>
      </c>
      <c r="Q25" s="447">
        <f t="shared" ca="1" si="17"/>
        <v>4684.4857573758009</v>
      </c>
    </row>
    <row r="26" spans="1:17">
      <c r="A26" s="447" t="s">
        <v>639</v>
      </c>
      <c r="B26" s="448">
        <f t="shared" ca="1" si="2"/>
        <v>4056.7521139905816</v>
      </c>
      <c r="C26" s="448">
        <f t="shared" ca="1" si="3"/>
        <v>0</v>
      </c>
      <c r="D26" s="448">
        <f t="shared" si="4"/>
        <v>320.87279982040604</v>
      </c>
      <c r="E26" s="448">
        <f t="shared" si="5"/>
        <v>310.41187099092508</v>
      </c>
      <c r="F26" s="448">
        <f t="shared" si="6"/>
        <v>1387.3676148330333</v>
      </c>
      <c r="G26" s="448">
        <f t="shared" si="7"/>
        <v>0</v>
      </c>
      <c r="H26" s="448">
        <f t="shared" si="8"/>
        <v>0</v>
      </c>
      <c r="I26" s="448">
        <f t="shared" si="9"/>
        <v>0</v>
      </c>
      <c r="J26" s="448">
        <f t="shared" si="10"/>
        <v>14.152335300893254</v>
      </c>
      <c r="K26" s="448">
        <f t="shared" si="11"/>
        <v>0</v>
      </c>
      <c r="L26" s="448">
        <f t="shared" si="12"/>
        <v>0</v>
      </c>
      <c r="M26" s="448">
        <f t="shared" si="13"/>
        <v>0</v>
      </c>
      <c r="N26" s="448">
        <f t="shared" si="14"/>
        <v>0</v>
      </c>
      <c r="O26" s="448">
        <f t="shared" si="15"/>
        <v>0</v>
      </c>
      <c r="P26" s="449">
        <f t="shared" si="16"/>
        <v>0</v>
      </c>
      <c r="Q26" s="447">
        <f t="shared" ca="1" si="17"/>
        <v>6089.5567349358398</v>
      </c>
    </row>
    <row r="27" spans="1:17" s="453" customFormat="1">
      <c r="A27" s="451" t="s">
        <v>557</v>
      </c>
      <c r="B27" s="761">
        <f t="shared" ca="1" si="2"/>
        <v>0.47216347922971358</v>
      </c>
      <c r="C27" s="452">
        <f t="shared" ca="1" si="3"/>
        <v>0</v>
      </c>
      <c r="D27" s="452">
        <f t="shared" si="4"/>
        <v>0.46299492661894615</v>
      </c>
      <c r="E27" s="452">
        <f t="shared" si="5"/>
        <v>18.342322289722986</v>
      </c>
      <c r="F27" s="452">
        <f t="shared" si="6"/>
        <v>0</v>
      </c>
      <c r="G27" s="452">
        <f t="shared" si="7"/>
        <v>7334.1377161440951</v>
      </c>
      <c r="H27" s="452">
        <f t="shared" si="8"/>
        <v>970.3416520262241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8323.7568488658908</v>
      </c>
    </row>
    <row r="28" spans="1:17">
      <c r="A28" s="447" t="s">
        <v>547</v>
      </c>
      <c r="B28" s="448">
        <f t="shared" ca="1" si="2"/>
        <v>0.15732267851167273</v>
      </c>
      <c r="C28" s="448">
        <f t="shared" ca="1" si="3"/>
        <v>0</v>
      </c>
      <c r="D28" s="448">
        <f t="shared" si="4"/>
        <v>0</v>
      </c>
      <c r="E28" s="448">
        <f t="shared" si="5"/>
        <v>0</v>
      </c>
      <c r="F28" s="448">
        <f t="shared" si="6"/>
        <v>0</v>
      </c>
      <c r="G28" s="448">
        <f t="shared" si="7"/>
        <v>38.877958922160573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39.035281600672249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77.405564435931495</v>
      </c>
      <c r="C32" s="448">
        <f t="shared" ca="1" si="3"/>
        <v>0</v>
      </c>
      <c r="D32" s="448">
        <f t="shared" si="4"/>
        <v>151.22484628532368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228.63041072125517</v>
      </c>
    </row>
    <row r="33" spans="1:17" s="460" customFormat="1">
      <c r="A33" s="457" t="s">
        <v>551</v>
      </c>
      <c r="B33" s="458">
        <f ca="1">SUM(B22:B32)</f>
        <v>9625.9681058017177</v>
      </c>
      <c r="C33" s="458">
        <f t="shared" ref="C33:Q33" ca="1" si="18">SUM(C22:C32)</f>
        <v>1814.9445378151263</v>
      </c>
      <c r="D33" s="458">
        <f t="shared" ca="1" si="18"/>
        <v>6484.335293068013</v>
      </c>
      <c r="E33" s="458">
        <f t="shared" si="18"/>
        <v>609.8351726097253</v>
      </c>
      <c r="F33" s="458">
        <f t="shared" ca="1" si="18"/>
        <v>13051.41836980297</v>
      </c>
      <c r="G33" s="458">
        <f t="shared" si="18"/>
        <v>7373.0156750662554</v>
      </c>
      <c r="H33" s="458">
        <f t="shared" si="18"/>
        <v>970.3416520262241</v>
      </c>
      <c r="I33" s="458">
        <f t="shared" si="18"/>
        <v>0</v>
      </c>
      <c r="J33" s="458">
        <f t="shared" si="18"/>
        <v>368.43297381657055</v>
      </c>
      <c r="K33" s="458">
        <f t="shared" si="18"/>
        <v>0</v>
      </c>
      <c r="L33" s="458">
        <f t="shared" ca="1" si="18"/>
        <v>0</v>
      </c>
      <c r="M33" s="458">
        <f t="shared" si="18"/>
        <v>0</v>
      </c>
      <c r="N33" s="458">
        <f t="shared" ca="1" si="18"/>
        <v>0</v>
      </c>
      <c r="O33" s="458">
        <f t="shared" si="18"/>
        <v>0</v>
      </c>
      <c r="P33" s="458">
        <f t="shared" si="18"/>
        <v>0</v>
      </c>
      <c r="Q33" s="458">
        <f t="shared" ca="1" si="18"/>
        <v>40298.291780006606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2618.6578424835097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5346</v>
      </c>
      <c r="D8" s="1020">
        <f>'SEAP template'!D76</f>
        <v>6289.4117647058838</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1270.4611764705885</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2618.6578424835097</v>
      </c>
      <c r="C10" s="1024">
        <f>SUM(C4:C9)</f>
        <v>5346</v>
      </c>
      <c r="D10" s="1024">
        <f t="shared" ref="D10:H10" si="0">SUM(D8:D9)</f>
        <v>6289.4117647058838</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1270.4611764705885</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0.21030079251679559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7637.1428571428569</v>
      </c>
      <c r="D17" s="1021">
        <f>'SEAP template'!D87</f>
        <v>8984.8739495798327</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1814.9445378151263</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7637.1428571428569</v>
      </c>
      <c r="D20" s="1024">
        <f t="shared" ref="D20:H20" si="2">SUM(D17:D19)</f>
        <v>8984.8739495798327</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1814.9445378151263</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0.21030079251679559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0.21030079251679559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0.21030079251679559</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3251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1711</v>
      </c>
      <c r="C14" s="327"/>
      <c r="D14" s="327"/>
      <c r="E14" s="327"/>
      <c r="F14" s="327"/>
    </row>
    <row r="15" spans="1:6">
      <c r="A15" s="1296" t="s">
        <v>177</v>
      </c>
      <c r="B15" s="1297">
        <v>25</v>
      </c>
      <c r="C15" s="327"/>
      <c r="D15" s="327"/>
      <c r="E15" s="327"/>
      <c r="F15" s="327"/>
    </row>
    <row r="16" spans="1:6">
      <c r="A16" s="1296" t="s">
        <v>6</v>
      </c>
      <c r="B16" s="1297">
        <v>711</v>
      </c>
      <c r="C16" s="327"/>
      <c r="D16" s="327"/>
      <c r="E16" s="327"/>
      <c r="F16" s="327"/>
    </row>
    <row r="17" spans="1:6">
      <c r="A17" s="1296" t="s">
        <v>7</v>
      </c>
      <c r="B17" s="1297">
        <v>901</v>
      </c>
      <c r="C17" s="327"/>
      <c r="D17" s="327"/>
      <c r="E17" s="327"/>
      <c r="F17" s="327"/>
    </row>
    <row r="18" spans="1:6">
      <c r="A18" s="1296" t="s">
        <v>8</v>
      </c>
      <c r="B18" s="1297">
        <v>1047</v>
      </c>
      <c r="C18" s="327"/>
      <c r="D18" s="327"/>
      <c r="E18" s="327"/>
      <c r="F18" s="327"/>
    </row>
    <row r="19" spans="1:6">
      <c r="A19" s="1296" t="s">
        <v>9</v>
      </c>
      <c r="B19" s="1297">
        <v>1016</v>
      </c>
      <c r="C19" s="327"/>
      <c r="D19" s="327"/>
      <c r="E19" s="327"/>
      <c r="F19" s="327"/>
    </row>
    <row r="20" spans="1:6">
      <c r="A20" s="1296" t="s">
        <v>10</v>
      </c>
      <c r="B20" s="1297">
        <v>599</v>
      </c>
      <c r="C20" s="327"/>
      <c r="D20" s="327"/>
      <c r="E20" s="327"/>
      <c r="F20" s="327"/>
    </row>
    <row r="21" spans="1:6">
      <c r="A21" s="1296" t="s">
        <v>11</v>
      </c>
      <c r="B21" s="1297">
        <v>12195</v>
      </c>
      <c r="C21" s="327"/>
      <c r="D21" s="327"/>
      <c r="E21" s="327"/>
      <c r="F21" s="327"/>
    </row>
    <row r="22" spans="1:6">
      <c r="A22" s="1296" t="s">
        <v>12</v>
      </c>
      <c r="B22" s="1297">
        <v>27237</v>
      </c>
      <c r="C22" s="327"/>
      <c r="D22" s="327"/>
      <c r="E22" s="327"/>
      <c r="F22" s="327"/>
    </row>
    <row r="23" spans="1:6">
      <c r="A23" s="1296" t="s">
        <v>13</v>
      </c>
      <c r="B23" s="1297">
        <v>827</v>
      </c>
      <c r="C23" s="327"/>
      <c r="D23" s="327"/>
      <c r="E23" s="327"/>
      <c r="F23" s="327"/>
    </row>
    <row r="24" spans="1:6">
      <c r="A24" s="1296" t="s">
        <v>14</v>
      </c>
      <c r="B24" s="1297">
        <v>36</v>
      </c>
      <c r="C24" s="327"/>
      <c r="D24" s="327"/>
      <c r="E24" s="327"/>
      <c r="F24" s="327"/>
    </row>
    <row r="25" spans="1:6">
      <c r="A25" s="1296" t="s">
        <v>15</v>
      </c>
      <c r="B25" s="1297">
        <v>3415</v>
      </c>
      <c r="C25" s="327"/>
      <c r="D25" s="327"/>
      <c r="E25" s="327"/>
      <c r="F25" s="327"/>
    </row>
    <row r="26" spans="1:6">
      <c r="A26" s="1296" t="s">
        <v>16</v>
      </c>
      <c r="B26" s="1297">
        <v>44</v>
      </c>
      <c r="C26" s="327"/>
      <c r="D26" s="327"/>
      <c r="E26" s="327"/>
      <c r="F26" s="327"/>
    </row>
    <row r="27" spans="1:6">
      <c r="A27" s="1296" t="s">
        <v>17</v>
      </c>
      <c r="B27" s="1297">
        <v>0</v>
      </c>
      <c r="C27" s="327"/>
      <c r="D27" s="327"/>
      <c r="E27" s="327"/>
      <c r="F27" s="327"/>
    </row>
    <row r="28" spans="1:6">
      <c r="A28" s="1296" t="s">
        <v>18</v>
      </c>
      <c r="B28" s="1298">
        <v>132535</v>
      </c>
      <c r="C28" s="327"/>
      <c r="D28" s="327"/>
      <c r="E28" s="327"/>
      <c r="F28" s="327"/>
    </row>
    <row r="29" spans="1:6">
      <c r="A29" s="1296" t="s">
        <v>922</v>
      </c>
      <c r="B29" s="1298">
        <v>90</v>
      </c>
      <c r="C29" s="327"/>
      <c r="D29" s="327"/>
      <c r="E29" s="327"/>
      <c r="F29" s="327"/>
    </row>
    <row r="30" spans="1:6">
      <c r="A30" s="1291" t="s">
        <v>923</v>
      </c>
      <c r="B30" s="1299">
        <v>21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1393</v>
      </c>
      <c r="D39" s="1297">
        <v>25018736.344291601</v>
      </c>
      <c r="E39" s="1297">
        <v>3014</v>
      </c>
      <c r="F39" s="1297">
        <v>13041021.8719372</v>
      </c>
    </row>
    <row r="40" spans="1:6">
      <c r="A40" s="1296" t="s">
        <v>29</v>
      </c>
      <c r="B40" s="1296" t="s">
        <v>28</v>
      </c>
      <c r="C40" s="1297">
        <v>0</v>
      </c>
      <c r="D40" s="1297">
        <v>0</v>
      </c>
      <c r="E40" s="1297">
        <v>0</v>
      </c>
      <c r="F40" s="1297">
        <v>0</v>
      </c>
    </row>
    <row r="41" spans="1:6">
      <c r="A41" s="1296" t="s">
        <v>31</v>
      </c>
      <c r="B41" s="1296" t="s">
        <v>32</v>
      </c>
      <c r="C41" s="1297">
        <v>31</v>
      </c>
      <c r="D41" s="1297">
        <v>577141.11006766104</v>
      </c>
      <c r="E41" s="1297">
        <v>127</v>
      </c>
      <c r="F41" s="1297">
        <v>1761978.7083867199</v>
      </c>
    </row>
    <row r="42" spans="1:6">
      <c r="A42" s="1296" t="s">
        <v>31</v>
      </c>
      <c r="B42" s="1296" t="s">
        <v>33</v>
      </c>
      <c r="C42" s="1297">
        <v>0</v>
      </c>
      <c r="D42" s="1297">
        <v>0</v>
      </c>
      <c r="E42" s="1297">
        <v>3</v>
      </c>
      <c r="F42" s="1297">
        <v>336598.24474519398</v>
      </c>
    </row>
    <row r="43" spans="1:6">
      <c r="A43" s="1296" t="s">
        <v>31</v>
      </c>
      <c r="B43" s="1296" t="s">
        <v>34</v>
      </c>
      <c r="C43" s="1297">
        <v>0</v>
      </c>
      <c r="D43" s="1297">
        <v>0</v>
      </c>
      <c r="E43" s="1297">
        <v>0</v>
      </c>
      <c r="F43" s="1297">
        <v>0</v>
      </c>
    </row>
    <row r="44" spans="1:6">
      <c r="A44" s="1296" t="s">
        <v>31</v>
      </c>
      <c r="B44" s="1296" t="s">
        <v>35</v>
      </c>
      <c r="C44" s="1297">
        <v>0</v>
      </c>
      <c r="D44" s="1297">
        <v>0</v>
      </c>
      <c r="E44" s="1297">
        <v>16</v>
      </c>
      <c r="F44" s="1297">
        <v>136950.124350281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19</v>
      </c>
      <c r="D48" s="1297">
        <v>640428.37315509201</v>
      </c>
      <c r="E48" s="1297">
        <v>24</v>
      </c>
      <c r="F48" s="1297">
        <v>15596954.8971125</v>
      </c>
    </row>
    <row r="49" spans="1:6">
      <c r="A49" s="1296" t="s">
        <v>31</v>
      </c>
      <c r="B49" s="1296" t="s">
        <v>39</v>
      </c>
      <c r="C49" s="1297">
        <v>0</v>
      </c>
      <c r="D49" s="1297">
        <v>0</v>
      </c>
      <c r="E49" s="1297">
        <v>14</v>
      </c>
      <c r="F49" s="1297">
        <v>1278443.51858045</v>
      </c>
    </row>
    <row r="50" spans="1:6">
      <c r="A50" s="1296" t="s">
        <v>31</v>
      </c>
      <c r="B50" s="1296" t="s">
        <v>40</v>
      </c>
      <c r="C50" s="1297">
        <v>6</v>
      </c>
      <c r="D50" s="1297">
        <v>543493.93920708401</v>
      </c>
      <c r="E50" s="1297">
        <v>8</v>
      </c>
      <c r="F50" s="1297">
        <v>179311.43575412099</v>
      </c>
    </row>
    <row r="51" spans="1:6">
      <c r="A51" s="1296" t="s">
        <v>41</v>
      </c>
      <c r="B51" s="1296" t="s">
        <v>42</v>
      </c>
      <c r="C51" s="1297">
        <v>3</v>
      </c>
      <c r="D51" s="1297">
        <v>16859.955804418802</v>
      </c>
      <c r="E51" s="1297">
        <v>99</v>
      </c>
      <c r="F51" s="1297">
        <v>2266094.5904842699</v>
      </c>
    </row>
    <row r="52" spans="1:6">
      <c r="A52" s="1296" t="s">
        <v>41</v>
      </c>
      <c r="B52" s="1296" t="s">
        <v>28</v>
      </c>
      <c r="C52" s="1297">
        <v>1</v>
      </c>
      <c r="D52" s="1297">
        <v>34566.839461846903</v>
      </c>
      <c r="E52" s="1297">
        <v>6</v>
      </c>
      <c r="F52" s="1297">
        <v>150125.658887139</v>
      </c>
    </row>
    <row r="53" spans="1:6">
      <c r="A53" s="1296" t="s">
        <v>43</v>
      </c>
      <c r="B53" s="1296" t="s">
        <v>44</v>
      </c>
      <c r="C53" s="1297">
        <v>37</v>
      </c>
      <c r="D53" s="1297">
        <v>748637.85289764195</v>
      </c>
      <c r="E53" s="1297">
        <v>90</v>
      </c>
      <c r="F53" s="1297">
        <v>368070.721510712</v>
      </c>
    </row>
    <row r="54" spans="1:6">
      <c r="A54" s="1296" t="s">
        <v>45</v>
      </c>
      <c r="B54" s="1296" t="s">
        <v>46</v>
      </c>
      <c r="C54" s="1297">
        <v>0</v>
      </c>
      <c r="D54" s="1297">
        <v>0</v>
      </c>
      <c r="E54" s="1297">
        <v>1</v>
      </c>
      <c r="F54" s="1297">
        <v>615262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1023372.9670629</v>
      </c>
      <c r="E57" s="1297">
        <v>59</v>
      </c>
      <c r="F57" s="1297">
        <v>1241862.6312460599</v>
      </c>
    </row>
    <row r="58" spans="1:6">
      <c r="A58" s="1296" t="s">
        <v>48</v>
      </c>
      <c r="B58" s="1296" t="s">
        <v>50</v>
      </c>
      <c r="C58" s="1297">
        <v>0</v>
      </c>
      <c r="D58" s="1297">
        <v>0</v>
      </c>
      <c r="E58" s="1297">
        <v>6</v>
      </c>
      <c r="F58" s="1297">
        <v>51565.330329803903</v>
      </c>
    </row>
    <row r="59" spans="1:6">
      <c r="A59" s="1296" t="s">
        <v>48</v>
      </c>
      <c r="B59" s="1296" t="s">
        <v>51</v>
      </c>
      <c r="C59" s="1297">
        <v>12</v>
      </c>
      <c r="D59" s="1297">
        <v>671933.74318724801</v>
      </c>
      <c r="E59" s="1297">
        <v>71</v>
      </c>
      <c r="F59" s="1297">
        <v>3366466.9868093198</v>
      </c>
    </row>
    <row r="60" spans="1:6">
      <c r="A60" s="1296" t="s">
        <v>48</v>
      </c>
      <c r="B60" s="1296" t="s">
        <v>52</v>
      </c>
      <c r="C60" s="1297">
        <v>13</v>
      </c>
      <c r="D60" s="1297">
        <v>480365.95871057501</v>
      </c>
      <c r="E60" s="1297">
        <v>27</v>
      </c>
      <c r="F60" s="1297">
        <v>418650.006113938</v>
      </c>
    </row>
    <row r="61" spans="1:6">
      <c r="A61" s="1296" t="s">
        <v>48</v>
      </c>
      <c r="B61" s="1296" t="s">
        <v>53</v>
      </c>
      <c r="C61" s="1297">
        <v>28</v>
      </c>
      <c r="D61" s="1297">
        <v>657283.51043717703</v>
      </c>
      <c r="E61" s="1297">
        <v>100</v>
      </c>
      <c r="F61" s="1297">
        <v>809950.874081549</v>
      </c>
    </row>
    <row r="62" spans="1:6">
      <c r="A62" s="1296" t="s">
        <v>48</v>
      </c>
      <c r="B62" s="1296" t="s">
        <v>54</v>
      </c>
      <c r="C62" s="1297">
        <v>4</v>
      </c>
      <c r="D62" s="1297">
        <v>199924.50360139401</v>
      </c>
      <c r="E62" s="1297">
        <v>6</v>
      </c>
      <c r="F62" s="1297">
        <v>50538.957043499198</v>
      </c>
    </row>
    <row r="63" spans="1:6">
      <c r="A63" s="1296" t="s">
        <v>48</v>
      </c>
      <c r="B63" s="1296" t="s">
        <v>28</v>
      </c>
      <c r="C63" s="1297">
        <v>59</v>
      </c>
      <c r="D63" s="1297">
        <v>4943128.7084539998</v>
      </c>
      <c r="E63" s="1297">
        <v>88</v>
      </c>
      <c r="F63" s="1297">
        <v>2342916.4035147498</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4</v>
      </c>
      <c r="D68" s="1299">
        <v>68775.895367262507</v>
      </c>
      <c r="E68" s="1299">
        <v>12</v>
      </c>
      <c r="F68" s="1299">
        <v>151393.76755217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20426741</v>
      </c>
      <c r="E73" s="446"/>
      <c r="F73" s="327"/>
    </row>
    <row r="74" spans="1:6">
      <c r="A74" s="1296" t="s">
        <v>63</v>
      </c>
      <c r="B74" s="1296" t="s">
        <v>706</v>
      </c>
      <c r="C74" s="1309" t="s">
        <v>707</v>
      </c>
      <c r="D74" s="1297">
        <v>3361677.5731996382</v>
      </c>
      <c r="E74" s="446"/>
      <c r="F74" s="327"/>
    </row>
    <row r="75" spans="1:6">
      <c r="A75" s="1296" t="s">
        <v>64</v>
      </c>
      <c r="B75" s="1296" t="s">
        <v>704</v>
      </c>
      <c r="C75" s="1309" t="s">
        <v>708</v>
      </c>
      <c r="D75" s="1297">
        <v>8854635</v>
      </c>
      <c r="E75" s="446"/>
      <c r="F75" s="327"/>
    </row>
    <row r="76" spans="1:6">
      <c r="A76" s="1296" t="s">
        <v>64</v>
      </c>
      <c r="B76" s="1296" t="s">
        <v>706</v>
      </c>
      <c r="C76" s="1309" t="s">
        <v>709</v>
      </c>
      <c r="D76" s="1297">
        <v>944399.57319963805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40464.853600723931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1756.6252779858801</v>
      </c>
      <c r="C91" s="327"/>
      <c r="D91" s="327"/>
      <c r="E91" s="327"/>
      <c r="F91" s="327"/>
    </row>
    <row r="92" spans="1:6">
      <c r="A92" s="1291" t="s">
        <v>68</v>
      </c>
      <c r="B92" s="1292">
        <v>862.03256449762955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645</v>
      </c>
      <c r="C97" s="327"/>
      <c r="D97" s="327"/>
      <c r="E97" s="327"/>
      <c r="F97" s="327"/>
    </row>
    <row r="98" spans="1:6">
      <c r="A98" s="1296" t="s">
        <v>71</v>
      </c>
      <c r="B98" s="1297">
        <v>1</v>
      </c>
      <c r="C98" s="327"/>
      <c r="D98" s="327"/>
      <c r="E98" s="327"/>
      <c r="F98" s="327"/>
    </row>
    <row r="99" spans="1:6">
      <c r="A99" s="1296" t="s">
        <v>72</v>
      </c>
      <c r="B99" s="1297">
        <v>67</v>
      </c>
      <c r="C99" s="327"/>
      <c r="D99" s="327"/>
      <c r="E99" s="327"/>
      <c r="F99" s="327"/>
    </row>
    <row r="100" spans="1:6">
      <c r="A100" s="1296" t="s">
        <v>73</v>
      </c>
      <c r="B100" s="1297">
        <v>257</v>
      </c>
      <c r="C100" s="327"/>
      <c r="D100" s="327"/>
      <c r="E100" s="327"/>
      <c r="F100" s="327"/>
    </row>
    <row r="101" spans="1:6">
      <c r="A101" s="1296" t="s">
        <v>74</v>
      </c>
      <c r="B101" s="1297">
        <v>74</v>
      </c>
      <c r="C101" s="327"/>
      <c r="D101" s="327"/>
      <c r="E101" s="327"/>
      <c r="F101" s="327"/>
    </row>
    <row r="102" spans="1:6">
      <c r="A102" s="1296" t="s">
        <v>75</v>
      </c>
      <c r="B102" s="1297">
        <v>67</v>
      </c>
      <c r="C102" s="327"/>
      <c r="D102" s="327"/>
      <c r="E102" s="327"/>
      <c r="F102" s="327"/>
    </row>
    <row r="103" spans="1:6">
      <c r="A103" s="1296" t="s">
        <v>76</v>
      </c>
      <c r="B103" s="1297">
        <v>73</v>
      </c>
      <c r="C103" s="327"/>
      <c r="D103" s="327"/>
      <c r="E103" s="327"/>
      <c r="F103" s="327"/>
    </row>
    <row r="104" spans="1:6">
      <c r="A104" s="1296" t="s">
        <v>77</v>
      </c>
      <c r="B104" s="1297">
        <v>1713</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10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72</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45772.381504615318</v>
      </c>
      <c r="C3" s="43" t="s">
        <v>163</v>
      </c>
      <c r="D3" s="43"/>
      <c r="E3" s="156"/>
      <c r="F3" s="43"/>
      <c r="G3" s="43"/>
      <c r="H3" s="43"/>
      <c r="I3" s="43"/>
      <c r="J3" s="43"/>
      <c r="K3" s="96"/>
    </row>
    <row r="4" spans="1:11">
      <c r="A4" s="353" t="s">
        <v>164</v>
      </c>
      <c r="B4" s="49">
        <f>IF(ISERROR('SEAP template'!B78+'SEAP template'!C78),0,'SEAP template'!B78+'SEAP template'!C78)</f>
        <v>7964.6578424835097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1270.4611764705885</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0.21030079251679559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1814.9445378151263</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7637.1428571428569</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615.26199999999994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615.26199999999994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0.21030079251679559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129.39008620546869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13041.021871937201</v>
      </c>
      <c r="C5" s="17">
        <f>IF(ISERROR('Eigen informatie GS &amp; warmtenet'!B57),0,'Eigen informatie GS &amp; warmtenet'!B57)</f>
        <v>0</v>
      </c>
      <c r="D5" s="30">
        <f>(SUM(HH_hh_gas_kWh,HH_rest_gas_kWh)/1000)*0.902</f>
        <v>22566.900182551028</v>
      </c>
      <c r="E5" s="17">
        <f>B32*B41</f>
        <v>1098.3114886475969</v>
      </c>
      <c r="F5" s="17">
        <f>B36*B45</f>
        <v>33658.274803602435</v>
      </c>
      <c r="G5" s="18"/>
      <c r="H5" s="17"/>
      <c r="I5" s="17"/>
      <c r="J5" s="17">
        <f>B35*B44+C35*C44</f>
        <v>637.42070528552767</v>
      </c>
      <c r="K5" s="17"/>
      <c r="L5" s="17"/>
      <c r="M5" s="17"/>
      <c r="N5" s="17">
        <f>B34*B43+C34*C43</f>
        <v>5393.022923903125</v>
      </c>
      <c r="O5" s="17">
        <f>B52*B53*B54</f>
        <v>128.19333333333336</v>
      </c>
      <c r="P5" s="17">
        <f>B60*B61*B62/1000-B60*B61*B62/1000/B63</f>
        <v>286</v>
      </c>
    </row>
    <row r="6" spans="1:16">
      <c r="A6" s="16" t="s">
        <v>617</v>
      </c>
      <c r="B6" s="769">
        <f>kWh_PV_kleiner_dan_10kW</f>
        <v>1756.6252779858801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14797.647149923081</v>
      </c>
      <c r="C8" s="21">
        <f>C5</f>
        <v>0</v>
      </c>
      <c r="D8" s="21">
        <f>D5</f>
        <v>22566.900182551028</v>
      </c>
      <c r="E8" s="21">
        <f>E5</f>
        <v>1098.3114886475969</v>
      </c>
      <c r="F8" s="21">
        <f>F5</f>
        <v>33658.274803602435</v>
      </c>
      <c r="G8" s="21"/>
      <c r="H8" s="21"/>
      <c r="I8" s="21"/>
      <c r="J8" s="21">
        <f>J5</f>
        <v>637.42070528552767</v>
      </c>
      <c r="K8" s="21"/>
      <c r="L8" s="21">
        <f>L5</f>
        <v>0</v>
      </c>
      <c r="M8" s="21">
        <f>M5</f>
        <v>0</v>
      </c>
      <c r="N8" s="21">
        <f>N5</f>
        <v>5393.022923903125</v>
      </c>
      <c r="O8" s="21">
        <f>O5</f>
        <v>128.19333333333336</v>
      </c>
      <c r="P8" s="21">
        <f>P5</f>
        <v>286</v>
      </c>
    </row>
    <row r="9" spans="1:16">
      <c r="B9" s="19"/>
      <c r="C9" s="19"/>
      <c r="D9" s="257"/>
      <c r="E9" s="19"/>
      <c r="F9" s="19"/>
      <c r="G9" s="19"/>
      <c r="H9" s="19"/>
      <c r="I9" s="19"/>
      <c r="J9" s="19"/>
      <c r="K9" s="19"/>
      <c r="L9" s="19"/>
      <c r="M9" s="19"/>
      <c r="N9" s="19"/>
      <c r="O9" s="19"/>
      <c r="P9" s="19"/>
    </row>
    <row r="10" spans="1:16">
      <c r="A10" s="24" t="s">
        <v>207</v>
      </c>
      <c r="B10" s="25">
        <f ca="1">'EF ele_warmte'!B12</f>
        <v>0.21030079251679559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3111.9569230127254</v>
      </c>
      <c r="C12" s="23">
        <f ca="1">C10*C8</f>
        <v>0</v>
      </c>
      <c r="D12" s="23">
        <f>D8*D10</f>
        <v>4558.5138368753078</v>
      </c>
      <c r="E12" s="23">
        <f>E10*E8</f>
        <v>249.31670792300451</v>
      </c>
      <c r="F12" s="23">
        <f>F10*F8</f>
        <v>8986.7593725618499</v>
      </c>
      <c r="G12" s="23"/>
      <c r="H12" s="23"/>
      <c r="I12" s="23"/>
      <c r="J12" s="23">
        <f>J10*J8</f>
        <v>225.64692967107678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3251</v>
      </c>
      <c r="C26" s="36"/>
      <c r="D26" s="227"/>
    </row>
    <row r="27" spans="1:5" s="15" customFormat="1">
      <c r="A27" s="229" t="s">
        <v>722</v>
      </c>
      <c r="B27" s="37">
        <f>SUM(HH_hh_gas_aantal,HH_rest_gas_aantal)</f>
        <v>1393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1323.35</v>
      </c>
      <c r="C31" s="34" t="s">
        <v>104</v>
      </c>
      <c r="D31" s="173"/>
    </row>
    <row r="32" spans="1:5">
      <c r="A32" s="170" t="s">
        <v>72</v>
      </c>
      <c r="B32" s="33">
        <f>IF((B21*($B$26-($B$27-0.05*$B$27)-$B$60))&lt;0,0,B21*($B$26-($B$27-0.05*$B$27)-$B$60))</f>
        <v>47.895743667569391</v>
      </c>
      <c r="C32" s="34" t="s">
        <v>104</v>
      </c>
      <c r="D32" s="173"/>
    </row>
    <row r="33" spans="1:6">
      <c r="A33" s="170" t="s">
        <v>73</v>
      </c>
      <c r="B33" s="33">
        <f>IF((B22*($B$26-($B$27-0.05*$B$27)-$B$60))&lt;0,0,B22*($B$26-($B$27-0.05*$B$27)-$B$60))</f>
        <v>322.39452890309298</v>
      </c>
      <c r="C33" s="34" t="s">
        <v>104</v>
      </c>
      <c r="D33" s="173"/>
    </row>
    <row r="34" spans="1:6">
      <c r="A34" s="170" t="s">
        <v>74</v>
      </c>
      <c r="B34" s="33">
        <f>IF((B24*($B$26-($B$27-0.05*$B$27)-$B$60))&lt;0,0,B24*($B$26-($B$27-0.05*$B$27)-$B$60))</f>
        <v>81.795861885105552</v>
      </c>
      <c r="C34" s="33">
        <f>B26*C24</f>
        <v>665.02477986116014</v>
      </c>
      <c r="D34" s="232"/>
    </row>
    <row r="35" spans="1:6">
      <c r="A35" s="170" t="s">
        <v>76</v>
      </c>
      <c r="B35" s="33">
        <f>IF((B19*($B$26-($B$27-0.05*$B$27)-$B$60))&lt;0,0,B19*($B$26-($B$27-0.05*$B$27)-$B$60))</f>
        <v>30.39802908284317</v>
      </c>
      <c r="C35" s="33">
        <f>B35/2</f>
        <v>15.199014541421585</v>
      </c>
      <c r="D35" s="232"/>
    </row>
    <row r="36" spans="1:6">
      <c r="A36" s="170" t="s">
        <v>77</v>
      </c>
      <c r="B36" s="33">
        <f>IF((B18*($B$26-($B$27-0.05*$B$27)-$B$60))&lt;0,0,B18*($B$26-($B$27-0.05*$B$27)-$B$60))</f>
        <v>1430.1658364613891</v>
      </c>
      <c r="C36" s="34" t="s">
        <v>104</v>
      </c>
      <c r="D36" s="173"/>
    </row>
    <row r="37" spans="1:6">
      <c r="A37" s="170" t="s">
        <v>78</v>
      </c>
      <c r="B37" s="33">
        <f>B60</f>
        <v>15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82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8281.9511891389193</v>
      </c>
      <c r="C5" s="17">
        <f>IF(ISERROR('Eigen informatie GS &amp; warmtenet'!B58),0,'Eigen informatie GS &amp; warmtenet'!B58)</f>
        <v>0</v>
      </c>
      <c r="D5" s="30">
        <f>SUM(D6:D12)</f>
        <v>7194.3604710908712</v>
      </c>
      <c r="E5" s="17">
        <f>SUM(E6:E12)</f>
        <v>109.48322317332597</v>
      </c>
      <c r="F5" s="17">
        <f>SUM(F6:F12)</f>
        <v>1690.7433886729448</v>
      </c>
      <c r="G5" s="18"/>
      <c r="H5" s="17"/>
      <c r="I5" s="17"/>
      <c r="J5" s="17">
        <f>SUM(J6:J12)</f>
        <v>0</v>
      </c>
      <c r="K5" s="17"/>
      <c r="L5" s="17"/>
      <c r="M5" s="17"/>
      <c r="N5" s="17">
        <f>SUM(N6:N12)</f>
        <v>1061.5787457005301</v>
      </c>
      <c r="O5" s="17">
        <f>B38*B39*B40</f>
        <v>1.5633333333333335</v>
      </c>
      <c r="P5" s="17">
        <f>B46*B47*B48/1000-B46*B47*B48/1000/B49</f>
        <v>0</v>
      </c>
      <c r="R5" s="32"/>
    </row>
    <row r="6" spans="1:18">
      <c r="A6" s="32" t="s">
        <v>53</v>
      </c>
      <c r="B6" s="37">
        <f>B26</f>
        <v>809.95087408154905</v>
      </c>
      <c r="C6" s="33"/>
      <c r="D6" s="37">
        <f>IF(ISERROR(TER_kantoor_gas_kWh/1000),0,TER_kantoor_gas_kWh/1000)*0.902</f>
        <v>592.86972641433374</v>
      </c>
      <c r="E6" s="33">
        <f>$C$26*'E Balans VL '!I12/100/3.6*1000000</f>
        <v>3.1468306223979172</v>
      </c>
      <c r="F6" s="33">
        <f>$C$26*('E Balans VL '!L12+'E Balans VL '!N12)/100/3.6*1000000</f>
        <v>123.18615798243408</v>
      </c>
      <c r="G6" s="34"/>
      <c r="H6" s="33"/>
      <c r="I6" s="33"/>
      <c r="J6" s="33">
        <f>$C$26*('E Balans VL '!D12+'E Balans VL '!E12)/100/3.6*1000000</f>
        <v>0</v>
      </c>
      <c r="K6" s="33"/>
      <c r="L6" s="33"/>
      <c r="M6" s="33"/>
      <c r="N6" s="33">
        <f>$C$26*'E Balans VL '!Y12/100/3.6*1000000</f>
        <v>0.4463799613441029</v>
      </c>
      <c r="O6" s="33"/>
      <c r="P6" s="33"/>
      <c r="R6" s="32"/>
    </row>
    <row r="7" spans="1:18">
      <c r="A7" s="32" t="s">
        <v>52</v>
      </c>
      <c r="B7" s="37">
        <f t="shared" ref="B7:B12" si="0">B27</f>
        <v>418.65000611393799</v>
      </c>
      <c r="C7" s="33"/>
      <c r="D7" s="37">
        <f>IF(ISERROR(TER_horeca_gas_kWh/1000),0,TER_horeca_gas_kWh/1000)*0.902</f>
        <v>433.29009475693869</v>
      </c>
      <c r="E7" s="33">
        <f>$C$27*'E Balans VL '!I9/100/3.6*1000000</f>
        <v>23.582666772865174</v>
      </c>
      <c r="F7" s="33">
        <f>$C$27*('E Balans VL '!L9+'E Balans VL '!N9)/100/3.6*1000000</f>
        <v>120.71359769905141</v>
      </c>
      <c r="G7" s="34"/>
      <c r="H7" s="33"/>
      <c r="I7" s="33"/>
      <c r="J7" s="33">
        <f>$C$27*('E Balans VL '!D9+'E Balans VL '!E9)/100/3.6*1000000</f>
        <v>0</v>
      </c>
      <c r="K7" s="33"/>
      <c r="L7" s="33"/>
      <c r="M7" s="33"/>
      <c r="N7" s="33">
        <f>$C$27*'E Balans VL '!Y9/100/3.6*1000000</f>
        <v>0.11558709117793946</v>
      </c>
      <c r="O7" s="33"/>
      <c r="P7" s="33"/>
      <c r="R7" s="32"/>
    </row>
    <row r="8" spans="1:18">
      <c r="A8" s="6" t="s">
        <v>51</v>
      </c>
      <c r="B8" s="37">
        <f t="shared" si="0"/>
        <v>3366.4669868093197</v>
      </c>
      <c r="C8" s="33"/>
      <c r="D8" s="37">
        <f>IF(ISERROR(TER_handel_gas_kWh/1000),0,TER_handel_gas_kWh/1000)*0.902</f>
        <v>606.08423635489771</v>
      </c>
      <c r="E8" s="33">
        <f>$C$28*'E Balans VL '!I13/100/3.6*1000000</f>
        <v>48.522210566268363</v>
      </c>
      <c r="F8" s="33">
        <f>$C$28*('E Balans VL '!L13+'E Balans VL '!N13)/100/3.6*1000000</f>
        <v>584.83371533457807</v>
      </c>
      <c r="G8" s="34"/>
      <c r="H8" s="33"/>
      <c r="I8" s="33"/>
      <c r="J8" s="33">
        <f>$C$28*('E Balans VL '!D13+'E Balans VL '!E13)/100/3.6*1000000</f>
        <v>0</v>
      </c>
      <c r="K8" s="33"/>
      <c r="L8" s="33"/>
      <c r="M8" s="33"/>
      <c r="N8" s="33">
        <f>$C$28*'E Balans VL '!Y13/100/3.6*1000000</f>
        <v>10.086309855305863</v>
      </c>
      <c r="O8" s="33"/>
      <c r="P8" s="33"/>
      <c r="R8" s="32"/>
    </row>
    <row r="9" spans="1:18">
      <c r="A9" s="32" t="s">
        <v>50</v>
      </c>
      <c r="B9" s="37">
        <f t="shared" si="0"/>
        <v>51.565330329803899</v>
      </c>
      <c r="C9" s="33"/>
      <c r="D9" s="37">
        <f>IF(ISERROR(TER_gezond_gas_kWh/1000),0,TER_gezond_gas_kWh/1000)*0.902</f>
        <v>0</v>
      </c>
      <c r="E9" s="33">
        <f>$C$29*'E Balans VL '!I10/100/3.6*1000000</f>
        <v>5.5085138035029055E-2</v>
      </c>
      <c r="F9" s="33">
        <f>$C$29*('E Balans VL '!L10+'E Balans VL '!N10)/100/3.6*1000000</f>
        <v>8.4118725059866364</v>
      </c>
      <c r="G9" s="34"/>
      <c r="H9" s="33"/>
      <c r="I9" s="33"/>
      <c r="J9" s="33">
        <f>$C$29*('E Balans VL '!D10+'E Balans VL '!E10)/100/3.6*1000000</f>
        <v>0</v>
      </c>
      <c r="K9" s="33"/>
      <c r="L9" s="33"/>
      <c r="M9" s="33"/>
      <c r="N9" s="33">
        <f>$C$29*'E Balans VL '!Y10/100/3.6*1000000</f>
        <v>0.53083565315483461</v>
      </c>
      <c r="O9" s="33"/>
      <c r="P9" s="33"/>
      <c r="R9" s="32"/>
    </row>
    <row r="10" spans="1:18">
      <c r="A10" s="32" t="s">
        <v>49</v>
      </c>
      <c r="B10" s="37">
        <f t="shared" si="0"/>
        <v>1241.8626312460599</v>
      </c>
      <c r="C10" s="33"/>
      <c r="D10" s="37">
        <f>IF(ISERROR(TER_ander_gas_kWh/1000),0,TER_ander_gas_kWh/1000)*0.902</f>
        <v>923.08241629073586</v>
      </c>
      <c r="E10" s="33">
        <f>$C$30*'E Balans VL '!I14/100/3.6*1000000</f>
        <v>5.7111373397715841</v>
      </c>
      <c r="F10" s="33">
        <f>$C$30*('E Balans VL '!L14+'E Balans VL '!N14)/100/3.6*1000000</f>
        <v>372.22540245253441</v>
      </c>
      <c r="G10" s="34"/>
      <c r="H10" s="33"/>
      <c r="I10" s="33"/>
      <c r="J10" s="33">
        <f>$C$30*('E Balans VL '!D14+'E Balans VL '!E14)/100/3.6*1000000</f>
        <v>0</v>
      </c>
      <c r="K10" s="33"/>
      <c r="L10" s="33"/>
      <c r="M10" s="33"/>
      <c r="N10" s="33">
        <f>$C$30*'E Balans VL '!Y14/100/3.6*1000000</f>
        <v>864.41836765414803</v>
      </c>
      <c r="O10" s="33"/>
      <c r="P10" s="33"/>
      <c r="R10" s="32"/>
    </row>
    <row r="11" spans="1:18">
      <c r="A11" s="32" t="s">
        <v>54</v>
      </c>
      <c r="B11" s="37">
        <f t="shared" si="0"/>
        <v>50.538957043499195</v>
      </c>
      <c r="C11" s="33"/>
      <c r="D11" s="37">
        <f>IF(ISERROR(TER_onderwijs_gas_kWh/1000),0,TER_onderwijs_gas_kWh/1000)*0.902</f>
        <v>180.3319022484574</v>
      </c>
      <c r="E11" s="33">
        <f>$C$31*'E Balans VL '!I11/100/3.6*1000000</f>
        <v>4.6881528974338969E-2</v>
      </c>
      <c r="F11" s="33">
        <f>$C$31*('E Balans VL '!L11+'E Balans VL '!N11)/100/3.6*1000000</f>
        <v>17.75317405496498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2342.9164035147496</v>
      </c>
      <c r="C12" s="33"/>
      <c r="D12" s="37">
        <f>IF(ISERROR(TER_rest_gas_kWh/1000),0,TER_rest_gas_kWh/1000)*0.902</f>
        <v>4458.7020950255082</v>
      </c>
      <c r="E12" s="33">
        <f>$C$32*'E Balans VL '!I8/100/3.6*1000000</f>
        <v>28.418411205013562</v>
      </c>
      <c r="F12" s="33">
        <f>$C$32*('E Balans VL '!L8+'E Balans VL '!N8)/100/3.6*1000000</f>
        <v>463.61946864339535</v>
      </c>
      <c r="G12" s="34"/>
      <c r="H12" s="33"/>
      <c r="I12" s="33"/>
      <c r="J12" s="33">
        <f>$C$32*('E Balans VL '!D8+'E Balans VL '!E8)/100/3.6*1000000</f>
        <v>0</v>
      </c>
      <c r="K12" s="33"/>
      <c r="L12" s="33"/>
      <c r="M12" s="33"/>
      <c r="N12" s="33">
        <f>$C$32*'E Balans VL '!Y8/100/3.6*1000000</f>
        <v>185.9812654853994</v>
      </c>
      <c r="O12" s="33"/>
      <c r="P12" s="33"/>
      <c r="R12" s="32"/>
    </row>
    <row r="13" spans="1:18">
      <c r="A13" s="16" t="s">
        <v>484</v>
      </c>
      <c r="B13" s="245">
        <f ca="1">'lokale energieproductie'!N39+'lokale energieproductie'!N32</f>
        <v>0</v>
      </c>
      <c r="C13" s="245">
        <f ca="1">'lokale energieproductie'!O39+'lokale energieproductie'!O32</f>
        <v>0</v>
      </c>
      <c r="D13" s="305">
        <f ca="1">('lokale energieproductie'!P32+'lokale energieproductie'!P39)*(-1)</f>
        <v>0</v>
      </c>
      <c r="E13" s="246"/>
      <c r="F13" s="305">
        <f ca="1">('lokale energieproductie'!S32+'lokale energieproductie'!S39)*(-1)</f>
        <v>0</v>
      </c>
      <c r="G13" s="247"/>
      <c r="H13" s="246"/>
      <c r="I13" s="246"/>
      <c r="J13" s="246"/>
      <c r="K13" s="246"/>
      <c r="L13" s="305">
        <f ca="1">('lokale energieproductie'!U32+'lokale energieproductie'!T32+'lokale energieproductie'!U39+'lokale energieproductie'!T39)*(-1)</f>
        <v>0</v>
      </c>
      <c r="M13" s="246"/>
      <c r="N13" s="305">
        <f ca="1">('lokale energieproductie'!Q32+'lokale energieproductie'!R32+'lokale energieproductie'!V32+'lokale energieproductie'!Q39+'lokale energieproductie'!R39+'lokale energieproductie'!V39)*(-1)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8281.9511891389193</v>
      </c>
      <c r="C16" s="21">
        <f t="shared" ca="1" si="1"/>
        <v>0</v>
      </c>
      <c r="D16" s="21">
        <f t="shared" ca="1" si="1"/>
        <v>7194.3604710908712</v>
      </c>
      <c r="E16" s="21">
        <f t="shared" si="1"/>
        <v>109.48322317332597</v>
      </c>
      <c r="F16" s="21">
        <f t="shared" ca="1" si="1"/>
        <v>1690.7433886729448</v>
      </c>
      <c r="G16" s="21">
        <f t="shared" si="1"/>
        <v>0</v>
      </c>
      <c r="H16" s="21">
        <f t="shared" si="1"/>
        <v>0</v>
      </c>
      <c r="I16" s="21">
        <f t="shared" si="1"/>
        <v>0</v>
      </c>
      <c r="J16" s="21">
        <f t="shared" si="1"/>
        <v>0</v>
      </c>
      <c r="K16" s="21">
        <f t="shared" si="1"/>
        <v>0</v>
      </c>
      <c r="L16" s="21">
        <f t="shared" ca="1" si="1"/>
        <v>0</v>
      </c>
      <c r="M16" s="21">
        <f t="shared" si="1"/>
        <v>0</v>
      </c>
      <c r="N16" s="21">
        <f t="shared" ca="1" si="1"/>
        <v>1061.5787457005301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0.21030079251679559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1741.7008986613323</v>
      </c>
      <c r="C20" s="23">
        <f t="shared" ref="C20:P20" ca="1" si="2">C16*C18</f>
        <v>0</v>
      </c>
      <c r="D20" s="23">
        <f t="shared" ca="1" si="2"/>
        <v>1453.2608151603561</v>
      </c>
      <c r="E20" s="23">
        <f t="shared" si="2"/>
        <v>24.852691660344995</v>
      </c>
      <c r="F20" s="23">
        <f t="shared" ca="1" si="2"/>
        <v>451.42848477567628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809.95087408154905</v>
      </c>
      <c r="C26" s="39">
        <f>IF(ISERROR(B26*3.6/1000000/'E Balans VL '!Z12*100),0,B26*3.6/1000000/'E Balans VL '!Z12*100)</f>
        <v>1.7203757763000156E-2</v>
      </c>
      <c r="D26" s="235" t="s">
        <v>672</v>
      </c>
      <c r="F26" s="6"/>
    </row>
    <row r="27" spans="1:18">
      <c r="A27" s="230" t="s">
        <v>52</v>
      </c>
      <c r="B27" s="33">
        <f>IF(ISERROR(TER_horeca_ele_kWh/1000),0,TER_horeca_ele_kWh/1000)</f>
        <v>418.65000611393799</v>
      </c>
      <c r="C27" s="39">
        <f>IF(ISERROR(B27*3.6/1000000/'E Balans VL '!Z9*100),0,B27*3.6/1000000/'E Balans VL '!Z9*100)</f>
        <v>3.2552587586674446E-2</v>
      </c>
      <c r="D27" s="235" t="s">
        <v>672</v>
      </c>
      <c r="F27" s="6"/>
    </row>
    <row r="28" spans="1:18">
      <c r="A28" s="170" t="s">
        <v>51</v>
      </c>
      <c r="B28" s="33">
        <f>IF(ISERROR(TER_handel_ele_kWh/1000),0,TER_handel_ele_kWh/1000)</f>
        <v>3366.4669868093197</v>
      </c>
      <c r="C28" s="39">
        <f>IF(ISERROR(B28*3.6/1000000/'E Balans VL '!Z13*100),0,B28*3.6/1000000/'E Balans VL '!Z13*100)</f>
        <v>9.6318582427925598E-2</v>
      </c>
      <c r="D28" s="235" t="s">
        <v>672</v>
      </c>
      <c r="F28" s="6"/>
    </row>
    <row r="29" spans="1:18">
      <c r="A29" s="230" t="s">
        <v>50</v>
      </c>
      <c r="B29" s="33">
        <f>IF(ISERROR(TER_gezond_ele_kWh/1000),0,TER_gezond_ele_kWh/1000)</f>
        <v>51.565330329803899</v>
      </c>
      <c r="C29" s="39">
        <f>IF(ISERROR(B29*3.6/1000000/'E Balans VL '!Z10*100),0,B29*3.6/1000000/'E Balans VL '!Z10*100)</f>
        <v>5.6218192405190293E-3</v>
      </c>
      <c r="D29" s="235" t="s">
        <v>672</v>
      </c>
      <c r="F29" s="6"/>
    </row>
    <row r="30" spans="1:18">
      <c r="A30" s="230" t="s">
        <v>49</v>
      </c>
      <c r="B30" s="33">
        <f>IF(ISERROR(TER_ander_ele_kWh/1000),0,TER_ander_ele_kWh/1000)</f>
        <v>1241.8626312460599</v>
      </c>
      <c r="C30" s="39">
        <f>IF(ISERROR(B30*3.6/1000000/'E Balans VL '!Z14*100),0,B30*3.6/1000000/'E Balans VL '!Z14*100)</f>
        <v>9.0876690255988254E-2</v>
      </c>
      <c r="D30" s="235" t="s">
        <v>672</v>
      </c>
      <c r="F30" s="6"/>
    </row>
    <row r="31" spans="1:18">
      <c r="A31" s="230" t="s">
        <v>54</v>
      </c>
      <c r="B31" s="33">
        <f>IF(ISERROR(TER_onderwijs_ele_kWh/1000),0,TER_onderwijs_ele_kWh/1000)</f>
        <v>50.538957043499195</v>
      </c>
      <c r="C31" s="39">
        <f>IF(ISERROR(B31*3.6/1000000/'E Balans VL '!Z11*100),0,B31*3.6/1000000/'E Balans VL '!Z11*100)</f>
        <v>1.0150787051381449E-2</v>
      </c>
      <c r="D31" s="235" t="s">
        <v>672</v>
      </c>
    </row>
    <row r="32" spans="1:18">
      <c r="A32" s="230" t="s">
        <v>249</v>
      </c>
      <c r="B32" s="33">
        <f>IF(ISERROR(TER_rest_ele_kWh/1000),0,TER_rest_ele_kWh/1000)</f>
        <v>2342.9164035147496</v>
      </c>
      <c r="C32" s="39">
        <f>IF(ISERROR(B32*3.6/1000000/'E Balans VL '!Z8*100),0,B32*3.6/1000000/'E Balans VL '!Z8*100)</f>
        <v>1.9093346844922646E-2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19290.236928929266</v>
      </c>
      <c r="C5" s="17">
        <f>IF(ISERROR('Eigen informatie GS &amp; warmtenet'!B59),0,'Eigen informatie GS &amp; warmtenet'!B59)</f>
        <v>0</v>
      </c>
      <c r="D5" s="30">
        <f>SUM(D6:D15)</f>
        <v>1588.479207031713</v>
      </c>
      <c r="E5" s="17">
        <f>SUM(E6:E15)</f>
        <v>1367.4531761714761</v>
      </c>
      <c r="F5" s="17">
        <f>SUM(F6:F15)</f>
        <v>5196.1333888877643</v>
      </c>
      <c r="G5" s="18"/>
      <c r="H5" s="17"/>
      <c r="I5" s="17"/>
      <c r="J5" s="17">
        <f>SUM(J6:J15)</f>
        <v>39.978348307608066</v>
      </c>
      <c r="K5" s="17"/>
      <c r="L5" s="17"/>
      <c r="M5" s="17"/>
      <c r="N5" s="17">
        <f>SUM(N6:N15)</f>
        <v>943.32493993752064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136.95012435028099</v>
      </c>
      <c r="C8" s="33"/>
      <c r="D8" s="37">
        <f>IF( ISERROR(IND_metaal_Gas_kWH/1000),0,IND_metaal_Gas_kWH/1000)*0.902</f>
        <v>0</v>
      </c>
      <c r="E8" s="33">
        <f>C30*'E Balans VL '!I18/100/3.6*1000000</f>
        <v>3.9337216190442499</v>
      </c>
      <c r="F8" s="33">
        <f>C30*'E Balans VL '!L18/100/3.6*1000000+C30*'E Balans VL '!N18/100/3.6*1000000</f>
        <v>35.125072966430444</v>
      </c>
      <c r="G8" s="34"/>
      <c r="H8" s="33"/>
      <c r="I8" s="33"/>
      <c r="J8" s="40">
        <f>C30*'E Balans VL '!D18/100/3.6*1000000+C30*'E Balans VL '!E18/100/3.6*1000000</f>
        <v>0</v>
      </c>
      <c r="K8" s="33"/>
      <c r="L8" s="33"/>
      <c r="M8" s="33"/>
      <c r="N8" s="33">
        <f>C30*'E Balans VL '!Y18/100/3.6*1000000</f>
        <v>3.7184754309206163</v>
      </c>
      <c r="O8" s="33"/>
      <c r="P8" s="33"/>
      <c r="R8" s="32"/>
    </row>
    <row r="9" spans="1:18">
      <c r="A9" s="6" t="s">
        <v>32</v>
      </c>
      <c r="B9" s="37">
        <f t="shared" si="0"/>
        <v>1761.97870838672</v>
      </c>
      <c r="C9" s="33"/>
      <c r="D9" s="37">
        <f>IF( ISERROR(IND_andere_gas_kWh/1000),0,IND_andere_gas_kWh/1000)*0.902</f>
        <v>520.58128128103033</v>
      </c>
      <c r="E9" s="33">
        <f>C31*'E Balans VL '!I19/100/3.6*1000000</f>
        <v>476.92431451851741</v>
      </c>
      <c r="F9" s="33">
        <f>C31*'E Balans VL '!L19/100/3.6*1000000+C31*'E Balans VL '!N19/100/3.6*1000000</f>
        <v>1173.6642760818052</v>
      </c>
      <c r="G9" s="34"/>
      <c r="H9" s="33"/>
      <c r="I9" s="33"/>
      <c r="J9" s="40">
        <f>C31*'E Balans VL '!D19/100/3.6*1000000+C31*'E Balans VL '!E19/100/3.6*1000000</f>
        <v>0</v>
      </c>
      <c r="K9" s="33"/>
      <c r="L9" s="33"/>
      <c r="M9" s="33"/>
      <c r="N9" s="33">
        <f>C31*'E Balans VL '!Y19/100/3.6*1000000</f>
        <v>148.9636280179983</v>
      </c>
      <c r="O9" s="33"/>
      <c r="P9" s="33"/>
      <c r="R9" s="32"/>
    </row>
    <row r="10" spans="1:18">
      <c r="A10" s="6" t="s">
        <v>40</v>
      </c>
      <c r="B10" s="37">
        <f t="shared" si="0"/>
        <v>179.31143575412099</v>
      </c>
      <c r="C10" s="33"/>
      <c r="D10" s="37">
        <f>IF( ISERROR(IND_voed_gas_kWh/1000),0,IND_voed_gas_kWh/1000)*0.902</f>
        <v>490.23153316478982</v>
      </c>
      <c r="E10" s="33">
        <f>C32*'E Balans VL '!I20/100/3.6*1000000</f>
        <v>14.625052657410068</v>
      </c>
      <c r="F10" s="33">
        <f>C32*'E Balans VL '!L20/100/3.6*1000000+C32*'E Balans VL '!N20/100/3.6*1000000</f>
        <v>267.36961926831816</v>
      </c>
      <c r="G10" s="34"/>
      <c r="H10" s="33"/>
      <c r="I10" s="33"/>
      <c r="J10" s="40">
        <f>C32*'E Balans VL '!D20/100/3.6*1000000+C32*'E Balans VL '!E20/100/3.6*1000000</f>
        <v>2.3720726401425508E-3</v>
      </c>
      <c r="K10" s="33"/>
      <c r="L10" s="33"/>
      <c r="M10" s="33"/>
      <c r="N10" s="33">
        <f>C32*'E Balans VL '!Y20/100/3.6*1000000</f>
        <v>52.675372606243393</v>
      </c>
      <c r="O10" s="33"/>
      <c r="P10" s="33"/>
      <c r="R10" s="32"/>
    </row>
    <row r="11" spans="1:18">
      <c r="A11" s="6" t="s">
        <v>39</v>
      </c>
      <c r="B11" s="37">
        <f t="shared" si="0"/>
        <v>1278.44351858045</v>
      </c>
      <c r="C11" s="33"/>
      <c r="D11" s="37">
        <f>IF( ISERROR(IND_textiel_gas_kWh/1000),0,IND_textiel_gas_kWh/1000)*0.902</f>
        <v>0</v>
      </c>
      <c r="E11" s="33">
        <f>C33*'E Balans VL '!I21/100/3.6*1000000</f>
        <v>0.25341366196596304</v>
      </c>
      <c r="F11" s="33">
        <f>C33*'E Balans VL '!L21/100/3.6*1000000+C33*'E Balans VL '!N21/100/3.6*1000000</f>
        <v>47.086617236347109</v>
      </c>
      <c r="G11" s="34"/>
      <c r="H11" s="33"/>
      <c r="I11" s="33"/>
      <c r="J11" s="40">
        <f>C33*'E Balans VL '!D21/100/3.6*1000000+C33*'E Balans VL '!E21/100/3.6*1000000</f>
        <v>0</v>
      </c>
      <c r="K11" s="33"/>
      <c r="L11" s="33"/>
      <c r="M11" s="33"/>
      <c r="N11" s="33">
        <f>C33*'E Balans VL '!Y21/100/3.6*1000000</f>
        <v>5.944439628756407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336.59824474519399</v>
      </c>
      <c r="C14" s="33"/>
      <c r="D14" s="37">
        <f>IF( ISERROR(IND_chemie_gas_kWh/1000),0,IND_chemie_gas_kWh/1000)*0.902</f>
        <v>0</v>
      </c>
      <c r="E14" s="33">
        <f>C36*'E Balans VL '!I24/100/3.6*1000000</f>
        <v>1.5911789463532433</v>
      </c>
      <c r="F14" s="33">
        <f>C36*'E Balans VL '!L24/100/3.6*1000000+C36*'E Balans VL '!N24/100/3.6*1000000</f>
        <v>6.3615261528554301</v>
      </c>
      <c r="G14" s="34"/>
      <c r="H14" s="33"/>
      <c r="I14" s="33"/>
      <c r="J14" s="40">
        <f>C36*'E Balans VL '!D24/100/3.6*1000000+C36*'E Balans VL '!E24/100/3.6*1000000</f>
        <v>0</v>
      </c>
      <c r="K14" s="33"/>
      <c r="L14" s="33"/>
      <c r="M14" s="33"/>
      <c r="N14" s="33">
        <f>C36*'E Balans VL '!Y24/100/3.6*1000000</f>
        <v>8.171466660064322</v>
      </c>
      <c r="O14" s="33"/>
      <c r="P14" s="33"/>
      <c r="R14" s="32"/>
    </row>
    <row r="15" spans="1:18">
      <c r="A15" s="6" t="s">
        <v>259</v>
      </c>
      <c r="B15" s="37">
        <f t="shared" si="0"/>
        <v>15596.9548971125</v>
      </c>
      <c r="C15" s="33"/>
      <c r="D15" s="37">
        <f>IF( ISERROR(IND_rest_gas_kWh/1000),0,IND_rest_gas_kWh/1000)*0.902</f>
        <v>577.66639258589305</v>
      </c>
      <c r="E15" s="33">
        <f>C37*'E Balans VL '!I15/100/3.6*1000000</f>
        <v>870.12549476818515</v>
      </c>
      <c r="F15" s="33">
        <f>C37*'E Balans VL '!L15/100/3.6*1000000+C37*'E Balans VL '!N15/100/3.6*1000000</f>
        <v>3666.526277182008</v>
      </c>
      <c r="G15" s="34"/>
      <c r="H15" s="33"/>
      <c r="I15" s="33"/>
      <c r="J15" s="40">
        <f>C37*'E Balans VL '!D15/100/3.6*1000000+C37*'E Balans VL '!E15/100/3.6*1000000</f>
        <v>39.975976234967924</v>
      </c>
      <c r="K15" s="33"/>
      <c r="L15" s="33"/>
      <c r="M15" s="33"/>
      <c r="N15" s="33">
        <f>C37*'E Balans VL '!Y15/100/3.6*1000000</f>
        <v>723.85155759353756</v>
      </c>
      <c r="O15" s="33"/>
      <c r="P15" s="33"/>
      <c r="R15" s="32"/>
    </row>
    <row r="16" spans="1:18">
      <c r="A16" s="16" t="s">
        <v>484</v>
      </c>
      <c r="B16" s="245">
        <f>'lokale energieproductie'!N38+'lokale energieproductie'!N31</f>
        <v>0</v>
      </c>
      <c r="C16" s="245">
        <f>'lokale energieproductie'!O38+'lokale energieproductie'!O31</f>
        <v>0</v>
      </c>
      <c r="D16" s="305">
        <f>('lokale energieproductie'!P31+'lokale energieproductie'!P38)*(-1)</f>
        <v>0</v>
      </c>
      <c r="E16" s="246"/>
      <c r="F16" s="305">
        <f>('lokale energieproductie'!S31+'lokale energieproductie'!S38)*(-1)</f>
        <v>0</v>
      </c>
      <c r="G16" s="247"/>
      <c r="H16" s="246"/>
      <c r="I16" s="246"/>
      <c r="J16" s="246"/>
      <c r="K16" s="246"/>
      <c r="L16" s="305">
        <f>('lokale energieproductie'!T31+'lokale energieproductie'!U31+'lokale energieproductie'!T38+'lokale energieproductie'!U38)*(-1)</f>
        <v>0</v>
      </c>
      <c r="M16" s="246"/>
      <c r="N16" s="305">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19290.236928929266</v>
      </c>
      <c r="C18" s="21">
        <f>C5+C16</f>
        <v>0</v>
      </c>
      <c r="D18" s="21">
        <f>MAX((D5+D16),0)</f>
        <v>1588.479207031713</v>
      </c>
      <c r="E18" s="21">
        <f>MAX((E5+E16),0)</f>
        <v>1367.4531761714761</v>
      </c>
      <c r="F18" s="21">
        <f>MAX((F5+F16),0)</f>
        <v>5196.1333888877643</v>
      </c>
      <c r="G18" s="21"/>
      <c r="H18" s="21"/>
      <c r="I18" s="21"/>
      <c r="J18" s="21">
        <f>MAX((J5+J16),0)</f>
        <v>39.978348307608066</v>
      </c>
      <c r="K18" s="21"/>
      <c r="L18" s="21">
        <f>MAX((L5+L16),0)</f>
        <v>0</v>
      </c>
      <c r="M18" s="21"/>
      <c r="N18" s="21">
        <f>MAX((N5+N16),0)</f>
        <v>943.32493993752064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0.21030079251679559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4056.7521139905816</v>
      </c>
      <c r="C22" s="23">
        <f ca="1">C18*C20</f>
        <v>0</v>
      </c>
      <c r="D22" s="23">
        <f>D18*D20</f>
        <v>320.87279982040604</v>
      </c>
      <c r="E22" s="23">
        <f>E18*E20</f>
        <v>310.41187099092508</v>
      </c>
      <c r="F22" s="23">
        <f>F18*F20</f>
        <v>1387.3676148330333</v>
      </c>
      <c r="G22" s="23"/>
      <c r="H22" s="23"/>
      <c r="I22" s="23"/>
      <c r="J22" s="23">
        <f>J18*J20</f>
        <v>14.152335300893254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136.95012435028099</v>
      </c>
      <c r="C30" s="39">
        <f>IF(ISERROR(B30*3.6/1000000/'E Balans VL '!Z18*100),0,B30*3.6/1000000/'E Balans VL '!Z18*100)</f>
        <v>1.3475542639640964E-2</v>
      </c>
      <c r="D30" s="235" t="s">
        <v>672</v>
      </c>
    </row>
    <row r="31" spans="1:18">
      <c r="A31" s="6" t="s">
        <v>32</v>
      </c>
      <c r="B31" s="37">
        <f>IF( ISERROR(IND_ander_ele_kWh/1000),0,IND_ander_ele_kWh/1000)</f>
        <v>1761.97870838672</v>
      </c>
      <c r="C31" s="39">
        <f>IF(ISERROR(B31*3.6/1000000/'E Balans VL '!Z19*100),0,B31*3.6/1000000/'E Balans VL '!Z19*100)</f>
        <v>7.6732767233671229E-2</v>
      </c>
      <c r="D31" s="235" t="s">
        <v>672</v>
      </c>
    </row>
    <row r="32" spans="1:18">
      <c r="A32" s="170" t="s">
        <v>40</v>
      </c>
      <c r="B32" s="37">
        <f>IF( ISERROR(IND_voed_ele_kWh/1000),0,IND_voed_ele_kWh/1000)</f>
        <v>179.31143575412099</v>
      </c>
      <c r="C32" s="39">
        <f>IF(ISERROR(B32*3.6/1000000/'E Balans VL '!Z20*100),0,B32*3.6/1000000/'E Balans VL '!Z20*100)</f>
        <v>3.4021758982122896E-2</v>
      </c>
      <c r="D32" s="235" t="s">
        <v>672</v>
      </c>
    </row>
    <row r="33" spans="1:5">
      <c r="A33" s="170" t="s">
        <v>39</v>
      </c>
      <c r="B33" s="37">
        <f>IF( ISERROR(IND_textiel_ele_kWh/1000),0,IND_textiel_ele_kWh/1000)</f>
        <v>1278.44351858045</v>
      </c>
      <c r="C33" s="39">
        <f>IF(ISERROR(B33*3.6/1000000/'E Balans VL '!Z21*100),0,B33*3.6/1000000/'E Balans VL '!Z21*100)</f>
        <v>7.2992641597390912E-2</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336.59824474519399</v>
      </c>
      <c r="C36" s="39">
        <f>IF(ISERROR(B36*3.6/1000000/'E Balans VL '!Z24*100),0,B36*3.6/1000000/'E Balans VL '!Z24*100)</f>
        <v>9.8094674803113728E-3</v>
      </c>
      <c r="D36" s="235" t="s">
        <v>672</v>
      </c>
    </row>
    <row r="37" spans="1:5">
      <c r="A37" s="170" t="s">
        <v>259</v>
      </c>
      <c r="B37" s="37">
        <f>IF( ISERROR(IND_rest_ele_kWh/1000),0,IND_rest_ele_kWh/1000)</f>
        <v>15596.9548971125</v>
      </c>
      <c r="C37" s="39">
        <f>IF(ISERROR(B37*3.6/1000000/'E Balans VL '!Z15*100),0,B37*3.6/1000000/'E Balans VL '!Z15*100)</f>
        <v>0.12019369449167197</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2416.220249371409</v>
      </c>
      <c r="C5" s="17">
        <f>'Eigen informatie GS &amp; warmtenet'!B60</f>
        <v>0</v>
      </c>
      <c r="D5" s="30">
        <f>IF(ISERROR(SUM(LB_lb_gas_kWh,LB_rest_gas_kWh)/1000),0,SUM(LB_lb_gas_kWh,LB_rest_gas_kWh)/1000)*0.902</f>
        <v>46.386969330171667</v>
      </c>
      <c r="E5" s="17">
        <f>B17*'E Balans VL '!I25/3.6*1000000/100</f>
        <v>30.447487866641897</v>
      </c>
      <c r="F5" s="17">
        <f>B17*('E Balans VL '!L25/3.6*1000000+'E Balans VL '!N25/3.6*1000000)/100</f>
        <v>8336.5651596719472</v>
      </c>
      <c r="G5" s="18"/>
      <c r="H5" s="17"/>
      <c r="I5" s="17"/>
      <c r="J5" s="17">
        <f>('E Balans VL '!D25+'E Balans VL '!E25)/3.6*1000000*landbouw!B17/100</f>
        <v>363.37205888305238</v>
      </c>
      <c r="K5" s="17"/>
      <c r="L5" s="17">
        <f>L6*(-1)</f>
        <v>0</v>
      </c>
      <c r="M5" s="17"/>
      <c r="N5" s="17">
        <f>N6*(-1)</f>
        <v>0</v>
      </c>
      <c r="O5" s="17"/>
      <c r="P5" s="17"/>
      <c r="R5" s="32"/>
    </row>
    <row r="6" spans="1:18">
      <c r="A6" s="16" t="s">
        <v>484</v>
      </c>
      <c r="B6" s="17" t="s">
        <v>204</v>
      </c>
      <c r="C6" s="17">
        <f>'lokale energieproductie'!O40+'lokale energieproductie'!O33</f>
        <v>7637.1428571428569</v>
      </c>
      <c r="D6" s="305">
        <f>('lokale energieproductie'!P33+'lokale energieproductie'!P40)*(-1)</f>
        <v>-15274.285714285716</v>
      </c>
      <c r="E6" s="246"/>
      <c r="F6" s="305">
        <f>('lokale energieproductie'!S33+'lokale energieproductie'!S40)*(-1)</f>
        <v>0</v>
      </c>
      <c r="G6" s="247"/>
      <c r="H6" s="246"/>
      <c r="I6" s="246"/>
      <c r="J6" s="246"/>
      <c r="K6" s="246"/>
      <c r="L6" s="305">
        <f>('lokale energieproductie'!T33+'lokale energieproductie'!U33+'lokale energieproductie'!T40+'lokale energieproductie'!U40)*(-1)</f>
        <v>0</v>
      </c>
      <c r="M6" s="246"/>
      <c r="N6" s="1016">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2416.220249371409</v>
      </c>
      <c r="C8" s="21">
        <f>C5+C6</f>
        <v>7637.1428571428569</v>
      </c>
      <c r="D8" s="21">
        <f>MAX((D5+D6),0)</f>
        <v>0</v>
      </c>
      <c r="E8" s="21">
        <f>MAX((E5+E6),0)</f>
        <v>30.447487866641897</v>
      </c>
      <c r="F8" s="21">
        <f>MAX((F5+F6),0)</f>
        <v>8336.5651596719472</v>
      </c>
      <c r="G8" s="21"/>
      <c r="H8" s="21"/>
      <c r="I8" s="21"/>
      <c r="J8" s="21">
        <f>MAX((J5+J6),0)</f>
        <v>363.37205888305238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0.21030079251679559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508.13303333793681</v>
      </c>
      <c r="C12" s="23">
        <f ca="1">C8*C10</f>
        <v>1814.9445378151263</v>
      </c>
      <c r="D12" s="23">
        <f>D8*D10</f>
        <v>0</v>
      </c>
      <c r="E12" s="23">
        <f>E8*E10</f>
        <v>6.9115797457277104</v>
      </c>
      <c r="F12" s="23">
        <f>F8*F10</f>
        <v>2225.8628976324098</v>
      </c>
      <c r="G12" s="23"/>
      <c r="H12" s="23"/>
      <c r="I12" s="23"/>
      <c r="J12" s="23">
        <f>J8*J10</f>
        <v>128.63370884460053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0.33698656994555815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323.78825081265745</v>
      </c>
      <c r="C26" s="245">
        <f>B26*'GWP N2O_CH4'!B5</f>
        <v>6799.5532670658067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233.44104652279469</v>
      </c>
      <c r="C27" s="245">
        <f>B27*'GWP N2O_CH4'!B5</f>
        <v>4902.2619769786888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5.5284039074909712</v>
      </c>
      <c r="C28" s="245">
        <f>B28*'GWP N2O_CH4'!B4</f>
        <v>1713.8052113222011</v>
      </c>
      <c r="D28" s="50"/>
    </row>
    <row r="29" spans="1:4">
      <c r="A29" s="41" t="s">
        <v>266</v>
      </c>
      <c r="B29" s="245">
        <f>B34*'ha_N2O bodem landbouw'!B4</f>
        <v>10.191783930365894</v>
      </c>
      <c r="C29" s="245">
        <f>B29*'GWP N2O_CH4'!B4</f>
        <v>3159.4530184134269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2.544786608264979E-3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8.0826539210080051E-6</v>
      </c>
      <c r="C5" s="434" t="s">
        <v>204</v>
      </c>
      <c r="D5" s="419">
        <f>SUM(D6:D11)</f>
        <v>8.2513947318228027E-6</v>
      </c>
      <c r="E5" s="419">
        <f>SUM(E6:E11)</f>
        <v>2.9089145481499008E-4</v>
      </c>
      <c r="F5" s="432" t="s">
        <v>204</v>
      </c>
      <c r="G5" s="419">
        <f>SUM(G6:G11)</f>
        <v>9.8887250105313629E-2</v>
      </c>
      <c r="H5" s="419">
        <f>SUM(H6:H11)</f>
        <v>1.4029035932909264E-2</v>
      </c>
      <c r="I5" s="434" t="s">
        <v>204</v>
      </c>
      <c r="J5" s="434" t="s">
        <v>204</v>
      </c>
      <c r="K5" s="434" t="s">
        <v>204</v>
      </c>
      <c r="L5" s="434" t="s">
        <v>204</v>
      </c>
      <c r="M5" s="419">
        <f>SUM(M6:M11)</f>
        <v>5.1043593137221829E-3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5.3255820514538213E-6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4.7444616273847248E-6</v>
      </c>
      <c r="E6" s="873">
        <f>vkm_GW_PW*SUMIFS(TableVerdeelsleutelVkm[LPG],TableVerdeelsleutelVkm[Voertuigtype],"Lichte voertuigen")*SUMIFS(TableECFTransport[EnergieConsumptieFactor (PJ per km)],TableECFTransport[Index],CONCATENATE($A6,"_LPG_LPG"))</f>
        <v>1.7076424384951773E-4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3.3470713636518663E-2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8.2056258897674796E-3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1.8852944689321013E-3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2.0332356753834748E-7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3.1817289255598069E-2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7.2526657206483893E-7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1.436599634918112E-3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2.4966284009475487E-6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3.5069331044380775E-6</v>
      </c>
      <c r="E8" s="422">
        <f>vkm_NGW_PW*SUMIFS(TableVerdeelsleutelVkm[LPG],TableVerdeelsleutelVkm[Voertuigtype],"Lichte voertuigen")*SUMIFS(TableECFTransport[EnergieConsumptieFactor (PJ per km)],TableECFTransport[Index],CONCATENATE($A8,"_LPG_LPG"))</f>
        <v>1.2012721096547234E-4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2.2117632952619447E-2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5.8224388452543787E-3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1.264053354576334E-3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5.7119901068287197E-8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1.1481614260577444E-2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2.4593131534236636E-7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5.1841185529563529E-4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2.2451816447244459</v>
      </c>
      <c r="C14" s="21"/>
      <c r="D14" s="21">
        <f t="shared" ref="D14:M14" si="0">((D5)*10^9/3600)+D12</f>
        <v>2.2920540921730006</v>
      </c>
      <c r="E14" s="21">
        <f t="shared" si="0"/>
        <v>80.803181893052795</v>
      </c>
      <c r="F14" s="21"/>
      <c r="G14" s="21">
        <f t="shared" si="0"/>
        <v>27468.680584809343</v>
      </c>
      <c r="H14" s="21">
        <f t="shared" si="0"/>
        <v>3896.9544258081287</v>
      </c>
      <c r="I14" s="21"/>
      <c r="J14" s="21"/>
      <c r="K14" s="21"/>
      <c r="L14" s="21"/>
      <c r="M14" s="21">
        <f t="shared" si="0"/>
        <v>1417.8775871450509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0.21030079251679559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0.47216347922971358</v>
      </c>
      <c r="C18" s="23"/>
      <c r="D18" s="23">
        <f t="shared" ref="D18:M18" si="1">D14*D16</f>
        <v>0.46299492661894615</v>
      </c>
      <c r="E18" s="23">
        <f t="shared" si="1"/>
        <v>18.342322289722986</v>
      </c>
      <c r="F18" s="23"/>
      <c r="G18" s="23">
        <f t="shared" si="1"/>
        <v>7334.1377161440951</v>
      </c>
      <c r="H18" s="23">
        <f t="shared" si="1"/>
        <v>970.3416520262241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2.6931027499422744E-6</v>
      </c>
      <c r="C50" s="316">
        <f t="shared" ref="C50:P50" si="2">SUM(C51:C52)</f>
        <v>0</v>
      </c>
      <c r="D50" s="316">
        <f t="shared" si="2"/>
        <v>0</v>
      </c>
      <c r="E50" s="316">
        <f t="shared" si="2"/>
        <v>0</v>
      </c>
      <c r="F50" s="316">
        <f t="shared" si="2"/>
        <v>0</v>
      </c>
      <c r="G50" s="316">
        <f t="shared" si="2"/>
        <v>5.2419719895047958E-4</v>
      </c>
      <c r="H50" s="316">
        <f t="shared" si="2"/>
        <v>0</v>
      </c>
      <c r="I50" s="316">
        <f t="shared" si="2"/>
        <v>0</v>
      </c>
      <c r="J50" s="316">
        <f t="shared" si="2"/>
        <v>0</v>
      </c>
      <c r="K50" s="316">
        <f t="shared" si="2"/>
        <v>0</v>
      </c>
      <c r="L50" s="316">
        <f t="shared" si="2"/>
        <v>0</v>
      </c>
      <c r="M50" s="316">
        <f t="shared" si="2"/>
        <v>2.3505442857627536E-5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2.6931027499422744E-6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5.2419719895047958E-4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2.3505442857627536E-5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0.74808409720618729</v>
      </c>
      <c r="C54" s="21">
        <f t="shared" ref="C54:P54" si="3">(C50)*10^9/3600</f>
        <v>0</v>
      </c>
      <c r="D54" s="21">
        <f t="shared" si="3"/>
        <v>0</v>
      </c>
      <c r="E54" s="21">
        <f t="shared" si="3"/>
        <v>0</v>
      </c>
      <c r="F54" s="21">
        <f t="shared" si="3"/>
        <v>0</v>
      </c>
      <c r="G54" s="21">
        <f t="shared" si="3"/>
        <v>145.61033304179989</v>
      </c>
      <c r="H54" s="21">
        <f t="shared" si="3"/>
        <v>0</v>
      </c>
      <c r="I54" s="21">
        <f t="shared" si="3"/>
        <v>0</v>
      </c>
      <c r="J54" s="21">
        <f t="shared" si="3"/>
        <v>0</v>
      </c>
      <c r="K54" s="21">
        <f t="shared" si="3"/>
        <v>0</v>
      </c>
      <c r="L54" s="21">
        <f t="shared" si="3"/>
        <v>0</v>
      </c>
      <c r="M54" s="21">
        <f t="shared" si="3"/>
        <v>6.5292896826743156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0.21030079251679559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0.15732267851167273</v>
      </c>
      <c r="C58" s="23">
        <f t="shared" ref="C58:P58" ca="1" si="4">C54*C56</f>
        <v>0</v>
      </c>
      <c r="D58" s="23">
        <f t="shared" si="4"/>
        <v>0</v>
      </c>
      <c r="E58" s="23">
        <f t="shared" si="4"/>
        <v>0</v>
      </c>
      <c r="F58" s="23">
        <f t="shared" si="4"/>
        <v>0</v>
      </c>
      <c r="G58" s="23">
        <f t="shared" si="4"/>
        <v>38.877958922160573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2618.6578424835097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N30</f>
        <v>5346</v>
      </c>
      <c r="C8" s="546">
        <f>B49</f>
        <v>6289.4117647058838</v>
      </c>
      <c r="D8" s="1001"/>
      <c r="E8" s="1001">
        <f>E49</f>
        <v>0</v>
      </c>
      <c r="F8" s="1002"/>
      <c r="G8" s="547"/>
      <c r="H8" s="1001">
        <f>I49</f>
        <v>0</v>
      </c>
      <c r="I8" s="1001">
        <f>G49+F49</f>
        <v>0</v>
      </c>
      <c r="J8" s="1001">
        <f>H49+D49+C49</f>
        <v>0</v>
      </c>
      <c r="K8" s="1001"/>
      <c r="L8" s="1001"/>
      <c r="M8" s="1001"/>
      <c r="N8" s="548"/>
      <c r="O8" s="549">
        <f>C8*$C$12+D8*$D$12+E8*$E$12+F8*$F$12+G8*$G$12+H8*$H$12+I8*$I$12+J8*$J$12</f>
        <v>1270.4611764705885</v>
      </c>
      <c r="P8" s="1244"/>
      <c r="Q8" s="1245"/>
      <c r="S8" s="1013"/>
      <c r="T8" s="1265"/>
      <c r="U8" s="1265"/>
    </row>
    <row r="9" spans="1:21" s="534" customFormat="1" ht="17.45" customHeight="1" thickBot="1">
      <c r="A9" s="550" t="s">
        <v>237</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7964.6578424835097</v>
      </c>
      <c r="C10" s="559">
        <f t="shared" ref="C10:L10" si="0">SUM(C8:C9)</f>
        <v>6289.4117647058838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1270.4611764705885</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O30</f>
        <v>7637.1428571428569</v>
      </c>
      <c r="C17" s="571">
        <f>B50</f>
        <v>8984.8739495798327</v>
      </c>
      <c r="D17" s="572"/>
      <c r="E17" s="572">
        <f>E50</f>
        <v>0</v>
      </c>
      <c r="F17" s="1007"/>
      <c r="G17" s="573"/>
      <c r="H17" s="571">
        <f>I50</f>
        <v>0</v>
      </c>
      <c r="I17" s="572">
        <f>G50+F50</f>
        <v>0</v>
      </c>
      <c r="J17" s="572">
        <f>H50+D50+C50</f>
        <v>0</v>
      </c>
      <c r="K17" s="572"/>
      <c r="L17" s="572"/>
      <c r="M17" s="572"/>
      <c r="N17" s="1008"/>
      <c r="O17" s="574">
        <f>C17*$C$22+E17*$E$22+H17*$H$22+I17*$I$22+J17*$J$22+D17*$D$22+F17*$F$22+G17*$G$22+K17*$K$22+L17*$L$22</f>
        <v>1814.9445378151263</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7637.1428571428569</v>
      </c>
      <c r="C20" s="558">
        <f>SUM(C17:C19)</f>
        <v>8984.8739495798327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1814.9445378151263</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37002</v>
      </c>
      <c r="C28" s="777">
        <v>8720</v>
      </c>
      <c r="D28" s="630"/>
      <c r="E28" s="629"/>
      <c r="F28" s="629"/>
      <c r="G28" s="629" t="s">
        <v>926</v>
      </c>
      <c r="H28" s="629" t="s">
        <v>927</v>
      </c>
      <c r="I28" s="629"/>
      <c r="J28" s="776"/>
      <c r="K28" s="776"/>
      <c r="L28" s="629" t="s">
        <v>928</v>
      </c>
      <c r="M28" s="629">
        <v>182</v>
      </c>
      <c r="N28" s="629">
        <v>819</v>
      </c>
      <c r="O28" s="629">
        <v>1170</v>
      </c>
      <c r="P28" s="629">
        <v>2340</v>
      </c>
      <c r="Q28" s="629">
        <v>0</v>
      </c>
      <c r="R28" s="629">
        <v>0</v>
      </c>
      <c r="S28" s="629">
        <v>0</v>
      </c>
      <c r="T28" s="629">
        <v>0</v>
      </c>
      <c r="U28" s="629">
        <v>0</v>
      </c>
      <c r="V28" s="629">
        <v>0</v>
      </c>
      <c r="W28" s="629">
        <v>0</v>
      </c>
      <c r="X28" s="629">
        <v>10</v>
      </c>
      <c r="Y28" s="629" t="s">
        <v>105</v>
      </c>
      <c r="Z28" s="631" t="s">
        <v>105</v>
      </c>
    </row>
    <row r="29" spans="1:26" s="583" customFormat="1" ht="25.5" hidden="1">
      <c r="A29" s="582"/>
      <c r="B29" s="777">
        <v>37002</v>
      </c>
      <c r="C29" s="777">
        <v>8720</v>
      </c>
      <c r="D29" s="630"/>
      <c r="E29" s="629"/>
      <c r="F29" s="629"/>
      <c r="G29" s="629" t="s">
        <v>926</v>
      </c>
      <c r="H29" s="629" t="s">
        <v>927</v>
      </c>
      <c r="I29" s="629"/>
      <c r="J29" s="776"/>
      <c r="K29" s="776"/>
      <c r="L29" s="629" t="s">
        <v>928</v>
      </c>
      <c r="M29" s="629">
        <v>1006</v>
      </c>
      <c r="N29" s="629">
        <v>4527</v>
      </c>
      <c r="O29" s="629">
        <v>6467.1428571428569</v>
      </c>
      <c r="P29" s="629">
        <v>12934.285714285716</v>
      </c>
      <c r="Q29" s="629">
        <v>0</v>
      </c>
      <c r="R29" s="629">
        <v>0</v>
      </c>
      <c r="S29" s="629">
        <v>0</v>
      </c>
      <c r="T29" s="629">
        <v>0</v>
      </c>
      <c r="U29" s="629">
        <v>0</v>
      </c>
      <c r="V29" s="629">
        <v>0</v>
      </c>
      <c r="W29" s="629">
        <v>0</v>
      </c>
      <c r="X29" s="629">
        <v>10</v>
      </c>
      <c r="Y29" s="629" t="s">
        <v>105</v>
      </c>
      <c r="Z29" s="631" t="s">
        <v>105</v>
      </c>
    </row>
    <row r="30" spans="1:26" s="566" customFormat="1" hidden="1">
      <c r="A30" s="585" t="s">
        <v>269</v>
      </c>
      <c r="B30" s="586"/>
      <c r="C30" s="586"/>
      <c r="D30" s="586"/>
      <c r="E30" s="586"/>
      <c r="F30" s="586"/>
      <c r="G30" s="586"/>
      <c r="H30" s="586"/>
      <c r="I30" s="586"/>
      <c r="J30" s="586"/>
      <c r="K30" s="586"/>
      <c r="L30" s="587"/>
      <c r="M30" s="587">
        <f>SUM(M28:M29)</f>
        <v>1188</v>
      </c>
      <c r="N30" s="587">
        <f>SUM(N28:N29)</f>
        <v>5346</v>
      </c>
      <c r="O30" s="587">
        <f>SUM(O28:O29)</f>
        <v>7637.1428571428569</v>
      </c>
      <c r="P30" s="587">
        <f>SUM(P28:P29)</f>
        <v>15274.285714285716</v>
      </c>
      <c r="Q30" s="587">
        <f>SUM(Q28:Q29)</f>
        <v>0</v>
      </c>
      <c r="R30" s="587">
        <f>SUM(R28:R29)</f>
        <v>0</v>
      </c>
      <c r="S30" s="587">
        <f>SUM(S28:S29)</f>
        <v>0</v>
      </c>
      <c r="T30" s="587">
        <f>SUM(T28:T29)</f>
        <v>0</v>
      </c>
      <c r="U30" s="587">
        <f>SUM(U28:U29)</f>
        <v>0</v>
      </c>
      <c r="V30" s="587">
        <f>SUM(V28:V29)</f>
        <v>0</v>
      </c>
      <c r="W30" s="587">
        <f>SUM(W28:W29)</f>
        <v>0</v>
      </c>
      <c r="X30" s="588"/>
      <c r="Y30" s="588"/>
      <c r="Z30" s="589"/>
    </row>
    <row r="31" spans="1:26" s="566" customFormat="1">
      <c r="A31" s="585" t="s">
        <v>276</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6" customFormat="1">
      <c r="A32" s="585" t="s">
        <v>277</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6" customFormat="1" ht="15.75" thickBot="1">
      <c r="A33" s="590" t="s">
        <v>278</v>
      </c>
      <c r="B33" s="591"/>
      <c r="C33" s="591"/>
      <c r="D33" s="591"/>
      <c r="E33" s="591"/>
      <c r="F33" s="591"/>
      <c r="G33" s="591"/>
      <c r="H33" s="591"/>
      <c r="I33" s="591"/>
      <c r="J33" s="591"/>
      <c r="K33" s="591"/>
      <c r="L33" s="592"/>
      <c r="M33" s="592">
        <f>SUMIF($Z$28:$Z$29,"landbouw",M28:M29)</f>
        <v>1188</v>
      </c>
      <c r="N33" s="592">
        <f>SUMIF($Z$28:$Z$29,"landbouw",N28:N29)</f>
        <v>5346</v>
      </c>
      <c r="O33" s="592">
        <f>SUMIF($Z$28:$Z$29,"landbouw",O28:O29)</f>
        <v>7637.1428571428569</v>
      </c>
      <c r="P33" s="592">
        <f>SUMIF($Z$28:$Z$29,"landbouw",P28:P29)</f>
        <v>15274.285714285716</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270</v>
      </c>
      <c r="B35" s="626" t="s">
        <v>89</v>
      </c>
      <c r="C35" s="626" t="s">
        <v>90</v>
      </c>
      <c r="D35" s="626"/>
      <c r="E35" s="626"/>
      <c r="F35" s="626"/>
      <c r="G35" s="626" t="s">
        <v>91</v>
      </c>
      <c r="H35" s="626" t="s">
        <v>92</v>
      </c>
      <c r="I35" s="626"/>
      <c r="J35" s="626"/>
      <c r="K35" s="626"/>
      <c r="L35" s="626" t="s">
        <v>93</v>
      </c>
      <c r="M35" s="627" t="s">
        <v>287</v>
      </c>
      <c r="N35" s="627" t="s">
        <v>94</v>
      </c>
      <c r="O35" s="627" t="s">
        <v>95</v>
      </c>
      <c r="P35" s="627" t="s">
        <v>530</v>
      </c>
      <c r="Q35" s="627" t="s">
        <v>96</v>
      </c>
      <c r="R35" s="627" t="s">
        <v>97</v>
      </c>
      <c r="S35" s="627" t="s">
        <v>98</v>
      </c>
      <c r="T35" s="627" t="s">
        <v>99</v>
      </c>
      <c r="U35" s="627" t="s">
        <v>100</v>
      </c>
      <c r="V35" s="627" t="s">
        <v>101</v>
      </c>
      <c r="W35" s="626" t="s">
        <v>102</v>
      </c>
      <c r="X35" s="626" t="s">
        <v>288</v>
      </c>
      <c r="Y35" s="626" t="s">
        <v>103</v>
      </c>
      <c r="Z35" s="628" t="s">
        <v>289</v>
      </c>
    </row>
    <row r="36" spans="1:27" s="598" customFormat="1" ht="12.75" hidden="1">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6" customFormat="1" hidden="1">
      <c r="A37" s="585" t="s">
        <v>269</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6" customFormat="1">
      <c r="A38" s="585" t="s">
        <v>276</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6" customFormat="1">
      <c r="A39" s="585" t="s">
        <v>277</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6" customFormat="1" ht="15.75" thickBot="1">
      <c r="A40" s="590" t="s">
        <v>278</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271</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272</v>
      </c>
      <c r="C45" s="609" t="s">
        <v>273</v>
      </c>
      <c r="D45" s="609"/>
      <c r="E45" s="609"/>
      <c r="F45" s="609"/>
      <c r="G45" s="609"/>
      <c r="H45" s="609"/>
      <c r="I45" s="610"/>
      <c r="J45" s="609"/>
      <c r="K45" s="609"/>
      <c r="L45" s="609"/>
      <c r="M45" s="609"/>
      <c r="N45" s="609"/>
      <c r="O45" s="609"/>
      <c r="P45" s="604"/>
    </row>
    <row r="46" spans="1:27">
      <c r="A46" s="606" t="s">
        <v>269</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530</v>
      </c>
      <c r="C48" s="619" t="s">
        <v>96</v>
      </c>
      <c r="D48" s="619" t="s">
        <v>97</v>
      </c>
      <c r="E48" s="619" t="s">
        <v>98</v>
      </c>
      <c r="F48" s="619" t="s">
        <v>99</v>
      </c>
      <c r="G48" s="619" t="s">
        <v>100</v>
      </c>
      <c r="H48" s="619" t="s">
        <v>101</v>
      </c>
      <c r="I48" s="620" t="s">
        <v>102</v>
      </c>
      <c r="J48" s="609"/>
      <c r="K48" s="609"/>
      <c r="L48" s="617"/>
      <c r="M48" s="617"/>
      <c r="N48" s="617"/>
      <c r="O48" s="604"/>
      <c r="P48" s="604"/>
    </row>
    <row r="49" spans="1:16">
      <c r="A49" s="608" t="s">
        <v>274</v>
      </c>
      <c r="B49" s="621">
        <f t="shared" ref="B49:I49" si="2">$C$46*P30</f>
        <v>6289.4117647058838</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275</v>
      </c>
      <c r="B50" s="624">
        <f t="shared" ref="B50:I50" si="3">$B$46*P30</f>
        <v>8984.8739495798327</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4"/>
      <c r="K51" s="564"/>
      <c r="L51" s="564"/>
      <c r="M51" s="564"/>
      <c r="N51" s="564"/>
    </row>
    <row r="52" spans="1:16">
      <c r="J52" s="564"/>
      <c r="K52" s="564"/>
      <c r="L52" s="564"/>
      <c r="M52" s="564"/>
      <c r="N52"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2021-11-11T13:24:19Z</dcterms:modified>
</cp:coreProperties>
</file>