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776E09B-CFCF-4FD8-BBD6-DD2C4C43468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H49" i="18"/>
  <c r="E48" i="18"/>
  <c r="E8" i="18" s="1"/>
  <c r="E10" i="18" s="1"/>
  <c r="N6" i="17"/>
  <c r="D49" i="18" l="1"/>
  <c r="J17" i="18" s="1"/>
  <c r="J20" i="18" s="1"/>
  <c r="F49" i="18"/>
  <c r="I17" i="18" s="1"/>
  <c r="I20" i="18" s="1"/>
  <c r="E49" i="18"/>
  <c r="E17" i="18" s="1"/>
  <c r="E20" i="18" s="1"/>
  <c r="I48" i="18"/>
  <c r="H8" i="18" s="1"/>
  <c r="H10" i="18" s="1"/>
  <c r="G48" i="18"/>
  <c r="F48" i="18"/>
  <c r="D48" i="18"/>
  <c r="C48" i="18"/>
  <c r="B48" i="18"/>
  <c r="C8" i="18" s="1"/>
  <c r="C10" i="18" s="1"/>
  <c r="H48" i="18"/>
  <c r="J8" i="18" s="1"/>
  <c r="J1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<sst xmlns="http://schemas.openxmlformats.org/spreadsheetml/2006/main" count="2511" uniqueCount="926">
  <si>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</si>
  <si>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</si>
  <si>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</si>
  <si>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</si>
  <si>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</si>
  <si>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</si>
  <si>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</si>
  <si>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</si>
  <si>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</si>
  <si>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</si>
  <si>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</si>
  <si>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</si>
  <si>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</si>
  <si>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</si>
  <si>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</si>
  <si>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</si>
  <si>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</si>
  <si>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</si>
  <si>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</si>
  <si>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</si>
  <si>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</si>
  <si>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</si>
  <si>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</si>
  <si>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</si>
  <si>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</si>
  <si>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</si>
  <si>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</si>
  <si>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</si>
  <si>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</si>
  <si>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</si>
  <si>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</si>
  <si>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</si>
  <si>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</si>
  <si>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</si>
  <si>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</si>
  <si>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</si>
  <si>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</si>
  <si>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</si>
  <si>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</si>
  <si>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</si>
  <si>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</si>
  <si>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</si>
  <si>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</si>
  <si>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</si>
  <si>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</si>
  <si>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</si>
  <si>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</si>
  <si>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</si>
  <si>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</si>
  <si>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</si>
  <si>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</si>
  <si>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</si>
  <si>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</si>
  <si>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</si>
  <si>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</si>
  <si>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</si>
  <si>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</si>
  <si>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</si>
  <si>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</si>
  <si>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</si>
  <si>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</si>
  <si>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</si>
  <si>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</si>
  <si>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</si>
  <si>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</si>
  <si>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</si>
  <si>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</si>
  <si>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</si>
  <si>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</si>
  <si>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</si>
  <si>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</si>
  <si>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</si>
  <si>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</si>
  <si>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</si>
  <si>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</si>
  <si>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</si>
  <si>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</si>
  <si>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</si>
  <si>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</si>
  <si>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</si>
  <si>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</si>
  <si>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</si>
  <si>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</si>
  <si>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</si>
  <si>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</si>
  <si>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</si>
  <si>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</si>
  <si>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</si>
  <si>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</si>
  <si>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</si>
  <si>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</si>
  <si>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</si>
  <si>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</si>
  <si>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</si>
  <si>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</si>
  <si>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</si>
  <si>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</si>
  <si>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</si>
  <si>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</si>
  <si>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</si>
  <si>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</si>
  <si>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</si>
  <si>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</si>
  <si>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</si>
  <si>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</si>
  <si>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</si>
  <si>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</si>
  <si>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</si>
  <si>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</si>
  <si>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</si>
  <si>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</si>
  <si>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</si>
  <si>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</si>
  <si>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</si>
  <si>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</si>
  <si>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</si>
  <si>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</si>
  <si>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</si>
  <si>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</si>
  <si>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</si>
  <si>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</si>
  <si>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</si>
  <si>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</si>
  <si>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</si>
  <si>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</si>
  <si>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</si>
  <si>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</si>
  <si>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</si>
  <si>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</si>
  <si>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</si>
  <si>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</si>
  <si>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</si>
  <si>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</si>
  <si>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</si>
  <si>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</si>
  <si>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</si>
  <si>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</si>
  <si>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</si>
  <si>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</si>
  <si>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</si>
  <si>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</si>
  <si>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</si>
  <si>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</si>
  <si>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</si>
  <si>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</si>
  <si>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</si>
  <si>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</si>
  <si>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</si>
  <si>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</si>
  <si>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</si>
  <si>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</si>
  <si>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</si>
  <si>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</si>
  <si>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</si>
  <si>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</si>
  <si>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</si>
  <si>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</si>
  <si>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</si>
  <si>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</si>
  <si>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</si>
  <si>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</si>
  <si>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</si>
  <si>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</si>
  <si>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</si>
  <si>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</si>
  <si>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</si>
  <si>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</si>
  <si>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</si>
  <si>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</si>
  <si>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</si>
  <si>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</si>
  <si>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</si>
  <si>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</si>
  <si>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</si>
  <si>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</si>
  <si>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</si>
  <si>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</si>
  <si>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</si>
  <si>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</si>
  <si>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</si>
  <si>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</si>
  <si>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</si>
  <si>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</si>
  <si>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</si>
  <si>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</si>
  <si>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</si>
  <si>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</si>
  <si>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</si>
  <si>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</si>
  <si>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</si>
  <si>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</si>
  <si>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</si>
  <si>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</si>
  <si>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</si>
  <si>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</si>
  <si>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</si>
  <si>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</si>
  <si>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</si>
  <si>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</si>
  <si>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</si>
  <si>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</si>
  <si>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</si>
  <si>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</si>
  <si>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</si>
  <si>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</si>
  <si>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</si>
  <si>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</si>
  <si>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</si>
  <si>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</si>
  <si>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</si>
  <si>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</si>
  <si>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</si>
  <si>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</si>
  <si>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</si>
  <si>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</si>
  <si>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</si>
  <si>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</si>
  <si>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</si>
  <si>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</si>
  <si>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</si>
  <si>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</si>
  <si>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</si>
  <si>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</si>
  <si>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</si>
  <si>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</si>
  <si>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</si>
  <si>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</si>
  <si>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</si>
  <si>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</si>
  <si>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</si>
  <si>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</si>
  <si>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</si>
  <si>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</si>
  <si>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</si>
  <si>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</si>
  <si>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</si>
  <si>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</si>
  <si>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</si>
  <si>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</si>
  <si>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</si>
  <si>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</si>
  <si>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</si>
  <si>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</si>
  <si>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</si>
  <si>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</si>
  <si>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</si>
  <si>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</si>
  <si>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</si>
  <si>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</si>
  <si>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</si>
  <si>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</si>
  <si>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</si>
  <si>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</si>
  <si>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</si>
  <si>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</si>
  <si>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</si>
  <si>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</si>
  <si>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</si>
  <si>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</si>
  <si>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</si>
  <si>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</si>
  <si>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</si>
  <si>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</si>
  <si>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</si>
  <si>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</si>
  <si>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</si>
  <si>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</si>
  <si>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</si>
  <si>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</si>
  <si>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</si>
  <si>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</si>
  <si>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</si>
  <si>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</si>
  <si>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</si>
  <si>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</si>
  <si>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</si>
  <si>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</si>
  <si>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</si>
  <si>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</si>
  <si>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</si>
  <si>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</si>
  <si>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</si>
  <si>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</si>
  <si>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</si>
  <si>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</si>
  <si>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</si>
  <si>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</si>
  <si>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</si>
  <si>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</si>
  <si>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</si>
  <si>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</si>
  <si>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</si>
  <si>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</si>
  <si>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</si>
  <si>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</si>
  <si>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</si>
  <si>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</si>
  <si>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</si>
  <si>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</si>
  <si>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</si>
  <si>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</si>
  <si>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</si>
  <si>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</si>
  <si>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</si>
  <si>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</si>
  <si>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</si>
  <si>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</si>
  <si>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</si>
  <si>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</si>
  <si>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</si>
  <si>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</si>
  <si>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</si>
  <si>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</si>
  <si>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</si>
  <si>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</si>
  <si>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</si>
  <si>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</si>
  <si>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</si>
  <si>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</si>
  <si>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</si>
  <si>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</si>
  <si>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</si>
  <si>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</si>
  <si>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</si>
  <si>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</si>
  <si>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</si>
  <si>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</si>
  <si>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</si>
  <si>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</si>
  <si>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</si>
  <si>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</si>
  <si>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</si>
  <si>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</si>
  <si>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</si>
  <si>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</si>
  <si>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</si>
  <si>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</si>
  <si>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</si>
  <si>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</si>
  <si>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</si>
  <si>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</si>
  <si>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</si>
  <si>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</si>
  <si>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</si>
  <si>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</si>
  <si>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</si>
  <si>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</si>
  <si>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</si>
  <si>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</si>
  <si>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</si>
  <si>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</si>
  <si>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</si>
  <si>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</si>
  <si>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</si>
  <si>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</si>
  <si>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</si>
  <si>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</si>
  <si>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</si>
  <si>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</si>
  <si>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</si>
  <si>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</si>
  <si>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</si>
  <si>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</si>
  <si>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</si>
  <si>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</si>
  <si>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</si>
  <si>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</si>
  <si>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</si>
  <si>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</si>
  <si>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</si>
  <si>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</si>
  <si>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</si>
  <si>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</si>
  <si>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</si>
  <si>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</si>
  <si>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</si>
  <si>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</si>
  <si>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</si>
  <si>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</si>
  <si>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</si>
  <si>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</si>
  <si>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</si>
  <si>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</si>
  <si>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</si>
  <si>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</si>
  <si>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</si>
  <si>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</si>
  <si>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</si>
  <si>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</si>
  <si>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</si>
  <si>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</si>
  <si>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</si>
  <si>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</si>
  <si>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</si>
  <si>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</si>
  <si>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</si>
  <si>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</si>
  <si>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</si>
  <si>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</si>
  <si>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</si>
  <si>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</si>
  <si>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</si>
  <si>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</si>
  <si>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</si>
  <si>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</si>
  <si>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</si>
  <si>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</si>
  <si>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</si>
  <si>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</si>
  <si>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</si>
  <si>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</si>
  <si>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</si>
  <si>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</si>
  <si>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</si>
  <si>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</si>
  <si>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</si>
  <si>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</si>
  <si>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</si>
  <si>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</si>
  <si>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</si>
  <si>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</si>
  <si>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</si>
  <si>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</si>
  <si>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</si>
  <si>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</si>
  <si>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</si>
  <si>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</si>
  <si>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</si>
  <si>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</si>
  <si>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</si>
  <si>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</si>
  <si>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</si>
  <si>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</si>
  <si>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</si>
  <si>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</si>
  <si>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</si>
  <si>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</si>
  <si>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</si>
  <si>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</si>
  <si>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</si>
  <si>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</si>
  <si>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</si>
  <si>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</si>
  <si>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</si>
  <si>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</si>
  <si>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</si>
  <si>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</si>
  <si>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</si>
  <si>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</si>
  <si>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</si>
  <si>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</si>
  <si>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</si>
  <si>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</si>
  <si>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</si>
  <si>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</si>
  <si>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</si>
  <si>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</si>
  <si>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</si>
  <si>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</si>
  <si>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</si>
  <si>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</si>
  <si>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</si>
  <si>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</si>
  <si>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</si>
  <si>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</si>
  <si>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</si>
  <si>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</si>
  <si>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</si>
  <si>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</si>
  <si>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</si>
  <si>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</si>
  <si>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</si>
  <si>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</si>
  <si>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</si>
  <si>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</si>
  <si>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</si>
  <si>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</si>
  <si>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</si>
  <si>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</si>
  <si>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</si>
  <si>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</si>
  <si>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</si>
  <si>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</si>
  <si>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</si>
  <si>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</si>
  <si>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</si>
  <si>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</si>
  <si>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</si>
  <si>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</si>
  <si>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</si>
  <si>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</si>
  <si>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</si>
  <si>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</si>
  <si>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</si>
  <si>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</si>
  <si>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</si>
  <si>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</si>
  <si>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</si>
  <si>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</si>
  <si>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</si>
  <si>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</si>
  <si>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</si>
  <si>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</si>
  <si>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</si>
  <si>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</si>
  <si>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</si>
  <si>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</si>
  <si>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</si>
  <si>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</si>
  <si>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</si>
  <si>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</si>
  <si>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</si>
  <si>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</si>
  <si>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</si>
  <si>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</si>
  <si>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</si>
  <si>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</si>
  <si>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</si>
  <si>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</si>
  <si>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</si>
  <si>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</si>
  <si>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</si>
  <si>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</si>
  <si>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</si>
  <si>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</si>
  <si>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</si>
  <si>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</si>
  <si>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</si>
  <si>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</si>
  <si>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</si>
  <si>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</si>
  <si>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</si>
  <si>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</si>
  <si>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</si>
  <si>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</si>
  <si>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</si>
  <si>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</si>
  <si>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</si>
  <si>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</si>
  <si>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</si>
  <si>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</si>
  <si>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</si>
  <si>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</si>
  <si>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</si>
  <si>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</si>
  <si>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</si>
  <si>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</si>
  <si>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</si>
  <si>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</si>
  <si>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</si>
  <si>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</si>
  <si>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</si>
  <si>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</si>
  <si>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</si>
  <si>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</si>
  <si>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</si>
  <si>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</si>
  <si>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</si>
  <si>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</si>
  <si>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</si>
  <si>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</si>
  <si>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</si>
  <si>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</si>
  <si>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</si>
  <si>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</si>
  <si>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</si>
  <si>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</si>
  <si>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</si>
  <si>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</si>
  <si>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</si>
  <si>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</si>
  <si>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</si>
  <si>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</si>
  <si>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</si>
  <si>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</si>
  <si>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</si>
  <si>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</si>
  <si>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</si>
  <si>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</si>
  <si>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</si>
  <si>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</si>
  <si>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</si>
  <si>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</si>
  <si>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</si>
  <si>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</si>
  <si>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</si>
  <si>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</si>
  <si>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</si>
  <si>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</si>
  <si>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</si>
  <si>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</si>
  <si>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</si>
  <si>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</si>
  <si>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</si>
  <si>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</si>
  <si>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</si>
  <si>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</si>
  <si>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</si>
  <si>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</si>
  <si>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</si>
  <si>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</si>
  <si>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</si>
  <si>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</si>
  <si>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</si>
  <si>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</si>
  <si>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</si>
  <si>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</si>
  <si>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</si>
  <si>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</si>
  <si>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</si>
  <si>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</si>
  <si>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</si>
  <si>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</si>
  <si>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</si>
  <si>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</si>
  <si>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</si>
  <si>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</si>
  <si>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</si>
  <si>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</si>
  <si>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</si>
  <si>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</si>
  <si>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</si>
  <si>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</si>
  <si>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</si>
  <si>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</si>
  <si>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</si>
  <si>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</si>
  <si>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</si>
  <si>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</si>
  <si>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</si>
  <si>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</si>
  <si>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</si>
  <si>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</si>
  <si>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</si>
  <si>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</si>
  <si>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</si>
  <si>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</si>
  <si>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</si>
  <si>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</si>
  <si>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</si>
  <si>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</si>
  <si>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</si>
  <si>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</si>
  <si>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</si>
  <si>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</si>
  <si>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</si>
  <si>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</si>
  <si>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</si>
  <si>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</si>
  <si>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</si>
  <si>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</si>
  <si>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</si>
  <si>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</si>
  <si>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</si>
  <si>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</si>
  <si>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</si>
  <si>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</si>
  <si>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</si>
  <si>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</si>
  <si>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</si>
  <si>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</si>
  <si>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</si>
  <si>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</si>
  <si>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</si>
  <si>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</si>
  <si>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</si>
  <si>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</si>
  <si>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</si>
  <si>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</si>
  <si>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</si>
  <si>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</si>
  <si>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</si>
  <si>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</si>
  <si>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</si>
  <si>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</si>
  <si>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</si>
  <si>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</si>
  <si>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</si>
  <si>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</si>
  <si>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</si>
  <si>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</si>
  <si>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</si>
  <si>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</si>
  <si>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</si>
  <si>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</si>
  <si>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</si>
  <si>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</si>
  <si>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</si>
  <si>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</si>
  <si>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</si>
  <si>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</si>
  <si>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</si>
  <si>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</si>
  <si>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</si>
  <si>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</si>
  <si>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</si>
  <si>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</si>
  <si>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</si>
  <si>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</si>
  <si>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</si>
  <si>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</si>
  <si>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</si>
  <si>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</si>
  <si>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</si>
  <si>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</si>
  <si>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</si>
  <si>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</si>
  <si>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</si>
  <si>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</si>
  <si>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</si>
  <si>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</si>
  <si>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</si>
  <si>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</si>
  <si>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</si>
  <si>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</si>
  <si>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</si>
  <si>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</si>
  <si>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</si>
  <si>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</si>
  <si>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</si>
  <si>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</si>
  <si>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</si>
  <si>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</si>
  <si>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</si>
  <si>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</si>
  <si>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</si>
  <si>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</si>
  <si>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</si>
  <si>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</si>
  <si>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</si>
  <si>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</si>
  <si>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</si>
  <si>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</si>
  <si>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</si>
  <si>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</si>
  <si>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</si>
  <si>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</si>
  <si>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</si>
  <si>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</si>
  <si>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</si>
  <si>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</si>
  <si>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</si>
  <si>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</si>
  <si>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</si>
  <si>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</si>
  <si>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</si>
  <si>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</si>
  <si>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</si>
  <si>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</si>
  <si>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</si>
  <si>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</si>
  <si>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</si>
  <si>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</si>
  <si>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</si>
  <si>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</si>
  <si>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</si>
  <si>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</si>
  <si>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</si>
  <si>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</si>
  <si>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</si>
  <si>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</si>
  <si>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</si>
  <si>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</si>
  <si>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</si>
  <si>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</si>
  <si>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</si>
  <si>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</si>
  <si>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</si>
  <si>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</si>
  <si>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</si>
  <si>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</si>
  <si>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</si>
  <si>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</si>
  <si>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</si>
  <si>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</si>
  <si>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</si>
  <si>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</si>
  <si>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</si>
  <si>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</si>
  <si>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</si>
  <si>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</si>
  <si>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</si>
  <si>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</si>
  <si>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</si>
  <si>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</si>
  <si>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</si>
  <si>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</si>
  <si>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</si>
  <si>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</si>
  <si>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</si>
  <si>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</si>
  <si>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</si>
  <si>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</si>
  <si>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</si>
  <si>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</si>
  <si>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</si>
  <si>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</si>
  <si>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</si>
  <si>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</si>
  <si>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</si>
  <si>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</si>
  <si>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</si>
  <si>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</si>
  <si>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</si>
  <si>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</si>
  <si>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</si>
  <si>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</si>
  <si>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</si>
  <si>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</si>
  <si>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</si>
  <si>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</si>
  <si>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</si>
  <si>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</si>
  <si>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</si>
  <si>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</si>
  <si>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</si>
  <si>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</si>
  <si>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</si>
  <si>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</si>
  <si>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</si>
  <si>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</si>
  <si>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</si>
  <si>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</si>
  <si>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</si>
  <si>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</si>
  <si>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</si>
  <si>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</si>
  <si>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</si>
  <si>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</si>
  <si>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</si>
  <si>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</si>
  <si>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</si>
  <si>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</si>
  <si>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</si>
  <si>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</si>
  <si>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</si>
  <si>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</si>
  <si>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</si>
  <si>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</si>
  <si>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</si>
  <si>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</si>
  <si>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</si>
  <si>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</si>
  <si>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</si>
  <si>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</si>
  <si>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</si>
  <si>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</si>
  <si>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</si>
  <si>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</si>
  <si>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</si>
  <si>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</si>
  <si>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</si>
  <si>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</si>
  <si>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</si>
  <si>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</si>
  <si>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</si>
  <si>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</si>
  <si>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</si>
  <si>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</si>
  <si>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</si>
  <si>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</si>
  <si>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</si>
  <si>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</si>
  <si>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</si>
  <si>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</si>
  <si>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</si>
  <si>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</si>
  <si>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</si>
  <si>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</si>
  <si>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</si>
  <si>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</si>
  <si>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</si>
  <si>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</si>
  <si>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</si>
  <si>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</si>
  <si>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</si>
  <si>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</si>
  <si>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</si>
  <si>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</si>
  <si>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</si>
  <si>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</si>
  <si>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</si>
  <si>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</si>
  <si>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</si>
  <si>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</si>
  <si>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</si>
  <si>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</si>
  <si>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</si>
  <si>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</si>
  <si>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</si>
  <si>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</si>
  <si>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</si>
  <si>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</si>
  <si>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</si>
  <si>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</si>
  <si>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</si>
  <si>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</si>
  <si>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</si>
  <si>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</si>
  <si>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</si>
  <si>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</si>
  <si>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</si>
  <si>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</si>
  <si>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</si>
  <si>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</si>
  <si>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</si>
  <si>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</si>
  <si>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</si>
  <si>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</si>
  <si>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</si>
  <si>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</si>
  <si>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</si>
  <si>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</si>
  <si>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</si>
  <si>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</si>
  <si>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</si>
  <si>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</si>
  <si>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</si>
  <si>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</si>
  <si>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34003</t>
  </si>
  <si>
    <t>AVELGEM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</si>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</sst>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769A2F9-982D-4958-9A6C-11C1DD20F6C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98690.671386146947</c:v>
                </c:pt>
                <c:pt idx="1">
                  <c:v>25726.764015645367</c:v>
                </c:pt>
                <c:pt idx="2">
                  <c:v>669.19899999999996</c:v>
                </c:pt>
                <c:pt idx="3">
                  <c:v>2297.1732827913311</c:v>
                </c:pt>
                <c:pt idx="4">
                  <c:v>171342.07487573888</c:v>
                </c:pt>
                <c:pt idx="5">
                  <c:v>42086.566945153667</c:v>
                </c:pt>
                <c:pt idx="6">
                  <c:v>1043.1122770237964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98690.671386146947</c:v>
                </c:pt>
                <c:pt idx="1">
                  <c:v>25726.764015645367</c:v>
                </c:pt>
                <c:pt idx="2">
                  <c:v>669.19899999999996</c:v>
                </c:pt>
                <c:pt idx="3">
                  <c:v>2297.1732827913311</c:v>
                </c:pt>
                <c:pt idx="4">
                  <c:v>171342.07487573888</c:v>
                </c:pt>
                <c:pt idx="5">
                  <c:v>42086.566945153667</c:v>
                </c:pt>
                <c:pt idx="6">
                  <c:v>1043.1122770237964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21812.780562434509</c:v>
                </c:pt>
                <c:pt idx="2">
                  <c:v>5306.8733421697852</c:v>
                </c:pt>
                <c:pt idx="3">
                  <c:v>145.84674960635809</c:v>
                </c:pt>
                <c:pt idx="4">
                  <c:v>584.88160883935939</c:v>
                </c:pt>
                <c:pt idx="5">
                  <c:v>36327.905543162306</c:v>
                </c:pt>
                <c:pt idx="6">
                  <c:v>10644.363259268674</c:v>
                </c:pt>
                <c:pt idx="7">
                  <c:v>266.36637594747583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21812.780562434509</c:v>
                </c:pt>
                <c:pt idx="2">
                  <c:v>5306.8733421697852</c:v>
                </c:pt>
                <c:pt idx="3">
                  <c:v>145.84674960635809</c:v>
                </c:pt>
                <c:pt idx="4">
                  <c:v>584.88160883935939</c:v>
                </c:pt>
                <c:pt idx="5">
                  <c:v>36327.905543162306</c:v>
                </c:pt>
                <c:pt idx="6">
                  <c:v>10644.363259268674</c:v>
                </c:pt>
                <c:pt idx="7">
                  <c:v>266.36637594747583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34003</v>
      </c>
      <c r="B6" s="385"/>
      <c r="C6" s="386"/>
    </row>
    <row r="7" spans="1:7" s="383" customFormat="1" ht="15.75" customHeight="1">
      <c r="A7" s="387" t="str">
        <f>txtMunicipality</f>
        <v>AVELGEM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14591.269378937719</v>
      </c>
      <c r="D10" s="676">
        <f ca="1">tertiair!C16</f>
        <v>0</v>
      </c>
      <c r="E10" s="676">
        <f ca="1">tertiair!D16</f>
        <v>7297.5273999769342</v>
      </c>
      <c r="F10" s="676">
        <f>tertiair!E16</f>
        <v>193.28566899369685</v>
      </c>
      <c r="G10" s="676">
        <f ca="1">tertiair!F16</f>
        <v>2826.5517953605568</v>
      </c>
      <c r="H10" s="676">
        <f>tertiair!G16</f>
        <v>0</v>
      </c>
      <c r="I10" s="676">
        <f>tertiair!H16</f>
        <v>0</v>
      </c>
      <c r="J10" s="676">
        <f>tertiair!I16</f>
        <v>0</v>
      </c>
      <c r="K10" s="676">
        <f>tertiair!J16</f>
        <v>0</v>
      </c>
      <c r="L10" s="676">
        <f>tertiair!K16</f>
        <v>0</v>
      </c>
      <c r="M10" s="676">
        <f ca="1">tertiair!L16</f>
        <v>0</v>
      </c>
      <c r="N10" s="676">
        <f>tertiair!M16</f>
        <v>0</v>
      </c>
      <c r="O10" s="676">
        <f ca="1">tertiair!N16</f>
        <v>1482.6387723764647</v>
      </c>
      <c r="P10" s="676">
        <f>tertiair!O16</f>
        <v>4.6900000000000004</v>
      </c>
      <c r="Q10" s="677">
        <f>tertiair!P16</f>
        <v>0</v>
      </c>
      <c r="R10" s="679">
        <f ca="1">SUM(C10:Q10)</f>
        <v>26395.963015645368</v>
      </c>
      <c r="S10" s="67"/>
    </row>
    <row r="11" spans="1:19" s="444" customFormat="1">
      <c r="A11" s="791" t="s">
        <v>214</v>
      </c>
      <c r="B11" s="796"/>
      <c r="C11" s="676">
        <f>huishoudens!B8</f>
        <v>20649.040099037124</v>
      </c>
      <c r="D11" s="676">
        <f>huishoudens!C8</f>
        <v>0</v>
      </c>
      <c r="E11" s="676">
        <f>huishoudens!D8</f>
        <v>25472.953822229643</v>
      </c>
      <c r="F11" s="676">
        <f>huishoudens!E8</f>
        <v>1412.3321602639087</v>
      </c>
      <c r="G11" s="676">
        <f>huishoudens!F8</f>
        <v>43281.586740626983</v>
      </c>
      <c r="H11" s="676">
        <f>huishoudens!G8</f>
        <v>0</v>
      </c>
      <c r="I11" s="676">
        <f>huishoudens!H8</f>
        <v>0</v>
      </c>
      <c r="J11" s="676">
        <f>huishoudens!I8</f>
        <v>0</v>
      </c>
      <c r="K11" s="676">
        <f>huishoudens!J8</f>
        <v>819.66707168052437</v>
      </c>
      <c r="L11" s="676">
        <f>huishoudens!K8</f>
        <v>0</v>
      </c>
      <c r="M11" s="676">
        <f>huishoudens!L8</f>
        <v>0</v>
      </c>
      <c r="N11" s="676">
        <f>huishoudens!M8</f>
        <v>0</v>
      </c>
      <c r="O11" s="676">
        <f>huishoudens!N8</f>
        <v>6783.1014923087587</v>
      </c>
      <c r="P11" s="676">
        <f>huishoudens!O8</f>
        <v>176.65666666666667</v>
      </c>
      <c r="Q11" s="677">
        <f>huishoudens!P8</f>
        <v>95.333333333333343</v>
      </c>
      <c r="R11" s="679">
        <f>SUM(C11:Q11)</f>
        <v>98690.671386146947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85599.715929947255</v>
      </c>
      <c r="D13" s="676">
        <f>industrie!C18</f>
        <v>0</v>
      </c>
      <c r="E13" s="676">
        <f>industrie!D18</f>
        <v>71957.856740125484</v>
      </c>
      <c r="F13" s="676">
        <f>industrie!E18</f>
        <v>929.3876331831168</v>
      </c>
      <c r="G13" s="676">
        <f>industrie!F18</f>
        <v>10942.773129800416</v>
      </c>
      <c r="H13" s="676">
        <f>industrie!G18</f>
        <v>0</v>
      </c>
      <c r="I13" s="676">
        <f>industrie!H18</f>
        <v>0</v>
      </c>
      <c r="J13" s="676">
        <f>industrie!I18</f>
        <v>0</v>
      </c>
      <c r="K13" s="676">
        <f>industrie!J18</f>
        <v>11.103397478862359</v>
      </c>
      <c r="L13" s="676">
        <f>industrie!K18</f>
        <v>0</v>
      </c>
      <c r="M13" s="676">
        <f>industrie!L18</f>
        <v>0</v>
      </c>
      <c r="N13" s="676">
        <f>industrie!M18</f>
        <v>0</v>
      </c>
      <c r="O13" s="676">
        <f>industrie!N18</f>
        <v>1901.2380452037332</v>
      </c>
      <c r="P13" s="676">
        <f>industrie!O18</f>
        <v>0</v>
      </c>
      <c r="Q13" s="677">
        <f>industrie!P18</f>
        <v>0</v>
      </c>
      <c r="R13" s="679">
        <f>SUM(C13:Q13)</f>
        <v>171342.07487573888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120840.0254079221</v>
      </c>
      <c r="D16" s="711">
        <f t="shared" ref="D16:R16" ca="1" si="0">SUM(D9:D15)</f>
        <v>0</v>
      </c>
      <c r="E16" s="711">
        <f t="shared" ca="1" si="0"/>
        <v>104728.33796233207</v>
      </c>
      <c r="F16" s="711">
        <f t="shared" si="0"/>
        <v>2535.0054624407221</v>
      </c>
      <c r="G16" s="711">
        <f t="shared" ca="1" si="0"/>
        <v>57050.911665787957</v>
      </c>
      <c r="H16" s="711">
        <f t="shared" si="0"/>
        <v>0</v>
      </c>
      <c r="I16" s="711">
        <f t="shared" si="0"/>
        <v>0</v>
      </c>
      <c r="J16" s="711">
        <f t="shared" si="0"/>
        <v>0</v>
      </c>
      <c r="K16" s="711">
        <f t="shared" si="0"/>
        <v>830.77046915938672</v>
      </c>
      <c r="L16" s="711">
        <f t="shared" si="0"/>
        <v>0</v>
      </c>
      <c r="M16" s="711">
        <f t="shared" ca="1" si="0"/>
        <v>0</v>
      </c>
      <c r="N16" s="711">
        <f t="shared" si="0"/>
        <v>0</v>
      </c>
      <c r="O16" s="711">
        <f t="shared" ca="1" si="0"/>
        <v>10166.978309888957</v>
      </c>
      <c r="P16" s="711">
        <f t="shared" si="0"/>
        <v>181.34666666666666</v>
      </c>
      <c r="Q16" s="711">
        <f t="shared" si="0"/>
        <v>95.333333333333343</v>
      </c>
      <c r="R16" s="711">
        <f t="shared" ca="1" si="0"/>
        <v>296428.70927753119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5.1039793994174874</v>
      </c>
      <c r="D19" s="676">
        <f>transport!C54</f>
        <v>0</v>
      </c>
      <c r="E19" s="676">
        <f>transport!D54</f>
        <v>0</v>
      </c>
      <c r="F19" s="676">
        <f>transport!E54</f>
        <v>0</v>
      </c>
      <c r="G19" s="676">
        <f>transport!F54</f>
        <v>0</v>
      </c>
      <c r="H19" s="676">
        <f>transport!G54</f>
        <v>993.46068572131003</v>
      </c>
      <c r="I19" s="676">
        <f>transport!H54</f>
        <v>0</v>
      </c>
      <c r="J19" s="676">
        <f>transport!I54</f>
        <v>0</v>
      </c>
      <c r="K19" s="676">
        <f>transport!J54</f>
        <v>0</v>
      </c>
      <c r="L19" s="676">
        <f>transport!K54</f>
        <v>0</v>
      </c>
      <c r="M19" s="676">
        <f>transport!L54</f>
        <v>0</v>
      </c>
      <c r="N19" s="676">
        <f>transport!M54</f>
        <v>44.547611903068834</v>
      </c>
      <c r="O19" s="676">
        <f>transport!N54</f>
        <v>0</v>
      </c>
      <c r="P19" s="676">
        <f>transport!O54</f>
        <v>0</v>
      </c>
      <c r="Q19" s="677">
        <f>transport!P54</f>
        <v>0</v>
      </c>
      <c r="R19" s="679">
        <f>SUM(C19:Q19)</f>
        <v>1043.1122770237964</v>
      </c>
      <c r="S19" s="67"/>
    </row>
    <row r="20" spans="1:19" s="444" customFormat="1">
      <c r="A20" s="791" t="s">
        <v>296</v>
      </c>
      <c r="B20" s="796"/>
      <c r="C20" s="676">
        <f>transport!B14</f>
        <v>3.6000457809416897</v>
      </c>
      <c r="D20" s="676">
        <f>transport!C14</f>
        <v>0</v>
      </c>
      <c r="E20" s="676">
        <f>transport!D14</f>
        <v>3.3275767926755706</v>
      </c>
      <c r="F20" s="676">
        <f>transport!E14</f>
        <v>118.89462955244768</v>
      </c>
      <c r="G20" s="676">
        <f>transport!F14</f>
        <v>0</v>
      </c>
      <c r="H20" s="676">
        <f>transport!G14</f>
        <v>34425.058933508728</v>
      </c>
      <c r="I20" s="676">
        <f>transport!H14</f>
        <v>5720.5890379486536</v>
      </c>
      <c r="J20" s="676">
        <f>transport!I14</f>
        <v>0</v>
      </c>
      <c r="K20" s="676">
        <f>transport!J14</f>
        <v>0</v>
      </c>
      <c r="L20" s="676">
        <f>transport!K14</f>
        <v>0</v>
      </c>
      <c r="M20" s="676">
        <f>transport!L14</f>
        <v>0</v>
      </c>
      <c r="N20" s="676">
        <f>transport!M14</f>
        <v>1815.0967215702224</v>
      </c>
      <c r="O20" s="676">
        <f>transport!N14</f>
        <v>0</v>
      </c>
      <c r="P20" s="676">
        <f>transport!O14</f>
        <v>0</v>
      </c>
      <c r="Q20" s="677">
        <f>transport!P14</f>
        <v>0</v>
      </c>
      <c r="R20" s="679">
        <f>SUM(C20:Q20)</f>
        <v>42086.566945153667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8.7040251803591779</v>
      </c>
      <c r="D22" s="794">
        <f t="shared" ref="D22:R22" si="1">SUM(D18:D21)</f>
        <v>0</v>
      </c>
      <c r="E22" s="794">
        <f t="shared" si="1"/>
        <v>3.3275767926755706</v>
      </c>
      <c r="F22" s="794">
        <f t="shared" si="1"/>
        <v>118.89462955244768</v>
      </c>
      <c r="G22" s="794">
        <f t="shared" si="1"/>
        <v>0</v>
      </c>
      <c r="H22" s="794">
        <f t="shared" si="1"/>
        <v>35418.519619230035</v>
      </c>
      <c r="I22" s="794">
        <f t="shared" si="1"/>
        <v>5720.5890379486536</v>
      </c>
      <c r="J22" s="794">
        <f t="shared" si="1"/>
        <v>0</v>
      </c>
      <c r="K22" s="794">
        <f t="shared" si="1"/>
        <v>0</v>
      </c>
      <c r="L22" s="794">
        <f t="shared" si="1"/>
        <v>0</v>
      </c>
      <c r="M22" s="794">
        <f t="shared" si="1"/>
        <v>0</v>
      </c>
      <c r="N22" s="794">
        <f t="shared" si="1"/>
        <v>1859.6443334732912</v>
      </c>
      <c r="O22" s="794">
        <f t="shared" si="1"/>
        <v>0</v>
      </c>
      <c r="P22" s="794">
        <f t="shared" si="1"/>
        <v>0</v>
      </c>
      <c r="Q22" s="794">
        <f t="shared" si="1"/>
        <v>0</v>
      </c>
      <c r="R22" s="794">
        <f t="shared" si="1"/>
        <v>43129.679222177467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458.84799859006341</v>
      </c>
      <c r="D24" s="676">
        <f>+landbouw!C8</f>
        <v>0</v>
      </c>
      <c r="E24" s="676">
        <f>+landbouw!D8</f>
        <v>180.39714188682916</v>
      </c>
      <c r="F24" s="676">
        <f>+landbouw!E8</f>
        <v>5.7820758986431118</v>
      </c>
      <c r="G24" s="676">
        <f>+landbouw!F8</f>
        <v>1583.1405434278081</v>
      </c>
      <c r="H24" s="676">
        <f>+landbouw!G8</f>
        <v>0</v>
      </c>
      <c r="I24" s="676">
        <f>+landbouw!H8</f>
        <v>0</v>
      </c>
      <c r="J24" s="676">
        <f>+landbouw!I8</f>
        <v>0</v>
      </c>
      <c r="K24" s="676">
        <f>+landbouw!J8</f>
        <v>69.005522987987348</v>
      </c>
      <c r="L24" s="676">
        <f>+landbouw!K8</f>
        <v>0</v>
      </c>
      <c r="M24" s="676">
        <f>+landbouw!L8</f>
        <v>0</v>
      </c>
      <c r="N24" s="676">
        <f>+landbouw!M8</f>
        <v>0</v>
      </c>
      <c r="O24" s="676">
        <f>+landbouw!N8</f>
        <v>0</v>
      </c>
      <c r="P24" s="676">
        <f>+landbouw!O8</f>
        <v>0</v>
      </c>
      <c r="Q24" s="677">
        <f>+landbouw!P8</f>
        <v>0</v>
      </c>
      <c r="R24" s="679">
        <f>SUM(C24:Q24)</f>
        <v>2297.1732827913311</v>
      </c>
      <c r="S24" s="67"/>
    </row>
    <row r="25" spans="1:19" s="444" customFormat="1" ht="15" thickBot="1">
      <c r="A25" s="813" t="s">
        <v>833</v>
      </c>
      <c r="B25" s="977"/>
      <c r="C25" s="978">
        <f>IF(Onbekend_ele_kWh="---",0,Onbekend_ele_kWh)/1000+IF(REST_rest_ele_kWh="---",0,REST_rest_ele_kWh)/1000</f>
        <v>664.86031030337301</v>
      </c>
      <c r="D25" s="978"/>
      <c r="E25" s="978">
        <f>IF(onbekend_gas_kWh="---",0,onbekend_gas_kWh)/1000+IF(REST_rest_gas_kWh="---",0,REST_rest_gas_kWh)/1000</f>
        <v>1348.3067194892999</v>
      </c>
      <c r="F25" s="978"/>
      <c r="G25" s="978"/>
      <c r="H25" s="978"/>
      <c r="I25" s="978"/>
      <c r="J25" s="978"/>
      <c r="K25" s="978"/>
      <c r="L25" s="978"/>
      <c r="M25" s="978"/>
      <c r="N25" s="978"/>
      <c r="O25" s="978"/>
      <c r="P25" s="978"/>
      <c r="Q25" s="979"/>
      <c r="R25" s="679">
        <f>SUM(C25:Q25)</f>
        <v>2013.167029792673</v>
      </c>
      <c r="S25" s="67"/>
    </row>
    <row r="26" spans="1:19" s="444" customFormat="1" ht="15.75" thickBot="1">
      <c r="A26" s="684" t="s">
        <v>834</v>
      </c>
      <c r="B26" s="799"/>
      <c r="C26" s="794">
        <f>SUM(C24:C25)</f>
        <v>1123.7083088934364</v>
      </c>
      <c r="D26" s="794">
        <f t="shared" ref="D26:R26" si="2">SUM(D24:D25)</f>
        <v>0</v>
      </c>
      <c r="E26" s="794">
        <f t="shared" si="2"/>
        <v>1528.703861376129</v>
      </c>
      <c r="F26" s="794">
        <f t="shared" si="2"/>
        <v>5.7820758986431118</v>
      </c>
      <c r="G26" s="794">
        <f t="shared" si="2"/>
        <v>1583.1405434278081</v>
      </c>
      <c r="H26" s="794">
        <f t="shared" si="2"/>
        <v>0</v>
      </c>
      <c r="I26" s="794">
        <f t="shared" si="2"/>
        <v>0</v>
      </c>
      <c r="J26" s="794">
        <f t="shared" si="2"/>
        <v>0</v>
      </c>
      <c r="K26" s="794">
        <f t="shared" si="2"/>
        <v>69.005522987987348</v>
      </c>
      <c r="L26" s="794">
        <f t="shared" si="2"/>
        <v>0</v>
      </c>
      <c r="M26" s="794">
        <f t="shared" si="2"/>
        <v>0</v>
      </c>
      <c r="N26" s="794">
        <f t="shared" si="2"/>
        <v>0</v>
      </c>
      <c r="O26" s="794">
        <f t="shared" si="2"/>
        <v>0</v>
      </c>
      <c r="P26" s="794">
        <f t="shared" si="2"/>
        <v>0</v>
      </c>
      <c r="Q26" s="794">
        <f t="shared" si="2"/>
        <v>0</v>
      </c>
      <c r="R26" s="794">
        <f t="shared" si="2"/>
        <v>4310.3403125840041</v>
      </c>
      <c r="S26" s="67"/>
    </row>
    <row r="27" spans="1:19" s="444" customFormat="1" ht="17.25" thickTop="1" thickBot="1">
      <c r="A27" s="685" t="s">
        <v>109</v>
      </c>
      <c r="B27" s="786"/>
      <c r="C27" s="686">
        <f ca="1">C22+C16+C26</f>
        <v>121972.43774199589</v>
      </c>
      <c r="D27" s="686">
        <f t="shared" ref="D27:R27" ca="1" si="3">D22+D16+D26</f>
        <v>0</v>
      </c>
      <c r="E27" s="686">
        <f t="shared" ca="1" si="3"/>
        <v>106260.36940050087</v>
      </c>
      <c r="F27" s="686">
        <f t="shared" si="3"/>
        <v>2659.6821678918132</v>
      </c>
      <c r="G27" s="686">
        <f t="shared" ca="1" si="3"/>
        <v>58634.052209215763</v>
      </c>
      <c r="H27" s="686">
        <f t="shared" si="3"/>
        <v>35418.519619230035</v>
      </c>
      <c r="I27" s="686">
        <f t="shared" si="3"/>
        <v>5720.5890379486536</v>
      </c>
      <c r="J27" s="686">
        <f t="shared" si="3"/>
        <v>0</v>
      </c>
      <c r="K27" s="686">
        <f t="shared" si="3"/>
        <v>899.77599214737404</v>
      </c>
      <c r="L27" s="686">
        <f t="shared" si="3"/>
        <v>0</v>
      </c>
      <c r="M27" s="686">
        <f t="shared" ca="1" si="3"/>
        <v>0</v>
      </c>
      <c r="N27" s="686">
        <f t="shared" si="3"/>
        <v>1859.6443334732912</v>
      </c>
      <c r="O27" s="686">
        <f t="shared" ca="1" si="3"/>
        <v>10166.978309888957</v>
      </c>
      <c r="P27" s="686">
        <f t="shared" si="3"/>
        <v>181.34666666666666</v>
      </c>
      <c r="Q27" s="686">
        <f t="shared" si="3"/>
        <v>95.333333333333343</v>
      </c>
      <c r="R27" s="686">
        <f t="shared" ca="1" si="3"/>
        <v>343868.72881229268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3180.0543807579652</v>
      </c>
      <c r="D40" s="676">
        <f ca="1">tertiair!C20</f>
        <v>0</v>
      </c>
      <c r="E40" s="676">
        <f ca="1">tertiair!D20</f>
        <v>1474.1005347953408</v>
      </c>
      <c r="F40" s="676">
        <f>tertiair!E20</f>
        <v>43.875846861569187</v>
      </c>
      <c r="G40" s="676">
        <f ca="1">tertiair!F20</f>
        <v>754.68932936126873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5452.7200917761429</v>
      </c>
    </row>
    <row r="41" spans="1:18">
      <c r="A41" s="804" t="s">
        <v>214</v>
      </c>
      <c r="B41" s="811"/>
      <c r="C41" s="676">
        <f ca="1">huishoudens!B12</f>
        <v>4500.2986868419039</v>
      </c>
      <c r="D41" s="676">
        <f ca="1">huishoudens!C12</f>
        <v>0</v>
      </c>
      <c r="E41" s="676">
        <f>huishoudens!D12</f>
        <v>5145.5366720903885</v>
      </c>
      <c r="F41" s="676">
        <f>huishoudens!E12</f>
        <v>320.59940037990731</v>
      </c>
      <c r="G41" s="676">
        <f>huishoudens!F12</f>
        <v>11556.183659747405</v>
      </c>
      <c r="H41" s="676">
        <f>huishoudens!G12</f>
        <v>0</v>
      </c>
      <c r="I41" s="676">
        <f>huishoudens!H12</f>
        <v>0</v>
      </c>
      <c r="J41" s="676">
        <f>huishoudens!I12</f>
        <v>0</v>
      </c>
      <c r="K41" s="676">
        <f>huishoudens!J12</f>
        <v>290.16214337490561</v>
      </c>
      <c r="L41" s="676">
        <f>huishoudens!K12</f>
        <v>0</v>
      </c>
      <c r="M41" s="676">
        <f>huishoudens!L12</f>
        <v>0</v>
      </c>
      <c r="N41" s="676">
        <f>huishoudens!M12</f>
        <v>0</v>
      </c>
      <c r="O41" s="676">
        <f>huishoudens!N12</f>
        <v>0</v>
      </c>
      <c r="P41" s="676">
        <f>huishoudens!O12</f>
        <v>0</v>
      </c>
      <c r="Q41" s="753">
        <f>huishoudens!P12</f>
        <v>0</v>
      </c>
      <c r="R41" s="832">
        <f t="shared" ca="1" si="4"/>
        <v>21812.780562434509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18655.796460560163</v>
      </c>
      <c r="D43" s="676">
        <f ca="1">industrie!C22</f>
        <v>0</v>
      </c>
      <c r="E43" s="676">
        <f>industrie!D22</f>
        <v>14535.487061505348</v>
      </c>
      <c r="F43" s="676">
        <f>industrie!E22</f>
        <v>210.97099273256751</v>
      </c>
      <c r="G43" s="676">
        <f>industrie!F22</f>
        <v>2921.7204256567115</v>
      </c>
      <c r="H43" s="676">
        <f>industrie!G22</f>
        <v>0</v>
      </c>
      <c r="I43" s="676">
        <f>industrie!H22</f>
        <v>0</v>
      </c>
      <c r="J43" s="676">
        <f>industrie!I22</f>
        <v>0</v>
      </c>
      <c r="K43" s="676">
        <f>industrie!J22</f>
        <v>3.9306027075172749</v>
      </c>
      <c r="L43" s="676">
        <f>industrie!K22</f>
        <v>0</v>
      </c>
      <c r="M43" s="676">
        <f>industrie!L22</f>
        <v>0</v>
      </c>
      <c r="N43" s="676">
        <f>industrie!M22</f>
        <v>0</v>
      </c>
      <c r="O43" s="676">
        <f>industrie!N22</f>
        <v>0</v>
      </c>
      <c r="P43" s="676">
        <f>industrie!O22</f>
        <v>0</v>
      </c>
      <c r="Q43" s="753">
        <f>industrie!P22</f>
        <v>0</v>
      </c>
      <c r="R43" s="831">
        <f t="shared" ca="1" si="4"/>
        <v>36327.905543162306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26336.149528160033</v>
      </c>
      <c r="D46" s="711">
        <f t="shared" ref="D46:Q46" ca="1" si="5">SUM(D39:D45)</f>
        <v>0</v>
      </c>
      <c r="E46" s="711">
        <f t="shared" ca="1" si="5"/>
        <v>21155.124268391075</v>
      </c>
      <c r="F46" s="711">
        <f t="shared" si="5"/>
        <v>575.44623997404403</v>
      </c>
      <c r="G46" s="711">
        <f t="shared" ca="1" si="5"/>
        <v>15232.593414765384</v>
      </c>
      <c r="H46" s="711">
        <f t="shared" si="5"/>
        <v>0</v>
      </c>
      <c r="I46" s="711">
        <f t="shared" si="5"/>
        <v>0</v>
      </c>
      <c r="J46" s="711">
        <f t="shared" si="5"/>
        <v>0</v>
      </c>
      <c r="K46" s="711">
        <f t="shared" si="5"/>
        <v>294.09274608242288</v>
      </c>
      <c r="L46" s="711">
        <f t="shared" si="5"/>
        <v>0</v>
      </c>
      <c r="M46" s="711">
        <f t="shared" ca="1" si="5"/>
        <v>0</v>
      </c>
      <c r="N46" s="711">
        <f t="shared" si="5"/>
        <v>0</v>
      </c>
      <c r="O46" s="711">
        <f t="shared" ca="1" si="5"/>
        <v>0</v>
      </c>
      <c r="P46" s="711">
        <f t="shared" si="5"/>
        <v>0</v>
      </c>
      <c r="Q46" s="711">
        <f t="shared" si="5"/>
        <v>0</v>
      </c>
      <c r="R46" s="711">
        <f ca="1">SUM(R39:R45)</f>
        <v>63593.406197372955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1.1123728598860014</v>
      </c>
      <c r="D49" s="676">
        <f ca="1">transport!C58</f>
        <v>0</v>
      </c>
      <c r="E49" s="676">
        <f>transport!D58</f>
        <v>0</v>
      </c>
      <c r="F49" s="676">
        <f>transport!E58</f>
        <v>0</v>
      </c>
      <c r="G49" s="676">
        <f>transport!F58</f>
        <v>0</v>
      </c>
      <c r="H49" s="676">
        <f>transport!G58</f>
        <v>265.25400308758981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266.36637594747583</v>
      </c>
    </row>
    <row r="50" spans="1:18">
      <c r="A50" s="807" t="s">
        <v>296</v>
      </c>
      <c r="B50" s="817"/>
      <c r="C50" s="682">
        <f ca="1">transport!B18</f>
        <v>0.78460215210188378</v>
      </c>
      <c r="D50" s="682">
        <f>transport!C18</f>
        <v>0</v>
      </c>
      <c r="E50" s="682">
        <f>transport!D18</f>
        <v>0.6721705121204653</v>
      </c>
      <c r="F50" s="682">
        <f>transport!E18</f>
        <v>26.989080908405626</v>
      </c>
      <c r="G50" s="682">
        <f>transport!F18</f>
        <v>0</v>
      </c>
      <c r="H50" s="682">
        <f>transport!G18</f>
        <v>9191.4907352468308</v>
      </c>
      <c r="I50" s="682">
        <f>transport!H18</f>
        <v>1424.4266704492147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10644.363259268674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1.8969750119878852</v>
      </c>
      <c r="D52" s="711">
        <f t="shared" ref="D52:Q52" ca="1" si="6">SUM(D48:D51)</f>
        <v>0</v>
      </c>
      <c r="E52" s="711">
        <f t="shared" si="6"/>
        <v>0.6721705121204653</v>
      </c>
      <c r="F52" s="711">
        <f t="shared" si="6"/>
        <v>26.989080908405626</v>
      </c>
      <c r="G52" s="711">
        <f t="shared" si="6"/>
        <v>0</v>
      </c>
      <c r="H52" s="711">
        <f t="shared" si="6"/>
        <v>9456.7447383344206</v>
      </c>
      <c r="I52" s="711">
        <f t="shared" si="6"/>
        <v>1424.4266704492147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10910.72963521615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100.0023747162556</v>
      </c>
      <c r="D54" s="682">
        <f ca="1">+landbouw!C12</f>
        <v>0</v>
      </c>
      <c r="E54" s="682">
        <f>+landbouw!D12</f>
        <v>36.440222661139494</v>
      </c>
      <c r="F54" s="682">
        <f>+landbouw!E12</f>
        <v>1.3125312289919864</v>
      </c>
      <c r="G54" s="682">
        <f>+landbouw!F12</f>
        <v>422.6985250952248</v>
      </c>
      <c r="H54" s="682">
        <f>+landbouw!G12</f>
        <v>0</v>
      </c>
      <c r="I54" s="682">
        <f>+landbouw!H12</f>
        <v>0</v>
      </c>
      <c r="J54" s="682">
        <f>+landbouw!I12</f>
        <v>0</v>
      </c>
      <c r="K54" s="682">
        <f>+landbouw!J12</f>
        <v>24.427955137747521</v>
      </c>
      <c r="L54" s="682">
        <f>+landbouw!K12</f>
        <v>0</v>
      </c>
      <c r="M54" s="682">
        <f>+landbouw!L12</f>
        <v>0</v>
      </c>
      <c r="N54" s="682">
        <f>+landbouw!M12</f>
        <v>0</v>
      </c>
      <c r="O54" s="682">
        <f>+landbouw!N12</f>
        <v>0</v>
      </c>
      <c r="P54" s="682">
        <f>+landbouw!O12</f>
        <v>0</v>
      </c>
      <c r="Q54" s="683">
        <f>+landbouw!P12</f>
        <v>0</v>
      </c>
      <c r="R54" s="710">
        <f ca="1">SUM(C54:Q54)</f>
        <v>584.88160883935939</v>
      </c>
    </row>
    <row r="55" spans="1:18" ht="15" thickBot="1">
      <c r="A55" s="807" t="s">
        <v>833</v>
      </c>
      <c r="B55" s="817"/>
      <c r="C55" s="682">
        <f ca="1">C25*'EF ele_warmte'!B12</f>
        <v>144.90116572203723</v>
      </c>
      <c r="D55" s="682"/>
      <c r="E55" s="682">
        <f>E25*EF_CO2_aardgas</f>
        <v>272.35795733683858</v>
      </c>
      <c r="F55" s="682"/>
      <c r="G55" s="682"/>
      <c r="H55" s="682"/>
      <c r="I55" s="682"/>
      <c r="J55" s="682"/>
      <c r="K55" s="682"/>
      <c r="L55" s="682"/>
      <c r="M55" s="682"/>
      <c r="N55" s="682"/>
      <c r="O55" s="682"/>
      <c r="P55" s="682"/>
      <c r="Q55" s="683"/>
      <c r="R55" s="710">
        <f ca="1">SUM(C55:Q55)</f>
        <v>417.25912305887584</v>
      </c>
    </row>
    <row r="56" spans="1:18" ht="15.75" thickBot="1">
      <c r="A56" s="805" t="s">
        <v>834</v>
      </c>
      <c r="B56" s="818"/>
      <c r="C56" s="711">
        <f ca="1">SUM(C54:C55)</f>
        <v>244.90354043829285</v>
      </c>
      <c r="D56" s="711">
        <f t="shared" ref="D56:Q56" ca="1" si="7">SUM(D54:D55)</f>
        <v>0</v>
      </c>
      <c r="E56" s="711">
        <f t="shared" si="7"/>
        <v>308.79817999797808</v>
      </c>
      <c r="F56" s="711">
        <f t="shared" si="7"/>
        <v>1.3125312289919864</v>
      </c>
      <c r="G56" s="711">
        <f t="shared" si="7"/>
        <v>422.6985250952248</v>
      </c>
      <c r="H56" s="711">
        <f t="shared" si="7"/>
        <v>0</v>
      </c>
      <c r="I56" s="711">
        <f t="shared" si="7"/>
        <v>0</v>
      </c>
      <c r="J56" s="711">
        <f t="shared" si="7"/>
        <v>0</v>
      </c>
      <c r="K56" s="711">
        <f t="shared" si="7"/>
        <v>24.427955137747521</v>
      </c>
      <c r="L56" s="711">
        <f t="shared" si="7"/>
        <v>0</v>
      </c>
      <c r="M56" s="711">
        <f t="shared" si="7"/>
        <v>0</v>
      </c>
      <c r="N56" s="711">
        <f t="shared" si="7"/>
        <v>0</v>
      </c>
      <c r="O56" s="711">
        <f t="shared" si="7"/>
        <v>0</v>
      </c>
      <c r="P56" s="711">
        <f t="shared" si="7"/>
        <v>0</v>
      </c>
      <c r="Q56" s="712">
        <f t="shared" si="7"/>
        <v>0</v>
      </c>
      <c r="R56" s="713">
        <f ca="1">SUM(R54:R55)</f>
        <v>1002.1407318982352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26582.950043610312</v>
      </c>
      <c r="D61" s="719">
        <f t="shared" ref="D61:Q61" ca="1" si="8">D46+D52+D56</f>
        <v>0</v>
      </c>
      <c r="E61" s="719">
        <f t="shared" ca="1" si="8"/>
        <v>21464.594618901174</v>
      </c>
      <c r="F61" s="719">
        <f t="shared" si="8"/>
        <v>603.74785211144172</v>
      </c>
      <c r="G61" s="719">
        <f t="shared" ca="1" si="8"/>
        <v>15655.29193986061</v>
      </c>
      <c r="H61" s="719">
        <f t="shared" si="8"/>
        <v>9456.7447383344206</v>
      </c>
      <c r="I61" s="719">
        <f t="shared" si="8"/>
        <v>1424.4266704492147</v>
      </c>
      <c r="J61" s="719">
        <f t="shared" si="8"/>
        <v>0</v>
      </c>
      <c r="K61" s="719">
        <f t="shared" si="8"/>
        <v>318.52070122017039</v>
      </c>
      <c r="L61" s="719">
        <f t="shared" si="8"/>
        <v>0</v>
      </c>
      <c r="M61" s="719">
        <f t="shared" ca="1" si="8"/>
        <v>0</v>
      </c>
      <c r="N61" s="719">
        <f t="shared" si="8"/>
        <v>0</v>
      </c>
      <c r="O61" s="719">
        <f t="shared" ca="1" si="8"/>
        <v>0</v>
      </c>
      <c r="P61" s="719">
        <f t="shared" si="8"/>
        <v>0</v>
      </c>
      <c r="Q61" s="719">
        <f t="shared" si="8"/>
        <v>0</v>
      </c>
      <c r="R61" s="719">
        <f ca="1">R46+R52+R56</f>
        <v>75506.276564487343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0.21794227069430483</v>
      </c>
      <c r="D63" s="762">
        <f t="shared" ca="1" si="9"/>
        <v>0</v>
      </c>
      <c r="E63" s="984">
        <f t="shared" ca="1" si="9"/>
        <v>0.20199999999999999</v>
      </c>
      <c r="F63" s="762">
        <f t="shared" si="9"/>
        <v>0.22700000000000006</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1687.5959157048978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1687.5959157048978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20649.040099037124</v>
      </c>
      <c r="C4" s="448">
        <f>huishoudens!C8</f>
        <v>0</v>
      </c>
      <c r="D4" s="448">
        <f>huishoudens!D8</f>
        <v>25472.953822229643</v>
      </c>
      <c r="E4" s="448">
        <f>huishoudens!E8</f>
        <v>1412.3321602639087</v>
      </c>
      <c r="F4" s="448">
        <f>huishoudens!F8</f>
        <v>43281.586740626983</v>
      </c>
      <c r="G4" s="448">
        <f>huishoudens!G8</f>
        <v>0</v>
      </c>
      <c r="H4" s="448">
        <f>huishoudens!H8</f>
        <v>0</v>
      </c>
      <c r="I4" s="448">
        <f>huishoudens!I8</f>
        <v>0</v>
      </c>
      <c r="J4" s="448">
        <f>huishoudens!J8</f>
        <v>819.66707168052437</v>
      </c>
      <c r="K4" s="448">
        <f>huishoudens!K8</f>
        <v>0</v>
      </c>
      <c r="L4" s="448">
        <f>huishoudens!L8</f>
        <v>0</v>
      </c>
      <c r="M4" s="448">
        <f>huishoudens!M8</f>
        <v>0</v>
      </c>
      <c r="N4" s="448">
        <f>huishoudens!N8</f>
        <v>6783.1014923087587</v>
      </c>
      <c r="O4" s="448">
        <f>huishoudens!O8</f>
        <v>176.65666666666667</v>
      </c>
      <c r="P4" s="449">
        <f>huishoudens!P8</f>
        <v>95.333333333333343</v>
      </c>
      <c r="Q4" s="450">
        <f>SUM(B4:P4)</f>
        <v>98690.671386146947</v>
      </c>
    </row>
    <row r="5" spans="1:17">
      <c r="A5" s="447" t="s">
        <v>149</v>
      </c>
      <c r="B5" s="448">
        <f ca="1">tertiair!B16</f>
        <v>13922.070378937718</v>
      </c>
      <c r="C5" s="448">
        <f ca="1">tertiair!C16</f>
        <v>0</v>
      </c>
      <c r="D5" s="448">
        <f ca="1">tertiair!D16</f>
        <v>7297.5273999769342</v>
      </c>
      <c r="E5" s="448">
        <f>tertiair!E16</f>
        <v>193.28566899369685</v>
      </c>
      <c r="F5" s="448">
        <f ca="1">tertiair!F16</f>
        <v>2826.5517953605568</v>
      </c>
      <c r="G5" s="448">
        <f>tertiair!G16</f>
        <v>0</v>
      </c>
      <c r="H5" s="448">
        <f>tertiair!H16</f>
        <v>0</v>
      </c>
      <c r="I5" s="448">
        <f>tertiair!I16</f>
        <v>0</v>
      </c>
      <c r="J5" s="448">
        <f>tertiair!J16</f>
        <v>0</v>
      </c>
      <c r="K5" s="448">
        <f>tertiair!K16</f>
        <v>0</v>
      </c>
      <c r="L5" s="448">
        <f ca="1">tertiair!L16</f>
        <v>0</v>
      </c>
      <c r="M5" s="448">
        <f>tertiair!M16</f>
        <v>0</v>
      </c>
      <c r="N5" s="448">
        <f ca="1">tertiair!N16</f>
        <v>1482.6387723764647</v>
      </c>
      <c r="O5" s="448">
        <f>tertiair!O16</f>
        <v>4.6900000000000004</v>
      </c>
      <c r="P5" s="449">
        <f>tertiair!P16</f>
        <v>0</v>
      </c>
      <c r="Q5" s="447">
        <f t="shared" ref="Q5:Q14" ca="1" si="0">SUM(B5:P5)</f>
        <v>25726.764015645367</v>
      </c>
    </row>
    <row r="6" spans="1:17">
      <c r="A6" s="447" t="s">
        <v>187</v>
      </c>
      <c r="B6" s="448">
        <f>'openbare verlichting'!B8</f>
        <v>669.19899999999996</v>
      </c>
      <c r="C6" s="448"/>
      <c r="D6" s="448"/>
      <c r="E6" s="448"/>
      <c r="F6" s="448"/>
      <c r="G6" s="448"/>
      <c r="H6" s="448"/>
      <c r="I6" s="448"/>
      <c r="J6" s="448"/>
      <c r="K6" s="448"/>
      <c r="L6" s="448"/>
      <c r="M6" s="448"/>
      <c r="N6" s="448"/>
      <c r="O6" s="448"/>
      <c r="P6" s="449"/>
      <c r="Q6" s="447">
        <f t="shared" si="0"/>
        <v>669.19899999999996</v>
      </c>
    </row>
    <row r="7" spans="1:17">
      <c r="A7" s="447" t="s">
        <v>105</v>
      </c>
      <c r="B7" s="448">
        <f>landbouw!B8</f>
        <v>458.84799859006341</v>
      </c>
      <c r="C7" s="448">
        <f>landbouw!C8</f>
        <v>0</v>
      </c>
      <c r="D7" s="448">
        <f>landbouw!D8</f>
        <v>180.39714188682916</v>
      </c>
      <c r="E7" s="448">
        <f>landbouw!E8</f>
        <v>5.7820758986431118</v>
      </c>
      <c r="F7" s="448">
        <f>landbouw!F8</f>
        <v>1583.1405434278081</v>
      </c>
      <c r="G7" s="448">
        <f>landbouw!G8</f>
        <v>0</v>
      </c>
      <c r="H7" s="448">
        <f>landbouw!H8</f>
        <v>0</v>
      </c>
      <c r="I7" s="448">
        <f>landbouw!I8</f>
        <v>0</v>
      </c>
      <c r="J7" s="448">
        <f>landbouw!J8</f>
        <v>69.005522987987348</v>
      </c>
      <c r="K7" s="448">
        <f>landbouw!K8</f>
        <v>0</v>
      </c>
      <c r="L7" s="448">
        <f>landbouw!L8</f>
        <v>0</v>
      </c>
      <c r="M7" s="448">
        <f>landbouw!M8</f>
        <v>0</v>
      </c>
      <c r="N7" s="448">
        <f>landbouw!N8</f>
        <v>0</v>
      </c>
      <c r="O7" s="448">
        <f>landbouw!O8</f>
        <v>0</v>
      </c>
      <c r="P7" s="449">
        <f>landbouw!P8</f>
        <v>0</v>
      </c>
      <c r="Q7" s="447">
        <f t="shared" si="0"/>
        <v>2297.1732827913311</v>
      </c>
    </row>
    <row r="8" spans="1:17">
      <c r="A8" s="447" t="s">
        <v>639</v>
      </c>
      <c r="B8" s="448">
        <f>industrie!B18</f>
        <v>85599.715929947255</v>
      </c>
      <c r="C8" s="448">
        <f>industrie!C18</f>
        <v>0</v>
      </c>
      <c r="D8" s="448">
        <f>industrie!D18</f>
        <v>71957.856740125484</v>
      </c>
      <c r="E8" s="448">
        <f>industrie!E18</f>
        <v>929.3876331831168</v>
      </c>
      <c r="F8" s="448">
        <f>industrie!F18</f>
        <v>10942.773129800416</v>
      </c>
      <c r="G8" s="448">
        <f>industrie!G18</f>
        <v>0</v>
      </c>
      <c r="H8" s="448">
        <f>industrie!H18</f>
        <v>0</v>
      </c>
      <c r="I8" s="448">
        <f>industrie!I18</f>
        <v>0</v>
      </c>
      <c r="J8" s="448">
        <f>industrie!J18</f>
        <v>11.103397478862359</v>
      </c>
      <c r="K8" s="448">
        <f>industrie!K18</f>
        <v>0</v>
      </c>
      <c r="L8" s="448">
        <f>industrie!L18</f>
        <v>0</v>
      </c>
      <c r="M8" s="448">
        <f>industrie!M18</f>
        <v>0</v>
      </c>
      <c r="N8" s="448">
        <f>industrie!N18</f>
        <v>1901.2380452037332</v>
      </c>
      <c r="O8" s="448">
        <f>industrie!O18</f>
        <v>0</v>
      </c>
      <c r="P8" s="449">
        <f>industrie!P18</f>
        <v>0</v>
      </c>
      <c r="Q8" s="447">
        <f t="shared" si="0"/>
        <v>171342.07487573888</v>
      </c>
    </row>
    <row r="9" spans="1:17" s="453" customFormat="1">
      <c r="A9" s="451" t="s">
        <v>557</v>
      </c>
      <c r="B9" s="452">
        <f>transport!B14</f>
        <v>3.6000457809416897</v>
      </c>
      <c r="C9" s="452">
        <f>transport!C14</f>
        <v>0</v>
      </c>
      <c r="D9" s="452">
        <f>transport!D14</f>
        <v>3.3275767926755706</v>
      </c>
      <c r="E9" s="452">
        <f>transport!E14</f>
        <v>118.89462955244768</v>
      </c>
      <c r="F9" s="452">
        <f>transport!F14</f>
        <v>0</v>
      </c>
      <c r="G9" s="452">
        <f>transport!G14</f>
        <v>34425.058933508728</v>
      </c>
      <c r="H9" s="452">
        <f>transport!H14</f>
        <v>5720.5890379486536</v>
      </c>
      <c r="I9" s="452">
        <f>transport!I14</f>
        <v>0</v>
      </c>
      <c r="J9" s="452">
        <f>transport!J14</f>
        <v>0</v>
      </c>
      <c r="K9" s="452">
        <f>transport!K14</f>
        <v>0</v>
      </c>
      <c r="L9" s="452">
        <f>transport!L14</f>
        <v>0</v>
      </c>
      <c r="M9" s="452">
        <f>transport!M14</f>
        <v>1815.0967215702224</v>
      </c>
      <c r="N9" s="452">
        <f>transport!N14</f>
        <v>0</v>
      </c>
      <c r="O9" s="452">
        <f>transport!O14</f>
        <v>0</v>
      </c>
      <c r="P9" s="452">
        <f>transport!P14</f>
        <v>0</v>
      </c>
      <c r="Q9" s="451">
        <f>SUM(B9:P9)</f>
        <v>42086.566945153667</v>
      </c>
    </row>
    <row r="10" spans="1:17">
      <c r="A10" s="447" t="s">
        <v>547</v>
      </c>
      <c r="B10" s="448">
        <f>transport!B54</f>
        <v>5.1039793994174874</v>
      </c>
      <c r="C10" s="448">
        <f>transport!C54</f>
        <v>0</v>
      </c>
      <c r="D10" s="448">
        <f>transport!D54</f>
        <v>0</v>
      </c>
      <c r="E10" s="448">
        <f>transport!E54</f>
        <v>0</v>
      </c>
      <c r="F10" s="448">
        <f>transport!F54</f>
        <v>0</v>
      </c>
      <c r="G10" s="448">
        <f>transport!G54</f>
        <v>993.46068572131003</v>
      </c>
      <c r="H10" s="448">
        <f>transport!H54</f>
        <v>0</v>
      </c>
      <c r="I10" s="448">
        <f>transport!I54</f>
        <v>0</v>
      </c>
      <c r="J10" s="448">
        <f>transport!J54</f>
        <v>0</v>
      </c>
      <c r="K10" s="448">
        <f>transport!K54</f>
        <v>0</v>
      </c>
      <c r="L10" s="448">
        <f>transport!L54</f>
        <v>0</v>
      </c>
      <c r="M10" s="448">
        <f>transport!M54</f>
        <v>44.547611903068834</v>
      </c>
      <c r="N10" s="448">
        <f>transport!N54</f>
        <v>0</v>
      </c>
      <c r="O10" s="448">
        <f>transport!O54</f>
        <v>0</v>
      </c>
      <c r="P10" s="449">
        <f>transport!P54</f>
        <v>0</v>
      </c>
      <c r="Q10" s="447">
        <f t="shared" si="0"/>
        <v>1043.1122770237964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664.86031030337301</v>
      </c>
      <c r="C14" s="455"/>
      <c r="D14" s="455">
        <f>'SEAP template'!E25</f>
        <v>1348.3067194892999</v>
      </c>
      <c r="E14" s="455"/>
      <c r="F14" s="455"/>
      <c r="G14" s="455"/>
      <c r="H14" s="455"/>
      <c r="I14" s="455"/>
      <c r="J14" s="455"/>
      <c r="K14" s="455"/>
      <c r="L14" s="455"/>
      <c r="M14" s="455"/>
      <c r="N14" s="455"/>
      <c r="O14" s="455"/>
      <c r="P14" s="456"/>
      <c r="Q14" s="447">
        <f t="shared" si="0"/>
        <v>2013.167029792673</v>
      </c>
    </row>
    <row r="15" spans="1:17" s="460" customFormat="1">
      <c r="A15" s="457" t="s">
        <v>551</v>
      </c>
      <c r="B15" s="458">
        <f ca="1">SUM(B4:B14)</f>
        <v>121972.43774199589</v>
      </c>
      <c r="C15" s="458">
        <f t="shared" ref="C15:Q15" ca="1" si="1">SUM(C4:C14)</f>
        <v>0</v>
      </c>
      <c r="D15" s="458">
        <f t="shared" ca="1" si="1"/>
        <v>106260.36940050087</v>
      </c>
      <c r="E15" s="458">
        <f t="shared" si="1"/>
        <v>2659.6821678918136</v>
      </c>
      <c r="F15" s="458">
        <f t="shared" ca="1" si="1"/>
        <v>58634.052209215763</v>
      </c>
      <c r="G15" s="458">
        <f t="shared" si="1"/>
        <v>35418.519619230035</v>
      </c>
      <c r="H15" s="458">
        <f t="shared" si="1"/>
        <v>5720.5890379486536</v>
      </c>
      <c r="I15" s="458">
        <f t="shared" si="1"/>
        <v>0</v>
      </c>
      <c r="J15" s="458">
        <f t="shared" si="1"/>
        <v>899.77599214737404</v>
      </c>
      <c r="K15" s="458">
        <f t="shared" si="1"/>
        <v>0</v>
      </c>
      <c r="L15" s="458">
        <f t="shared" ca="1" si="1"/>
        <v>0</v>
      </c>
      <c r="M15" s="458">
        <f t="shared" si="1"/>
        <v>1859.6443334732912</v>
      </c>
      <c r="N15" s="458">
        <f t="shared" ca="1" si="1"/>
        <v>10166.978309888957</v>
      </c>
      <c r="O15" s="458">
        <f t="shared" si="1"/>
        <v>181.34666666666666</v>
      </c>
      <c r="P15" s="458">
        <f t="shared" si="1"/>
        <v>95.333333333333343</v>
      </c>
      <c r="Q15" s="458">
        <f t="shared" ca="1" si="1"/>
        <v>343868.72881229263</v>
      </c>
    </row>
    <row r="17" spans="1:17">
      <c r="A17" s="461" t="s">
        <v>552</v>
      </c>
      <c r="B17" s="767">
        <f ca="1">huishoudens!B10</f>
        <v>0.21794227069430483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4500.2986868419039</v>
      </c>
      <c r="C22" s="448">
        <f t="shared" ref="C22:C32" ca="1" si="3">C4*$C$17</f>
        <v>0</v>
      </c>
      <c r="D22" s="448">
        <f t="shared" ref="D22:D32" si="4">D4*$D$17</f>
        <v>5145.5366720903885</v>
      </c>
      <c r="E22" s="448">
        <f t="shared" ref="E22:E32" si="5">E4*$E$17</f>
        <v>320.59940037990731</v>
      </c>
      <c r="F22" s="448">
        <f t="shared" ref="F22:F32" si="6">F4*$F$17</f>
        <v>11556.183659747405</v>
      </c>
      <c r="G22" s="448">
        <f t="shared" ref="G22:G32" si="7">G4*$G$17</f>
        <v>0</v>
      </c>
      <c r="H22" s="448">
        <f t="shared" ref="H22:H32" si="8">H4*$H$17</f>
        <v>0</v>
      </c>
      <c r="I22" s="448">
        <f t="shared" ref="I22:I32" si="9">I4*$I$17</f>
        <v>0</v>
      </c>
      <c r="J22" s="448">
        <f t="shared" ref="J22:J32" si="10">J4*$J$17</f>
        <v>290.16214337490561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21812.780562434509</v>
      </c>
    </row>
    <row r="23" spans="1:17">
      <c r="A23" s="447" t="s">
        <v>149</v>
      </c>
      <c r="B23" s="448">
        <f t="shared" ca="1" si="2"/>
        <v>3034.2076311516071</v>
      </c>
      <c r="C23" s="448">
        <f t="shared" ca="1" si="3"/>
        <v>0</v>
      </c>
      <c r="D23" s="448">
        <f t="shared" ca="1" si="4"/>
        <v>1474.1005347953408</v>
      </c>
      <c r="E23" s="448">
        <f t="shared" si="5"/>
        <v>43.875846861569187</v>
      </c>
      <c r="F23" s="448">
        <f t="shared" ca="1" si="6"/>
        <v>754.68932936126873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5306.8733421697852</v>
      </c>
    </row>
    <row r="24" spans="1:17">
      <c r="A24" s="447" t="s">
        <v>187</v>
      </c>
      <c r="B24" s="448">
        <f t="shared" ca="1" si="2"/>
        <v>145.84674960635809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145.84674960635809</v>
      </c>
    </row>
    <row r="25" spans="1:17">
      <c r="A25" s="447" t="s">
        <v>105</v>
      </c>
      <c r="B25" s="448">
        <f t="shared" ca="1" si="2"/>
        <v>100.0023747162556</v>
      </c>
      <c r="C25" s="448">
        <f t="shared" ca="1" si="3"/>
        <v>0</v>
      </c>
      <c r="D25" s="448">
        <f t="shared" si="4"/>
        <v>36.440222661139494</v>
      </c>
      <c r="E25" s="448">
        <f t="shared" si="5"/>
        <v>1.3125312289919864</v>
      </c>
      <c r="F25" s="448">
        <f t="shared" si="6"/>
        <v>422.6985250952248</v>
      </c>
      <c r="G25" s="448">
        <f t="shared" si="7"/>
        <v>0</v>
      </c>
      <c r="H25" s="448">
        <f t="shared" si="8"/>
        <v>0</v>
      </c>
      <c r="I25" s="448">
        <f t="shared" si="9"/>
        <v>0</v>
      </c>
      <c r="J25" s="448">
        <f t="shared" si="10"/>
        <v>24.427955137747521</v>
      </c>
      <c r="K25" s="448">
        <f t="shared" si="11"/>
        <v>0</v>
      </c>
      <c r="L25" s="448">
        <f t="shared" si="12"/>
        <v>0</v>
      </c>
      <c r="M25" s="448">
        <f t="shared" si="13"/>
        <v>0</v>
      </c>
      <c r="N25" s="448">
        <f t="shared" si="14"/>
        <v>0</v>
      </c>
      <c r="O25" s="448">
        <f t="shared" si="15"/>
        <v>0</v>
      </c>
      <c r="P25" s="449">
        <f t="shared" si="16"/>
        <v>0</v>
      </c>
      <c r="Q25" s="447">
        <f t="shared" ca="1" si="17"/>
        <v>584.88160883935939</v>
      </c>
    </row>
    <row r="26" spans="1:17">
      <c r="A26" s="447" t="s">
        <v>639</v>
      </c>
      <c r="B26" s="448">
        <f t="shared" ca="1" si="2"/>
        <v>18655.796460560163</v>
      </c>
      <c r="C26" s="448">
        <f t="shared" ca="1" si="3"/>
        <v>0</v>
      </c>
      <c r="D26" s="448">
        <f t="shared" si="4"/>
        <v>14535.487061505348</v>
      </c>
      <c r="E26" s="448">
        <f t="shared" si="5"/>
        <v>210.97099273256751</v>
      </c>
      <c r="F26" s="448">
        <f t="shared" si="6"/>
        <v>2921.7204256567115</v>
      </c>
      <c r="G26" s="448">
        <f t="shared" si="7"/>
        <v>0</v>
      </c>
      <c r="H26" s="448">
        <f t="shared" si="8"/>
        <v>0</v>
      </c>
      <c r="I26" s="448">
        <f t="shared" si="9"/>
        <v>0</v>
      </c>
      <c r="J26" s="448">
        <f t="shared" si="10"/>
        <v>3.9306027075172749</v>
      </c>
      <c r="K26" s="448">
        <f t="shared" si="11"/>
        <v>0</v>
      </c>
      <c r="L26" s="448">
        <f t="shared" si="12"/>
        <v>0</v>
      </c>
      <c r="M26" s="448">
        <f t="shared" si="13"/>
        <v>0</v>
      </c>
      <c r="N26" s="448">
        <f t="shared" si="14"/>
        <v>0</v>
      </c>
      <c r="O26" s="448">
        <f t="shared" si="15"/>
        <v>0</v>
      </c>
      <c r="P26" s="449">
        <f t="shared" si="16"/>
        <v>0</v>
      </c>
      <c r="Q26" s="447">
        <f t="shared" ca="1" si="17"/>
        <v>36327.905543162306</v>
      </c>
    </row>
    <row r="27" spans="1:17" s="453" customFormat="1">
      <c r="A27" s="451" t="s">
        <v>557</v>
      </c>
      <c r="B27" s="761">
        <f t="shared" ca="1" si="2"/>
        <v>0.78460215210188378</v>
      </c>
      <c r="C27" s="452">
        <f t="shared" ca="1" si="3"/>
        <v>0</v>
      </c>
      <c r="D27" s="452">
        <f t="shared" si="4"/>
        <v>0.6721705121204653</v>
      </c>
      <c r="E27" s="452">
        <f t="shared" si="5"/>
        <v>26.989080908405626</v>
      </c>
      <c r="F27" s="452">
        <f t="shared" si="6"/>
        <v>0</v>
      </c>
      <c r="G27" s="452">
        <f t="shared" si="7"/>
        <v>9191.4907352468308</v>
      </c>
      <c r="H27" s="452">
        <f t="shared" si="8"/>
        <v>1424.4266704492147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10644.363259268674</v>
      </c>
    </row>
    <row r="28" spans="1:17">
      <c r="A28" s="447" t="s">
        <v>547</v>
      </c>
      <c r="B28" s="448">
        <f t="shared" ca="1" si="2"/>
        <v>1.1123728598860014</v>
      </c>
      <c r="C28" s="448">
        <f t="shared" ca="1" si="3"/>
        <v>0</v>
      </c>
      <c r="D28" s="448">
        <f t="shared" si="4"/>
        <v>0</v>
      </c>
      <c r="E28" s="448">
        <f t="shared" si="5"/>
        <v>0</v>
      </c>
      <c r="F28" s="448">
        <f t="shared" si="6"/>
        <v>0</v>
      </c>
      <c r="G28" s="448">
        <f t="shared" si="7"/>
        <v>265.25400308758981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266.36637594747583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144.90116572203723</v>
      </c>
      <c r="C32" s="448">
        <f t="shared" ca="1" si="3"/>
        <v>0</v>
      </c>
      <c r="D32" s="448">
        <f t="shared" si="4"/>
        <v>272.35795733683858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417.25912305887584</v>
      </c>
    </row>
    <row r="33" spans="1:17" s="460" customFormat="1">
      <c r="A33" s="457" t="s">
        <v>551</v>
      </c>
      <c r="B33" s="458">
        <f ca="1">SUM(B22:B32)</f>
        <v>26582.950043610315</v>
      </c>
      <c r="C33" s="458">
        <f t="shared" ref="C33:Q33" ca="1" si="18">SUM(C22:C32)</f>
        <v>0</v>
      </c>
      <c r="D33" s="458">
        <f t="shared" ca="1" si="18"/>
        <v>21464.594618901174</v>
      </c>
      <c r="E33" s="458">
        <f t="shared" si="18"/>
        <v>603.7478521114416</v>
      </c>
      <c r="F33" s="458">
        <f t="shared" ca="1" si="18"/>
        <v>15655.291939860608</v>
      </c>
      <c r="G33" s="458">
        <f t="shared" si="18"/>
        <v>9456.7447383344206</v>
      </c>
      <c r="H33" s="458">
        <f t="shared" si="18"/>
        <v>1424.4266704492147</v>
      </c>
      <c r="I33" s="458">
        <f t="shared" si="18"/>
        <v>0</v>
      </c>
      <c r="J33" s="458">
        <f t="shared" si="18"/>
        <v>318.52070122017039</v>
      </c>
      <c r="K33" s="458">
        <f t="shared" si="18"/>
        <v>0</v>
      </c>
      <c r="L33" s="458">
        <f t="shared" ca="1" si="18"/>
        <v>0</v>
      </c>
      <c r="M33" s="458">
        <f t="shared" si="18"/>
        <v>0</v>
      </c>
      <c r="N33" s="458">
        <f t="shared" ca="1" si="18"/>
        <v>0</v>
      </c>
      <c r="O33" s="458">
        <f t="shared" si="18"/>
        <v>0</v>
      </c>
      <c r="P33" s="458">
        <f t="shared" si="18"/>
        <v>0</v>
      </c>
      <c r="Q33" s="458">
        <f t="shared" ca="1" si="18"/>
        <v>75506.276564487343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1687.5959157048978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1687.5959157048978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0.21794227069430483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0.21794227069430483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0.21794227069430483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0.21794227069430483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4070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1359</v>
      </c>
      <c r="C14" s="327"/>
      <c r="D14" s="327"/>
      <c r="E14" s="327"/>
      <c r="F14" s="327"/>
    </row>
    <row r="15" spans="1:6">
      <c r="A15" s="1296" t="s">
        <v>177</v>
      </c>
      <c r="B15" s="1297">
        <v>12</v>
      </c>
      <c r="C15" s="327"/>
      <c r="D15" s="327"/>
      <c r="E15" s="327"/>
      <c r="F15" s="327"/>
    </row>
    <row r="16" spans="1:6">
      <c r="A16" s="1296" t="s">
        <v>6</v>
      </c>
      <c r="B16" s="1297">
        <v>314</v>
      </c>
      <c r="C16" s="327"/>
      <c r="D16" s="327"/>
      <c r="E16" s="327"/>
      <c r="F16" s="327"/>
    </row>
    <row r="17" spans="1:6">
      <c r="A17" s="1296" t="s">
        <v>7</v>
      </c>
      <c r="B17" s="1297">
        <v>607</v>
      </c>
      <c r="C17" s="327"/>
      <c r="D17" s="327"/>
      <c r="E17" s="327"/>
      <c r="F17" s="327"/>
    </row>
    <row r="18" spans="1:6">
      <c r="A18" s="1296" t="s">
        <v>8</v>
      </c>
      <c r="B18" s="1297">
        <v>821</v>
      </c>
      <c r="C18" s="327"/>
      <c r="D18" s="327"/>
      <c r="E18" s="327"/>
      <c r="F18" s="327"/>
    </row>
    <row r="19" spans="1:6">
      <c r="A19" s="1296" t="s">
        <v>9</v>
      </c>
      <c r="B19" s="1297">
        <v>852</v>
      </c>
      <c r="C19" s="327"/>
      <c r="D19" s="327"/>
      <c r="E19" s="327"/>
      <c r="F19" s="327"/>
    </row>
    <row r="20" spans="1:6">
      <c r="A20" s="1296" t="s">
        <v>10</v>
      </c>
      <c r="B20" s="1297">
        <v>641</v>
      </c>
      <c r="C20" s="327"/>
      <c r="D20" s="327"/>
      <c r="E20" s="327"/>
      <c r="F20" s="327"/>
    </row>
    <row r="21" spans="1:6">
      <c r="A21" s="1296" t="s">
        <v>11</v>
      </c>
      <c r="B21" s="1297">
        <v>623</v>
      </c>
      <c r="C21" s="327"/>
      <c r="D21" s="327"/>
      <c r="E21" s="327"/>
      <c r="F21" s="327"/>
    </row>
    <row r="22" spans="1:6">
      <c r="A22" s="1296" t="s">
        <v>12</v>
      </c>
      <c r="B22" s="1297">
        <v>3181</v>
      </c>
      <c r="C22" s="327"/>
      <c r="D22" s="327"/>
      <c r="E22" s="327"/>
      <c r="F22" s="327"/>
    </row>
    <row r="23" spans="1:6">
      <c r="A23" s="1296" t="s">
        <v>13</v>
      </c>
      <c r="B23" s="1297">
        <v>24</v>
      </c>
      <c r="C23" s="327"/>
      <c r="D23" s="327"/>
      <c r="E23" s="327"/>
      <c r="F23" s="327"/>
    </row>
    <row r="24" spans="1:6">
      <c r="A24" s="1296" t="s">
        <v>14</v>
      </c>
      <c r="B24" s="1297">
        <v>3</v>
      </c>
      <c r="C24" s="327"/>
      <c r="D24" s="327"/>
      <c r="E24" s="327"/>
      <c r="F24" s="327"/>
    </row>
    <row r="25" spans="1:6">
      <c r="A25" s="1296" t="s">
        <v>15</v>
      </c>
      <c r="B25" s="1297">
        <v>176</v>
      </c>
      <c r="C25" s="327"/>
      <c r="D25" s="327"/>
      <c r="E25" s="327"/>
      <c r="F25" s="327"/>
    </row>
    <row r="26" spans="1:6">
      <c r="A26" s="1296" t="s">
        <v>16</v>
      </c>
      <c r="B26" s="1297">
        <v>133</v>
      </c>
      <c r="C26" s="327"/>
      <c r="D26" s="327"/>
      <c r="E26" s="327"/>
      <c r="F26" s="327"/>
    </row>
    <row r="27" spans="1:6">
      <c r="A27" s="1296" t="s">
        <v>17</v>
      </c>
      <c r="B27" s="1297">
        <v>10</v>
      </c>
      <c r="C27" s="327"/>
      <c r="D27" s="327"/>
      <c r="E27" s="327"/>
      <c r="F27" s="327"/>
    </row>
    <row r="28" spans="1:6">
      <c r="A28" s="1296" t="s">
        <v>18</v>
      </c>
      <c r="B28" s="1298">
        <v>5</v>
      </c>
      <c r="C28" s="327"/>
      <c r="D28" s="327"/>
      <c r="E28" s="327"/>
      <c r="F28" s="327"/>
    </row>
    <row r="29" spans="1:6">
      <c r="A29" s="1296" t="s">
        <v>922</v>
      </c>
      <c r="B29" s="1298">
        <v>26</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79447.317671807803</v>
      </c>
      <c r="E38" s="1297">
        <v>0</v>
      </c>
      <c r="F38" s="1297">
        <v>0</v>
      </c>
    </row>
    <row r="39" spans="1:6">
      <c r="A39" s="1296" t="s">
        <v>29</v>
      </c>
      <c r="B39" s="1296" t="s">
        <v>30</v>
      </c>
      <c r="C39" s="1297">
        <v>1690</v>
      </c>
      <c r="D39" s="1297">
        <v>28240525.301806699</v>
      </c>
      <c r="E39" s="1297">
        <v>3994</v>
      </c>
      <c r="F39" s="1297">
        <v>19099649.4897395</v>
      </c>
    </row>
    <row r="40" spans="1:6">
      <c r="A40" s="1296" t="s">
        <v>29</v>
      </c>
      <c r="B40" s="1296" t="s">
        <v>28</v>
      </c>
      <c r="C40" s="1297">
        <v>0</v>
      </c>
      <c r="D40" s="1297">
        <v>0</v>
      </c>
      <c r="E40" s="1297">
        <v>0</v>
      </c>
      <c r="F40" s="1297">
        <v>0</v>
      </c>
    </row>
    <row r="41" spans="1:6">
      <c r="A41" s="1296" t="s">
        <v>31</v>
      </c>
      <c r="B41" s="1296" t="s">
        <v>32</v>
      </c>
      <c r="C41" s="1297">
        <v>25</v>
      </c>
      <c r="D41" s="1297">
        <v>477393.28079219098</v>
      </c>
      <c r="E41" s="1297">
        <v>87</v>
      </c>
      <c r="F41" s="1297">
        <v>1207099.89162883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48442.783962777197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531753.493431026</v>
      </c>
      <c r="E48" s="1297">
        <v>47</v>
      </c>
      <c r="F48" s="1297">
        <v>4310200.2543925997</v>
      </c>
    </row>
    <row r="49" spans="1:6">
      <c r="A49" s="1296" t="s">
        <v>31</v>
      </c>
      <c r="B49" s="1296" t="s">
        <v>39</v>
      </c>
      <c r="C49" s="1297">
        <v>6</v>
      </c>
      <c r="D49" s="1297">
        <v>78766747.616159797</v>
      </c>
      <c r="E49" s="1297">
        <v>3</v>
      </c>
      <c r="F49" s="1297">
        <v>75794492.980710194</v>
      </c>
    </row>
    <row r="50" spans="1:6">
      <c r="A50" s="1296" t="s">
        <v>31</v>
      </c>
      <c r="B50" s="1296" t="s">
        <v>40</v>
      </c>
      <c r="C50" s="1297">
        <v>0</v>
      </c>
      <c r="D50" s="1297">
        <v>0</v>
      </c>
      <c r="E50" s="1297">
        <v>8</v>
      </c>
      <c r="F50" s="1297">
        <v>4239480.0192528497</v>
      </c>
    </row>
    <row r="51" spans="1:6">
      <c r="A51" s="1296" t="s">
        <v>41</v>
      </c>
      <c r="B51" s="1296" t="s">
        <v>42</v>
      </c>
      <c r="C51" s="1297">
        <v>0</v>
      </c>
      <c r="D51" s="1297">
        <v>0</v>
      </c>
      <c r="E51" s="1297">
        <v>33</v>
      </c>
      <c r="F51" s="1297">
        <v>402203.68586020701</v>
      </c>
    </row>
    <row r="52" spans="1:6">
      <c r="A52" s="1296" t="s">
        <v>41</v>
      </c>
      <c r="B52" s="1296" t="s">
        <v>28</v>
      </c>
      <c r="C52" s="1297">
        <v>6</v>
      </c>
      <c r="D52" s="1297">
        <v>199996.831360121</v>
      </c>
      <c r="E52" s="1297">
        <v>12</v>
      </c>
      <c r="F52" s="1297">
        <v>56644.3127298564</v>
      </c>
    </row>
    <row r="53" spans="1:6">
      <c r="A53" s="1296" t="s">
        <v>43</v>
      </c>
      <c r="B53" s="1296" t="s">
        <v>44</v>
      </c>
      <c r="C53" s="1297">
        <v>47</v>
      </c>
      <c r="D53" s="1297">
        <v>1348306.7194892999</v>
      </c>
      <c r="E53" s="1297">
        <v>127</v>
      </c>
      <c r="F53" s="1297">
        <v>664860.31030337303</v>
      </c>
    </row>
    <row r="54" spans="1:6">
      <c r="A54" s="1296" t="s">
        <v>45</v>
      </c>
      <c r="B54" s="1296" t="s">
        <v>46</v>
      </c>
      <c r="C54" s="1297">
        <v>0</v>
      </c>
      <c r="D54" s="1297">
        <v>0</v>
      </c>
      <c r="E54" s="1297">
        <v>1</v>
      </c>
      <c r="F54" s="1297">
        <v>669199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1757129.6562220701</v>
      </c>
      <c r="E57" s="1297">
        <v>60</v>
      </c>
      <c r="F57" s="1297">
        <v>1304924.7261002299</v>
      </c>
    </row>
    <row r="58" spans="1:6">
      <c r="A58" s="1296" t="s">
        <v>48</v>
      </c>
      <c r="B58" s="1296" t="s">
        <v>50</v>
      </c>
      <c r="C58" s="1297">
        <v>8</v>
      </c>
      <c r="D58" s="1297">
        <v>526909.49700698606</v>
      </c>
      <c r="E58" s="1297">
        <v>17</v>
      </c>
      <c r="F58" s="1297">
        <v>300604.49151680298</v>
      </c>
    </row>
    <row r="59" spans="1:6">
      <c r="A59" s="1296" t="s">
        <v>48</v>
      </c>
      <c r="B59" s="1296" t="s">
        <v>51</v>
      </c>
      <c r="C59" s="1297">
        <v>13</v>
      </c>
      <c r="D59" s="1297">
        <v>620487.10743510898</v>
      </c>
      <c r="E59" s="1297">
        <v>84</v>
      </c>
      <c r="F59" s="1297">
        <v>3526370.1943245102</v>
      </c>
    </row>
    <row r="60" spans="1:6">
      <c r="A60" s="1296" t="s">
        <v>48</v>
      </c>
      <c r="B60" s="1296" t="s">
        <v>52</v>
      </c>
      <c r="C60" s="1297">
        <v>12</v>
      </c>
      <c r="D60" s="1297">
        <v>494654.38496882998</v>
      </c>
      <c r="E60" s="1297">
        <v>40</v>
      </c>
      <c r="F60" s="1297">
        <v>835743.049475651</v>
      </c>
    </row>
    <row r="61" spans="1:6">
      <c r="A61" s="1296" t="s">
        <v>48</v>
      </c>
      <c r="B61" s="1296" t="s">
        <v>53</v>
      </c>
      <c r="C61" s="1297">
        <v>16</v>
      </c>
      <c r="D61" s="1297">
        <v>657096.06193415204</v>
      </c>
      <c r="E61" s="1297">
        <v>104</v>
      </c>
      <c r="F61" s="1297">
        <v>900556.34208808502</v>
      </c>
    </row>
    <row r="62" spans="1:6">
      <c r="A62" s="1296" t="s">
        <v>48</v>
      </c>
      <c r="B62" s="1296" t="s">
        <v>54</v>
      </c>
      <c r="C62" s="1297">
        <v>0</v>
      </c>
      <c r="D62" s="1297">
        <v>0</v>
      </c>
      <c r="E62" s="1297">
        <v>0</v>
      </c>
      <c r="F62" s="1297">
        <v>0</v>
      </c>
    </row>
    <row r="63" spans="1:6">
      <c r="A63" s="1296" t="s">
        <v>48</v>
      </c>
      <c r="B63" s="1296" t="s">
        <v>28</v>
      </c>
      <c r="C63" s="1297">
        <v>98</v>
      </c>
      <c r="D63" s="1297">
        <v>4034108.4365314501</v>
      </c>
      <c r="E63" s="1297">
        <v>177</v>
      </c>
      <c r="F63" s="1297">
        <v>7053871.5754324403</v>
      </c>
    </row>
    <row r="64" spans="1:6">
      <c r="A64" s="1296" t="s">
        <v>55</v>
      </c>
      <c r="B64" s="1296" t="s">
        <v>56</v>
      </c>
      <c r="C64" s="1297">
        <v>0</v>
      </c>
      <c r="D64" s="1297">
        <v>0</v>
      </c>
      <c r="E64" s="1297">
        <v>0</v>
      </c>
      <c r="F64" s="1297">
        <v>0</v>
      </c>
    </row>
    <row r="65" spans="1:6">
      <c r="A65" s="1296" t="s">
        <v>55</v>
      </c>
      <c r="B65" s="1296" t="s">
        <v>28</v>
      </c>
      <c r="C65" s="1297">
        <v>1</v>
      </c>
      <c r="D65" s="1297">
        <v>45699.381425384803</v>
      </c>
      <c r="E65" s="1297">
        <v>5</v>
      </c>
      <c r="F65" s="1297">
        <v>55392.09727151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41721.599222041601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43793975</v>
      </c>
      <c r="E73" s="446"/>
      <c r="F73" s="327"/>
    </row>
    <row r="74" spans="1:6">
      <c r="A74" s="1296" t="s">
        <v>63</v>
      </c>
      <c r="B74" s="1296" t="s">
        <v>706</v>
      </c>
      <c r="C74" s="1309" t="s">
        <v>707</v>
      </c>
      <c r="D74" s="1297">
        <v>3944231.5176866758</v>
      </c>
      <c r="E74" s="446"/>
      <c r="F74" s="327"/>
    </row>
    <row r="75" spans="1:6">
      <c r="A75" s="1296" t="s">
        <v>64</v>
      </c>
      <c r="B75" s="1296" t="s">
        <v>704</v>
      </c>
      <c r="C75" s="1309" t="s">
        <v>708</v>
      </c>
      <c r="D75" s="1297">
        <v>4563426</v>
      </c>
      <c r="E75" s="446"/>
      <c r="F75" s="327"/>
    </row>
    <row r="76" spans="1:6">
      <c r="A76" s="1296" t="s">
        <v>64</v>
      </c>
      <c r="B76" s="1296" t="s">
        <v>706</v>
      </c>
      <c r="C76" s="1309" t="s">
        <v>709</v>
      </c>
      <c r="D76" s="1297">
        <v>283015.51768667588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276080.96462664823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1549.3906092976251</v>
      </c>
      <c r="C91" s="327"/>
      <c r="D91" s="327"/>
      <c r="E91" s="327"/>
      <c r="F91" s="327"/>
    </row>
    <row r="92" spans="1:6">
      <c r="A92" s="1291" t="s">
        <v>68</v>
      </c>
      <c r="B92" s="1292">
        <v>138.20530640727281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453</v>
      </c>
      <c r="C97" s="327"/>
      <c r="D97" s="327"/>
      <c r="E97" s="327"/>
      <c r="F97" s="327"/>
    </row>
    <row r="98" spans="1:6">
      <c r="A98" s="1296" t="s">
        <v>71</v>
      </c>
      <c r="B98" s="1297">
        <v>0</v>
      </c>
      <c r="C98" s="327"/>
      <c r="D98" s="327"/>
      <c r="E98" s="327"/>
      <c r="F98" s="327"/>
    </row>
    <row r="99" spans="1:6">
      <c r="A99" s="1296" t="s">
        <v>72</v>
      </c>
      <c r="B99" s="1297">
        <v>45</v>
      </c>
      <c r="C99" s="327"/>
      <c r="D99" s="327"/>
      <c r="E99" s="327"/>
      <c r="F99" s="327"/>
    </row>
    <row r="100" spans="1:6">
      <c r="A100" s="1296" t="s">
        <v>73</v>
      </c>
      <c r="B100" s="1297">
        <v>570</v>
      </c>
      <c r="C100" s="327"/>
      <c r="D100" s="327"/>
      <c r="E100" s="327"/>
      <c r="F100" s="327"/>
    </row>
    <row r="101" spans="1:6">
      <c r="A101" s="1296" t="s">
        <v>74</v>
      </c>
      <c r="B101" s="1297">
        <v>51</v>
      </c>
      <c r="C101" s="327"/>
      <c r="D101" s="327"/>
      <c r="E101" s="327"/>
      <c r="F101" s="327"/>
    </row>
    <row r="102" spans="1:6">
      <c r="A102" s="1296" t="s">
        <v>75</v>
      </c>
      <c r="B102" s="1297">
        <v>69</v>
      </c>
      <c r="C102" s="327"/>
      <c r="D102" s="327"/>
      <c r="E102" s="327"/>
      <c r="F102" s="327"/>
    </row>
    <row r="103" spans="1:6">
      <c r="A103" s="1296" t="s">
        <v>76</v>
      </c>
      <c r="B103" s="1297">
        <v>142</v>
      </c>
      <c r="C103" s="327"/>
      <c r="D103" s="327"/>
      <c r="E103" s="327"/>
      <c r="F103" s="327"/>
    </row>
    <row r="104" spans="1:6">
      <c r="A104" s="1296" t="s">
        <v>77</v>
      </c>
      <c r="B104" s="1297">
        <v>2239</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8</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104</v>
      </c>
      <c r="C129" s="327"/>
      <c r="D129" s="327"/>
      <c r="E129" s="327"/>
      <c r="F129" s="327"/>
    </row>
    <row r="130" spans="1:6">
      <c r="A130" s="1296" t="s">
        <v>284</v>
      </c>
      <c r="B130" s="1297">
        <v>3</v>
      </c>
      <c r="C130" s="327"/>
      <c r="D130" s="327"/>
      <c r="E130" s="327"/>
      <c r="F130" s="327"/>
    </row>
    <row r="131" spans="1:6">
      <c r="A131" s="1296" t="s">
        <v>285</v>
      </c>
      <c r="B131" s="1297">
        <v>0</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121972.43774199589</v>
      </c>
      <c r="C3" s="43" t="s">
        <v>163</v>
      </c>
      <c r="D3" s="43"/>
      <c r="E3" s="156"/>
      <c r="F3" s="43"/>
      <c r="G3" s="43"/>
      <c r="H3" s="43"/>
      <c r="I3" s="43"/>
      <c r="J3" s="43"/>
      <c r="K3" s="96"/>
    </row>
    <row r="4" spans="1:11">
      <c r="A4" s="353" t="s">
        <v>164</v>
      </c>
      <c r="B4" s="49">
        <f>IF(ISERROR('SEAP template'!B78+'SEAP template'!C78),0,'SEAP template'!B78+'SEAP template'!C78)</f>
        <v>1687.5959157048978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0.21794227069430483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669.19899999999996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669.19899999999996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0.21794227069430483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145.84674960635809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19099.649489739499</v>
      </c>
      <c r="C5" s="17">
        <f>IF(ISERROR('Eigen informatie GS &amp; warmtenet'!B57),0,'Eigen informatie GS &amp; warmtenet'!B57)</f>
        <v>0</v>
      </c>
      <c r="D5" s="30">
        <f>(SUM(HH_hh_gas_kWh,HH_rest_gas_kWh)/1000)*0.902</f>
        <v>25472.953822229643</v>
      </c>
      <c r="E5" s="17">
        <f>B32*B41</f>
        <v>1412.3321602639087</v>
      </c>
      <c r="F5" s="17">
        <f>B36*B45</f>
        <v>43281.586740626983</v>
      </c>
      <c r="G5" s="18"/>
      <c r="H5" s="17"/>
      <c r="I5" s="17"/>
      <c r="J5" s="17">
        <f>B35*B44+C35*C44</f>
        <v>819.66707168052437</v>
      </c>
      <c r="K5" s="17"/>
      <c r="L5" s="17"/>
      <c r="M5" s="17"/>
      <c r="N5" s="17">
        <f>B34*B43+C34*C43</f>
        <v>6783.1014923087587</v>
      </c>
      <c r="O5" s="17">
        <f>B52*B53*B54</f>
        <v>176.65666666666667</v>
      </c>
      <c r="P5" s="17">
        <f>B60*B61*B62/1000-B60*B61*B62/1000/B63</f>
        <v>95.333333333333343</v>
      </c>
    </row>
    <row r="6" spans="1:16">
      <c r="A6" s="16" t="s">
        <v>617</v>
      </c>
      <c r="B6" s="769">
        <f>kWh_PV_kleiner_dan_10kW</f>
        <v>1549.3906092976251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20649.040099037124</v>
      </c>
      <c r="C8" s="21">
        <f>C5</f>
        <v>0</v>
      </c>
      <c r="D8" s="21">
        <f>D5</f>
        <v>25472.953822229643</v>
      </c>
      <c r="E8" s="21">
        <f>E5</f>
        <v>1412.3321602639087</v>
      </c>
      <c r="F8" s="21">
        <f>F5</f>
        <v>43281.586740626983</v>
      </c>
      <c r="G8" s="21"/>
      <c r="H8" s="21"/>
      <c r="I8" s="21"/>
      <c r="J8" s="21">
        <f>J5</f>
        <v>819.66707168052437</v>
      </c>
      <c r="K8" s="21"/>
      <c r="L8" s="21">
        <f>L5</f>
        <v>0</v>
      </c>
      <c r="M8" s="21">
        <f>M5</f>
        <v>0</v>
      </c>
      <c r="N8" s="21">
        <f>N5</f>
        <v>6783.1014923087587</v>
      </c>
      <c r="O8" s="21">
        <f>O5</f>
        <v>176.65666666666667</v>
      </c>
      <c r="P8" s="21">
        <f>P5</f>
        <v>95.333333333333343</v>
      </c>
    </row>
    <row r="9" spans="1:16">
      <c r="B9" s="19"/>
      <c r="C9" s="19"/>
      <c r="D9" s="257"/>
      <c r="E9" s="19"/>
      <c r="F9" s="19"/>
      <c r="G9" s="19"/>
      <c r="H9" s="19"/>
      <c r="I9" s="19"/>
      <c r="J9" s="19"/>
      <c r="K9" s="19"/>
      <c r="L9" s="19"/>
      <c r="M9" s="19"/>
      <c r="N9" s="19"/>
      <c r="O9" s="19"/>
      <c r="P9" s="19"/>
    </row>
    <row r="10" spans="1:16">
      <c r="A10" s="24" t="s">
        <v>207</v>
      </c>
      <c r="B10" s="25">
        <f ca="1">'EF ele_warmte'!B12</f>
        <v>0.21794227069430483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4500.2986868419039</v>
      </c>
      <c r="C12" s="23">
        <f ca="1">C10*C8</f>
        <v>0</v>
      </c>
      <c r="D12" s="23">
        <f>D8*D10</f>
        <v>5145.5366720903885</v>
      </c>
      <c r="E12" s="23">
        <f>E10*E8</f>
        <v>320.59940037990731</v>
      </c>
      <c r="F12" s="23">
        <f>F10*F8</f>
        <v>11556.183659747405</v>
      </c>
      <c r="G12" s="23"/>
      <c r="H12" s="23"/>
      <c r="I12" s="23"/>
      <c r="J12" s="23">
        <f>J10*J8</f>
        <v>290.16214337490561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4070</v>
      </c>
      <c r="C26" s="36"/>
      <c r="D26" s="227"/>
    </row>
    <row r="27" spans="1:5" s="15" customFormat="1">
      <c r="A27" s="229" t="s">
        <v>722</v>
      </c>
      <c r="B27" s="37">
        <f>SUM(HH_hh_gas_aantal,HH_rest_gas_aantal)</f>
        <v>1690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1605.5</v>
      </c>
      <c r="C31" s="34" t="s">
        <v>104</v>
      </c>
      <c r="D31" s="173"/>
    </row>
    <row r="32" spans="1:5">
      <c r="A32" s="170" t="s">
        <v>72</v>
      </c>
      <c r="B32" s="33">
        <f>IF((B21*($B$26-($B$27-0.05*$B$27)-$B$60))&lt;0,0,B21*($B$26-($B$27-0.05*$B$27)-$B$60))</f>
        <v>61.589721878224935</v>
      </c>
      <c r="C32" s="34" t="s">
        <v>104</v>
      </c>
      <c r="D32" s="173"/>
    </row>
    <row r="33" spans="1:6">
      <c r="A33" s="170" t="s">
        <v>73</v>
      </c>
      <c r="B33" s="33">
        <f>IF((B22*($B$26-($B$27-0.05*$B$27)-$B$60))&lt;0,0,B22*($B$26-($B$27-0.05*$B$27)-$B$60))</f>
        <v>414.57106309944692</v>
      </c>
      <c r="C33" s="34" t="s">
        <v>104</v>
      </c>
      <c r="D33" s="173"/>
    </row>
    <row r="34" spans="1:6">
      <c r="A34" s="170" t="s">
        <v>74</v>
      </c>
      <c r="B34" s="33">
        <f>IF((B24*($B$26-($B$27-0.05*$B$27)-$B$60))&lt;0,0,B24*($B$26-($B$27-0.05*$B$27)-$B$60))</f>
        <v>105.18229801919696</v>
      </c>
      <c r="C34" s="33">
        <f>B26*C24</f>
        <v>832.55947524913006</v>
      </c>
      <c r="D34" s="232"/>
    </row>
    <row r="35" spans="1:6">
      <c r="A35" s="170" t="s">
        <v>76</v>
      </c>
      <c r="B35" s="33">
        <f>IF((B19*($B$26-($B$27-0.05*$B$27)-$B$60))&lt;0,0,B19*($B$26-($B$27-0.05*$B$27)-$B$60))</f>
        <v>39.089196941025683</v>
      </c>
      <c r="C35" s="33">
        <f>B35/2</f>
        <v>19.544598470512842</v>
      </c>
      <c r="D35" s="232"/>
    </row>
    <row r="36" spans="1:6">
      <c r="A36" s="170" t="s">
        <v>77</v>
      </c>
      <c r="B36" s="33">
        <f>IF((B18*($B$26-($B$27-0.05*$B$27)-$B$60))&lt;0,0,B18*($B$26-($B$27-0.05*$B$27)-$B$60))</f>
        <v>1839.0677200621058</v>
      </c>
      <c r="C36" s="34" t="s">
        <v>104</v>
      </c>
      <c r="D36" s="173"/>
    </row>
    <row r="37" spans="1:6">
      <c r="A37" s="170" t="s">
        <v>78</v>
      </c>
      <c r="B37" s="33">
        <f>B60</f>
        <v>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13922.070378937718</v>
      </c>
      <c r="C5" s="17">
        <f>IF(ISERROR('Eigen informatie GS &amp; warmtenet'!B58),0,'Eigen informatie GS &amp; warmtenet'!B58)</f>
        <v>0</v>
      </c>
      <c r="D5" s="30">
        <f>SUM(D6:D12)</f>
        <v>7297.5273999769342</v>
      </c>
      <c r="E5" s="17">
        <f>SUM(E6:E12)</f>
        <v>193.28566899369685</v>
      </c>
      <c r="F5" s="17">
        <f>SUM(F6:F12)</f>
        <v>2826.5517953605568</v>
      </c>
      <c r="G5" s="18"/>
      <c r="H5" s="17"/>
      <c r="I5" s="17"/>
      <c r="J5" s="17">
        <f>SUM(J6:J12)</f>
        <v>0</v>
      </c>
      <c r="K5" s="17"/>
      <c r="L5" s="17"/>
      <c r="M5" s="17"/>
      <c r="N5" s="17">
        <f>SUM(N6:N12)</f>
        <v>1482.6387723764647</v>
      </c>
      <c r="O5" s="17">
        <f>B38*B39*B40</f>
        <v>4.6900000000000004</v>
      </c>
      <c r="P5" s="17">
        <f>B46*B47*B48/1000-B46*B47*B48/1000/B49</f>
        <v>0</v>
      </c>
      <c r="R5" s="32"/>
    </row>
    <row r="6" spans="1:18">
      <c r="A6" s="32" t="s">
        <v>53</v>
      </c>
      <c r="B6" s="37">
        <f>B26</f>
        <v>900.55634208808499</v>
      </c>
      <c r="C6" s="33"/>
      <c r="D6" s="37">
        <f>IF(ISERROR(TER_kantoor_gas_kWh/1000),0,TER_kantoor_gas_kWh/1000)*0.902</f>
        <v>592.70064786460523</v>
      </c>
      <c r="E6" s="33">
        <f>$C$26*'E Balans VL '!I12/100/3.6*1000000</f>
        <v>3.4988520478985405</v>
      </c>
      <c r="F6" s="33">
        <f>$C$26*('E Balans VL '!L12+'E Balans VL '!N12)/100/3.6*1000000</f>
        <v>136.96642522219975</v>
      </c>
      <c r="G6" s="34"/>
      <c r="H6" s="33"/>
      <c r="I6" s="33"/>
      <c r="J6" s="33">
        <f>$C$26*('E Balans VL '!D12+'E Balans VL '!E12)/100/3.6*1000000</f>
        <v>0</v>
      </c>
      <c r="K6" s="33"/>
      <c r="L6" s="33"/>
      <c r="M6" s="33"/>
      <c r="N6" s="33">
        <f>$C$26*'E Balans VL '!Y12/100/3.6*1000000</f>
        <v>0.49631442848346402</v>
      </c>
      <c r="O6" s="33"/>
      <c r="P6" s="33"/>
      <c r="R6" s="32"/>
    </row>
    <row r="7" spans="1:18">
      <c r="A7" s="32" t="s">
        <v>52</v>
      </c>
      <c r="B7" s="37">
        <f t="shared" ref="B7:B12" si="0">B27</f>
        <v>835.74304947565099</v>
      </c>
      <c r="C7" s="33"/>
      <c r="D7" s="37">
        <f>IF(ISERROR(TER_horeca_gas_kWh/1000),0,TER_horeca_gas_kWh/1000)*0.902</f>
        <v>446.17825524188464</v>
      </c>
      <c r="E7" s="33">
        <f>$C$27*'E Balans VL '!I9/100/3.6*1000000</f>
        <v>47.077629417634647</v>
      </c>
      <c r="F7" s="33">
        <f>$C$27*('E Balans VL '!L9+'E Balans VL '!N9)/100/3.6*1000000</f>
        <v>240.97826055381822</v>
      </c>
      <c r="G7" s="34"/>
      <c r="H7" s="33"/>
      <c r="I7" s="33"/>
      <c r="J7" s="33">
        <f>$C$27*('E Balans VL '!D9+'E Balans VL '!E9)/100/3.6*1000000</f>
        <v>0</v>
      </c>
      <c r="K7" s="33"/>
      <c r="L7" s="33"/>
      <c r="M7" s="33"/>
      <c r="N7" s="33">
        <f>$C$27*'E Balans VL '!Y9/100/3.6*1000000</f>
        <v>0.23074431303072926</v>
      </c>
      <c r="O7" s="33"/>
      <c r="P7" s="33"/>
      <c r="R7" s="32"/>
    </row>
    <row r="8" spans="1:18">
      <c r="A8" s="6" t="s">
        <v>51</v>
      </c>
      <c r="B8" s="37">
        <f t="shared" si="0"/>
        <v>3526.3701943245101</v>
      </c>
      <c r="C8" s="33"/>
      <c r="D8" s="37">
        <f>IF(ISERROR(TER_handel_gas_kWh/1000),0,TER_handel_gas_kWh/1000)*0.902</f>
        <v>559.67937090646831</v>
      </c>
      <c r="E8" s="33">
        <f>$C$28*'E Balans VL '!I13/100/3.6*1000000</f>
        <v>50.826958284180037</v>
      </c>
      <c r="F8" s="33">
        <f>$C$28*('E Balans VL '!L13+'E Balans VL '!N13)/100/3.6*1000000</f>
        <v>612.61262637438563</v>
      </c>
      <c r="G8" s="34"/>
      <c r="H8" s="33"/>
      <c r="I8" s="33"/>
      <c r="J8" s="33">
        <f>$C$28*('E Balans VL '!D13+'E Balans VL '!E13)/100/3.6*1000000</f>
        <v>0</v>
      </c>
      <c r="K8" s="33"/>
      <c r="L8" s="33"/>
      <c r="M8" s="33"/>
      <c r="N8" s="33">
        <f>$C$28*'E Balans VL '!Y13/100/3.6*1000000</f>
        <v>10.565397665813135</v>
      </c>
      <c r="O8" s="33"/>
      <c r="P8" s="33"/>
      <c r="R8" s="32"/>
    </row>
    <row r="9" spans="1:18">
      <c r="A9" s="32" t="s">
        <v>50</v>
      </c>
      <c r="B9" s="37">
        <f t="shared" si="0"/>
        <v>300.60449151680297</v>
      </c>
      <c r="C9" s="33"/>
      <c r="D9" s="37">
        <f>IF(ISERROR(TER_gezond_gas_kWh/1000),0,TER_gezond_gas_kWh/1000)*0.902</f>
        <v>475.27236630030143</v>
      </c>
      <c r="E9" s="33">
        <f>$C$29*'E Balans VL '!I10/100/3.6*1000000</f>
        <v>0.32112351076285223</v>
      </c>
      <c r="F9" s="33">
        <f>$C$29*('E Balans VL '!L10+'E Balans VL '!N10)/100/3.6*1000000</f>
        <v>49.037728279707579</v>
      </c>
      <c r="G9" s="34"/>
      <c r="H9" s="33"/>
      <c r="I9" s="33"/>
      <c r="J9" s="33">
        <f>$C$29*('E Balans VL '!D10+'E Balans VL '!E10)/100/3.6*1000000</f>
        <v>0</v>
      </c>
      <c r="K9" s="33"/>
      <c r="L9" s="33"/>
      <c r="M9" s="33"/>
      <c r="N9" s="33">
        <f>$C$29*'E Balans VL '!Y10/100/3.6*1000000</f>
        <v>3.0945517186645337</v>
      </c>
      <c r="O9" s="33"/>
      <c r="P9" s="33"/>
      <c r="R9" s="32"/>
    </row>
    <row r="10" spans="1:18">
      <c r="A10" s="32" t="s">
        <v>49</v>
      </c>
      <c r="B10" s="37">
        <f t="shared" si="0"/>
        <v>1304.9247261002299</v>
      </c>
      <c r="C10" s="33"/>
      <c r="D10" s="37">
        <f>IF(ISERROR(TER_ander_gas_kWh/1000),0,TER_ander_gas_kWh/1000)*0.902</f>
        <v>1584.9309499123071</v>
      </c>
      <c r="E10" s="33">
        <f>$C$30*'E Balans VL '!I14/100/3.6*1000000</f>
        <v>6.0011503215492032</v>
      </c>
      <c r="F10" s="33">
        <f>$C$30*('E Balans VL '!L14+'E Balans VL '!N14)/100/3.6*1000000</f>
        <v>391.12710143758301</v>
      </c>
      <c r="G10" s="34"/>
      <c r="H10" s="33"/>
      <c r="I10" s="33"/>
      <c r="J10" s="33">
        <f>$C$30*('E Balans VL '!D14+'E Balans VL '!E14)/100/3.6*1000000</f>
        <v>0</v>
      </c>
      <c r="K10" s="33"/>
      <c r="L10" s="33"/>
      <c r="M10" s="33"/>
      <c r="N10" s="33">
        <f>$C$30*'E Balans VL '!Y14/100/3.6*1000000</f>
        <v>908.31374845000664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7053.8715754324403</v>
      </c>
      <c r="C12" s="33"/>
      <c r="D12" s="37">
        <f>IF(ISERROR(TER_rest_gas_kWh/1000),0,TER_rest_gas_kWh/1000)*0.902</f>
        <v>3638.7658097513681</v>
      </c>
      <c r="E12" s="33">
        <f>$C$32*'E Balans VL '!I8/100/3.6*1000000</f>
        <v>85.559955411671581</v>
      </c>
      <c r="F12" s="33">
        <f>$C$32*('E Balans VL '!L8+'E Balans VL '!N8)/100/3.6*1000000</f>
        <v>1395.8296534928629</v>
      </c>
      <c r="G12" s="34"/>
      <c r="H12" s="33"/>
      <c r="I12" s="33"/>
      <c r="J12" s="33">
        <f>$C$32*('E Balans VL '!D8+'E Balans VL '!E8)/100/3.6*1000000</f>
        <v>0</v>
      </c>
      <c r="K12" s="33"/>
      <c r="L12" s="33"/>
      <c r="M12" s="33"/>
      <c r="N12" s="33">
        <f>$C$32*'E Balans VL '!Y8/100/3.6*1000000</f>
        <v>559.93801580046625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13922.070378937718</v>
      </c>
      <c r="C16" s="21">
        <f t="shared" ca="1" si="1"/>
        <v>0</v>
      </c>
      <c r="D16" s="21">
        <f t="shared" ca="1" si="1"/>
        <v>7297.5273999769342</v>
      </c>
      <c r="E16" s="21">
        <f t="shared" si="1"/>
        <v>193.28566899369685</v>
      </c>
      <c r="F16" s="21">
        <f t="shared" ca="1" si="1"/>
        <v>2826.5517953605568</v>
      </c>
      <c r="G16" s="21">
        <f t="shared" si="1"/>
        <v>0</v>
      </c>
      <c r="H16" s="21">
        <f t="shared" si="1"/>
        <v>0</v>
      </c>
      <c r="I16" s="21">
        <f t="shared" si="1"/>
        <v>0</v>
      </c>
      <c r="J16" s="21">
        <f t="shared" si="1"/>
        <v>0</v>
      </c>
      <c r="K16" s="21">
        <f t="shared" si="1"/>
        <v>0</v>
      </c>
      <c r="L16" s="21">
        <f t="shared" ca="1" si="1"/>
        <v>0</v>
      </c>
      <c r="M16" s="21">
        <f t="shared" si="1"/>
        <v>0</v>
      </c>
      <c r="N16" s="21">
        <f t="shared" ca="1" si="1"/>
        <v>1482.6387723764647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0.21794227069430483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3034.2076311516071</v>
      </c>
      <c r="C20" s="23">
        <f t="shared" ref="C20:P20" ca="1" si="2">C16*C18</f>
        <v>0</v>
      </c>
      <c r="D20" s="23">
        <f t="shared" ca="1" si="2"/>
        <v>1474.1005347953408</v>
      </c>
      <c r="E20" s="23">
        <f t="shared" si="2"/>
        <v>43.875846861569187</v>
      </c>
      <c r="F20" s="23">
        <f t="shared" ca="1" si="2"/>
        <v>754.68932936126873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900.55634208808499</v>
      </c>
      <c r="C26" s="39">
        <f>IF(ISERROR(B26*3.6/1000000/'E Balans VL '!Z12*100),0,B26*3.6/1000000/'E Balans VL '!Z12*100)</f>
        <v>1.9128262783573498E-2</v>
      </c>
      <c r="D26" s="235" t="s">
        <v>672</v>
      </c>
      <c r="F26" s="6"/>
    </row>
    <row r="27" spans="1:18">
      <c r="A27" s="230" t="s">
        <v>52</v>
      </c>
      <c r="B27" s="33">
        <f>IF(ISERROR(TER_horeca_ele_kWh/1000),0,TER_horeca_ele_kWh/1000)</f>
        <v>835.74304947565099</v>
      </c>
      <c r="C27" s="39">
        <f>IF(ISERROR(B27*3.6/1000000/'E Balans VL '!Z9*100),0,B27*3.6/1000000/'E Balans VL '!Z9*100)</f>
        <v>6.4984111837338335E-2</v>
      </c>
      <c r="D27" s="235" t="s">
        <v>672</v>
      </c>
      <c r="F27" s="6"/>
    </row>
    <row r="28" spans="1:18">
      <c r="A28" s="170" t="s">
        <v>51</v>
      </c>
      <c r="B28" s="33">
        <f>IF(ISERROR(TER_handel_ele_kWh/1000),0,TER_handel_ele_kWh/1000)</f>
        <v>3526.3701943245101</v>
      </c>
      <c r="C28" s="39">
        <f>IF(ISERROR(B28*3.6/1000000/'E Balans VL '!Z13*100),0,B28*3.6/1000000/'E Balans VL '!Z13*100)</f>
        <v>0.10089360138218512</v>
      </c>
      <c r="D28" s="235" t="s">
        <v>672</v>
      </c>
      <c r="F28" s="6"/>
    </row>
    <row r="29" spans="1:18">
      <c r="A29" s="230" t="s">
        <v>50</v>
      </c>
      <c r="B29" s="33">
        <f>IF(ISERROR(TER_gezond_ele_kWh/1000),0,TER_gezond_ele_kWh/1000)</f>
        <v>300.60449151680297</v>
      </c>
      <c r="C29" s="39">
        <f>IF(ISERROR(B29*3.6/1000000/'E Balans VL '!Z10*100),0,B29*3.6/1000000/'E Balans VL '!Z10*100)</f>
        <v>3.2772874785965307E-2</v>
      </c>
      <c r="D29" s="235" t="s">
        <v>672</v>
      </c>
      <c r="F29" s="6"/>
    </row>
    <row r="30" spans="1:18">
      <c r="A30" s="230" t="s">
        <v>49</v>
      </c>
      <c r="B30" s="33">
        <f>IF(ISERROR(TER_ander_ele_kWh/1000),0,TER_ander_ele_kWh/1000)</f>
        <v>1304.9247261002299</v>
      </c>
      <c r="C30" s="39">
        <f>IF(ISERROR(B30*3.6/1000000/'E Balans VL '!Z14*100),0,B30*3.6/1000000/'E Balans VL '!Z14*100)</f>
        <v>9.5491431304445387E-2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7053.8715754324403</v>
      </c>
      <c r="C32" s="39">
        <f>IF(ISERROR(B32*3.6/1000000/'E Balans VL '!Z8*100),0,B32*3.6/1000000/'E Balans VL '!Z8*100)</f>
        <v>5.7484772562618087E-2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85599.715929947255</v>
      </c>
      <c r="C5" s="17">
        <f>IF(ISERROR('Eigen informatie GS &amp; warmtenet'!B59),0,'Eigen informatie GS &amp; warmtenet'!B59)</f>
        <v>0</v>
      </c>
      <c r="D5" s="30">
        <f>SUM(D6:D15)</f>
        <v>71957.856740125484</v>
      </c>
      <c r="E5" s="17">
        <f>SUM(E6:E15)</f>
        <v>929.3876331831168</v>
      </c>
      <c r="F5" s="17">
        <f>SUM(F6:F15)</f>
        <v>10942.773129800416</v>
      </c>
      <c r="G5" s="18"/>
      <c r="H5" s="17"/>
      <c r="I5" s="17"/>
      <c r="J5" s="17">
        <f>SUM(J6:J15)</f>
        <v>11.103397478862359</v>
      </c>
      <c r="K5" s="17"/>
      <c r="L5" s="17"/>
      <c r="M5" s="17"/>
      <c r="N5" s="17">
        <f>SUM(N6:N15)</f>
        <v>1901.2380452037332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48.442783962777199</v>
      </c>
      <c r="C8" s="33"/>
      <c r="D8" s="37">
        <f>IF( ISERROR(IND_metaal_Gas_kWH/1000),0,IND_metaal_Gas_kWH/1000)*0.902</f>
        <v>0</v>
      </c>
      <c r="E8" s="33">
        <f>C30*'E Balans VL '!I18/100/3.6*1000000</f>
        <v>1.3914585873150818</v>
      </c>
      <c r="F8" s="33">
        <f>C30*'E Balans VL '!L18/100/3.6*1000000+C30*'E Balans VL '!N18/100/3.6*1000000</f>
        <v>12.424642397822579</v>
      </c>
      <c r="G8" s="34"/>
      <c r="H8" s="33"/>
      <c r="I8" s="33"/>
      <c r="J8" s="40">
        <f>C30*'E Balans VL '!D18/100/3.6*1000000+C30*'E Balans VL '!E18/100/3.6*1000000</f>
        <v>0</v>
      </c>
      <c r="K8" s="33"/>
      <c r="L8" s="33"/>
      <c r="M8" s="33"/>
      <c r="N8" s="33">
        <f>C30*'E Balans VL '!Y18/100/3.6*1000000</f>
        <v>1.3153204703213741</v>
      </c>
      <c r="O8" s="33"/>
      <c r="P8" s="33"/>
      <c r="R8" s="32"/>
    </row>
    <row r="9" spans="1:18">
      <c r="A9" s="6" t="s">
        <v>32</v>
      </c>
      <c r="B9" s="37">
        <f t="shared" si="0"/>
        <v>1207.0998916288299</v>
      </c>
      <c r="C9" s="33"/>
      <c r="D9" s="37">
        <f>IF( ISERROR(IND_andere_gas_kWh/1000),0,IND_andere_gas_kWh/1000)*0.902</f>
        <v>430.60873927455629</v>
      </c>
      <c r="E9" s="33">
        <f>C31*'E Balans VL '!I19/100/3.6*1000000</f>
        <v>326.73226165006673</v>
      </c>
      <c r="F9" s="33">
        <f>C31*'E Balans VL '!L19/100/3.6*1000000+C31*'E Balans VL '!N19/100/3.6*1000000</f>
        <v>804.05626567652689</v>
      </c>
      <c r="G9" s="34"/>
      <c r="H9" s="33"/>
      <c r="I9" s="33"/>
      <c r="J9" s="40">
        <f>C31*'E Balans VL '!D19/100/3.6*1000000+C31*'E Balans VL '!E19/100/3.6*1000000</f>
        <v>0</v>
      </c>
      <c r="K9" s="33"/>
      <c r="L9" s="33"/>
      <c r="M9" s="33"/>
      <c r="N9" s="33">
        <f>C31*'E Balans VL '!Y19/100/3.6*1000000</f>
        <v>102.05229971354306</v>
      </c>
      <c r="O9" s="33"/>
      <c r="P9" s="33"/>
      <c r="R9" s="32"/>
    </row>
    <row r="10" spans="1:18">
      <c r="A10" s="6" t="s">
        <v>40</v>
      </c>
      <c r="B10" s="37">
        <f t="shared" si="0"/>
        <v>4239.4800192528501</v>
      </c>
      <c r="C10" s="33"/>
      <c r="D10" s="37">
        <f>IF( ISERROR(IND_voed_gas_kWh/1000),0,IND_voed_gas_kWh/1000)*0.902</f>
        <v>0</v>
      </c>
      <c r="E10" s="33">
        <f>C32*'E Balans VL '!I20/100/3.6*1000000</f>
        <v>345.78173032215994</v>
      </c>
      <c r="F10" s="33">
        <f>C32*'E Balans VL '!L20/100/3.6*1000000+C32*'E Balans VL '!N20/100/3.6*1000000</f>
        <v>6321.4493480359397</v>
      </c>
      <c r="G10" s="34"/>
      <c r="H10" s="33"/>
      <c r="I10" s="33"/>
      <c r="J10" s="40">
        <f>C32*'E Balans VL '!D20/100/3.6*1000000+C32*'E Balans VL '!E20/100/3.6*1000000</f>
        <v>5.6083174616316032E-2</v>
      </c>
      <c r="K10" s="33"/>
      <c r="L10" s="33"/>
      <c r="M10" s="33"/>
      <c r="N10" s="33">
        <f>C32*'E Balans VL '!Y20/100/3.6*1000000</f>
        <v>1245.4096345371293</v>
      </c>
      <c r="O10" s="33"/>
      <c r="P10" s="33"/>
      <c r="R10" s="32"/>
    </row>
    <row r="11" spans="1:18">
      <c r="A11" s="6" t="s">
        <v>39</v>
      </c>
      <c r="B11" s="37">
        <f t="shared" si="0"/>
        <v>75794.492980710187</v>
      </c>
      <c r="C11" s="33"/>
      <c r="D11" s="37">
        <f>IF( ISERROR(IND_textiel_gas_kWh/1000),0,IND_textiel_gas_kWh/1000)*0.902</f>
        <v>71047.60634977615</v>
      </c>
      <c r="E11" s="33">
        <f>C33*'E Balans VL '!I21/100/3.6*1000000</f>
        <v>15.024019242103551</v>
      </c>
      <c r="F11" s="33">
        <f>C33*'E Balans VL '!L21/100/3.6*1000000+C33*'E Balans VL '!N21/100/3.6*1000000</f>
        <v>2791.6026228272631</v>
      </c>
      <c r="G11" s="34"/>
      <c r="H11" s="33"/>
      <c r="I11" s="33"/>
      <c r="J11" s="40">
        <f>C33*'E Balans VL '!D21/100/3.6*1000000+C33*'E Balans VL '!E21/100/3.6*1000000</f>
        <v>0</v>
      </c>
      <c r="K11" s="33"/>
      <c r="L11" s="33"/>
      <c r="M11" s="33"/>
      <c r="N11" s="33">
        <f>C33*'E Balans VL '!Y21/100/3.6*1000000</f>
        <v>352.42525865852753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4310.2002543926001</v>
      </c>
      <c r="C15" s="33"/>
      <c r="D15" s="37">
        <f>IF( ISERROR(IND_rest_gas_kWh/1000),0,IND_rest_gas_kWh/1000)*0.902</f>
        <v>479.64165107478544</v>
      </c>
      <c r="E15" s="33">
        <f>C37*'E Balans VL '!I15/100/3.6*1000000</f>
        <v>240.45816338147148</v>
      </c>
      <c r="F15" s="33">
        <f>C37*'E Balans VL '!L15/100/3.6*1000000+C37*'E Balans VL '!N15/100/3.6*1000000</f>
        <v>1013.2402508628639</v>
      </c>
      <c r="G15" s="34"/>
      <c r="H15" s="33"/>
      <c r="I15" s="33"/>
      <c r="J15" s="40">
        <f>C37*'E Balans VL '!D15/100/3.6*1000000+C37*'E Balans VL '!E15/100/3.6*1000000</f>
        <v>11.047314304246044</v>
      </c>
      <c r="K15" s="33"/>
      <c r="L15" s="33"/>
      <c r="M15" s="33"/>
      <c r="N15" s="33">
        <f>C37*'E Balans VL '!Y15/100/3.6*1000000</f>
        <v>200.03553182421197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85599.715929947255</v>
      </c>
      <c r="C18" s="21">
        <f>C5+C16</f>
        <v>0</v>
      </c>
      <c r="D18" s="21">
        <f>MAX((D5+D16),0)</f>
        <v>71957.856740125484</v>
      </c>
      <c r="E18" s="21">
        <f>MAX((E5+E16),0)</f>
        <v>929.3876331831168</v>
      </c>
      <c r="F18" s="21">
        <f>MAX((F5+F16),0)</f>
        <v>10942.773129800416</v>
      </c>
      <c r="G18" s="21"/>
      <c r="H18" s="21"/>
      <c r="I18" s="21"/>
      <c r="J18" s="21">
        <f>MAX((J5+J16),0)</f>
        <v>11.103397478862359</v>
      </c>
      <c r="K18" s="21"/>
      <c r="L18" s="21">
        <f>MAX((L5+L16),0)</f>
        <v>0</v>
      </c>
      <c r="M18" s="21"/>
      <c r="N18" s="21">
        <f>MAX((N5+N16),0)</f>
        <v>1901.2380452037332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0.21794227069430483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18655.796460560163</v>
      </c>
      <c r="C22" s="23">
        <f ca="1">C18*C20</f>
        <v>0</v>
      </c>
      <c r="D22" s="23">
        <f>D18*D20</f>
        <v>14535.487061505348</v>
      </c>
      <c r="E22" s="23">
        <f>E18*E20</f>
        <v>210.97099273256751</v>
      </c>
      <c r="F22" s="23">
        <f>F18*F20</f>
        <v>2921.7204256567115</v>
      </c>
      <c r="G22" s="23"/>
      <c r="H22" s="23"/>
      <c r="I22" s="23"/>
      <c r="J22" s="23">
        <f>J18*J20</f>
        <v>3.9306027075172749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48.442783962777199</v>
      </c>
      <c r="C30" s="39">
        <f>IF(ISERROR(B30*3.6/1000000/'E Balans VL '!Z18*100),0,B30*3.6/1000000/'E Balans VL '!Z18*100)</f>
        <v>4.7666462806828418E-3</v>
      </c>
      <c r="D30" s="235" t="s">
        <v>672</v>
      </c>
    </row>
    <row r="31" spans="1:18">
      <c r="A31" s="6" t="s">
        <v>32</v>
      </c>
      <c r="B31" s="37">
        <f>IF( ISERROR(IND_ander_ele_kWh/1000),0,IND_ander_ele_kWh/1000)</f>
        <v>1207.0998916288299</v>
      </c>
      <c r="C31" s="39">
        <f>IF(ISERROR(B31*3.6/1000000/'E Balans VL '!Z19*100),0,B31*3.6/1000000/'E Balans VL '!Z19*100)</f>
        <v>5.2568237386337119E-2</v>
      </c>
      <c r="D31" s="235" t="s">
        <v>672</v>
      </c>
    </row>
    <row r="32" spans="1:18">
      <c r="A32" s="170" t="s">
        <v>40</v>
      </c>
      <c r="B32" s="37">
        <f>IF( ISERROR(IND_voed_ele_kWh/1000),0,IND_voed_ele_kWh/1000)</f>
        <v>4239.4800192528501</v>
      </c>
      <c r="C32" s="39">
        <f>IF(ISERROR(B32*3.6/1000000/'E Balans VL '!Z20*100),0,B32*3.6/1000000/'E Balans VL '!Z20*100)</f>
        <v>0.80438019370011848</v>
      </c>
      <c r="D32" s="235" t="s">
        <v>672</v>
      </c>
    </row>
    <row r="33" spans="1:5">
      <c r="A33" s="170" t="s">
        <v>39</v>
      </c>
      <c r="B33" s="37">
        <f>IF( ISERROR(IND_textiel_ele_kWh/1000),0,IND_textiel_ele_kWh/1000)</f>
        <v>75794.492980710187</v>
      </c>
      <c r="C33" s="39">
        <f>IF(ISERROR(B33*3.6/1000000/'E Balans VL '!Z21*100),0,B33*3.6/1000000/'E Balans VL '!Z21*100)</f>
        <v>4.3274811759693668</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4310.2002543926001</v>
      </c>
      <c r="C37" s="39">
        <f>IF(ISERROR(B37*3.6/1000000/'E Balans VL '!Z15*100),0,B37*3.6/1000000/'E Balans VL '!Z15*100)</f>
        <v>3.3215386977255443E-2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458.84799859006341</v>
      </c>
      <c r="C5" s="17">
        <f>'Eigen informatie GS &amp; warmtenet'!B60</f>
        <v>0</v>
      </c>
      <c r="D5" s="30">
        <f>IF(ISERROR(SUM(LB_lb_gas_kWh,LB_rest_gas_kWh)/1000),0,SUM(LB_lb_gas_kWh,LB_rest_gas_kWh)/1000)*0.902</f>
        <v>180.39714188682916</v>
      </c>
      <c r="E5" s="17">
        <f>B17*'E Balans VL '!I25/3.6*1000000/100</f>
        <v>5.7820758986431118</v>
      </c>
      <c r="F5" s="17">
        <f>B17*('E Balans VL '!L25/3.6*1000000+'E Balans VL '!N25/3.6*1000000)/100</f>
        <v>1583.1405434278081</v>
      </c>
      <c r="G5" s="18"/>
      <c r="H5" s="17"/>
      <c r="I5" s="17"/>
      <c r="J5" s="17">
        <f>('E Balans VL '!D25+'E Balans VL '!E25)/3.6*1000000*landbouw!B17/100</f>
        <v>69.005522987987348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458.84799859006341</v>
      </c>
      <c r="C8" s="21">
        <f>C5+C6</f>
        <v>0</v>
      </c>
      <c r="D8" s="21">
        <f>MAX((D5+D6),0)</f>
        <v>180.39714188682916</v>
      </c>
      <c r="E8" s="21">
        <f>MAX((E5+E6),0)</f>
        <v>5.7820758986431118</v>
      </c>
      <c r="F8" s="21">
        <f>MAX((F5+F6),0)</f>
        <v>1583.1405434278081</v>
      </c>
      <c r="G8" s="21"/>
      <c r="H8" s="21"/>
      <c r="I8" s="21"/>
      <c r="J8" s="21">
        <f>MAX((J5+J6),0)</f>
        <v>69.005522987987348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0.21794227069430483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100.0023747162556</v>
      </c>
      <c r="C12" s="23">
        <f ca="1">C8*C10</f>
        <v>0</v>
      </c>
      <c r="D12" s="23">
        <f>D8*D10</f>
        <v>36.440222661139494</v>
      </c>
      <c r="E12" s="23">
        <f>E8*E10</f>
        <v>1.3125312289919864</v>
      </c>
      <c r="F12" s="23">
        <f>F8*F10</f>
        <v>422.6985250952248</v>
      </c>
      <c r="G12" s="23"/>
      <c r="H12" s="23"/>
      <c r="I12" s="23"/>
      <c r="J12" s="23">
        <f>J8*J10</f>
        <v>24.427955137747521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6.3994833753866762E-2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181.38105310767662</v>
      </c>
      <c r="C26" s="245">
        <f>B26*'GWP N2O_CH4'!B5</f>
        <v>3809.0021152612089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36.728758083699624</v>
      </c>
      <c r="C27" s="245">
        <f>B27*'GWP N2O_CH4'!B5</f>
        <v>771.30391975769214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3.1046240047067557</v>
      </c>
      <c r="C28" s="245">
        <f>B28*'GWP N2O_CH4'!B4</f>
        <v>962.4334414590943</v>
      </c>
      <c r="D28" s="50"/>
    </row>
    <row r="29" spans="1:4">
      <c r="A29" s="41" t="s">
        <v>266</v>
      </c>
      <c r="B29" s="245">
        <f>B34*'ha_N2O bodem landbouw'!B4</f>
        <v>8.0950522275670664</v>
      </c>
      <c r="C29" s="245">
        <f>B29*'GWP N2O_CH4'!B4</f>
        <v>2509.4661905457906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2.0212536532040366E-3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1.2960164811390084E-5</v>
      </c>
      <c r="C5" s="434" t="s">
        <v>204</v>
      </c>
      <c r="D5" s="419">
        <f>SUM(D6:D11)</f>
        <v>1.1979276453632054E-5</v>
      </c>
      <c r="E5" s="419">
        <f>SUM(E6:E11)</f>
        <v>4.2802066638881168E-4</v>
      </c>
      <c r="F5" s="432" t="s">
        <v>204</v>
      </c>
      <c r="G5" s="419">
        <f>SUM(G6:G11)</f>
        <v>0.12393021216063144</v>
      </c>
      <c r="H5" s="419">
        <f>SUM(H6:H11)</f>
        <v>2.0594120536615152E-2</v>
      </c>
      <c r="I5" s="434" t="s">
        <v>204</v>
      </c>
      <c r="J5" s="434" t="s">
        <v>204</v>
      </c>
      <c r="K5" s="434" t="s">
        <v>204</v>
      </c>
      <c r="L5" s="434" t="s">
        <v>204</v>
      </c>
      <c r="M5" s="419">
        <f>SUM(M6:M11)</f>
        <v>6.534348197652801E-3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1.1417798229380661E-5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1.0171903285900867E-5</v>
      </c>
      <c r="E6" s="873">
        <f>vkm_GW_PW*SUMIFS(TableVerdeelsleutelVkm[LPG],TableVerdeelsleutelVkm[Voertuigtype],"Lichte voertuigen")*SUMIFS(TableECFTransport[EnergieConsumptieFactor (PJ per km)],TableECFTransport[Index],CONCATENATE($A6,"_LPG_LPG"))</f>
        <v>3.6611053256315748E-4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7.1759640768434732E-2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1.7592477188398768E-2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4.0419829497055221E-3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2.3855804309333158E-7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3.733099095813578E-2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8.5094992305879596E-7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1.6855517624636538E-3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1.2866909767847538E-6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1.807373167731187E-6</v>
      </c>
      <c r="E8" s="422">
        <f>vkm_NGW_PW*SUMIFS(TableVerdeelsleutelVkm[LPG],TableVerdeelsleutelVkm[Voertuigtype],"Lichte voertuigen")*SUMIFS(TableECFTransport[EnergieConsumptieFactor (PJ per km)],TableECFTransport[Index],CONCATENATE($A8,"_LPG_LPG"))</f>
        <v>6.1910133825654207E-5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1.1398796367601867E-2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3.0007186981556907E-3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6.5145699892326021E-4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1.7117562131337068E-8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3.4407840664590532E-3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7.3700137634720856E-8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1.5535648656036532E-4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3.6000457809416897</v>
      </c>
      <c r="C14" s="21"/>
      <c r="D14" s="21">
        <f t="shared" ref="D14:M14" si="0">((D5)*10^9/3600)+D12</f>
        <v>3.3275767926755706</v>
      </c>
      <c r="E14" s="21">
        <f t="shared" si="0"/>
        <v>118.89462955244768</v>
      </c>
      <c r="F14" s="21"/>
      <c r="G14" s="21">
        <f t="shared" si="0"/>
        <v>34425.058933508728</v>
      </c>
      <c r="H14" s="21">
        <f t="shared" si="0"/>
        <v>5720.5890379486536</v>
      </c>
      <c r="I14" s="21"/>
      <c r="J14" s="21"/>
      <c r="K14" s="21"/>
      <c r="L14" s="21"/>
      <c r="M14" s="21">
        <f t="shared" si="0"/>
        <v>1815.0967215702224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0.21794227069430483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0.78460215210188378</v>
      </c>
      <c r="C18" s="23"/>
      <c r="D18" s="23">
        <f t="shared" ref="D18:M18" si="1">D14*D16</f>
        <v>0.6721705121204653</v>
      </c>
      <c r="E18" s="23">
        <f t="shared" si="1"/>
        <v>26.989080908405626</v>
      </c>
      <c r="F18" s="23"/>
      <c r="G18" s="23">
        <f t="shared" si="1"/>
        <v>9191.4907352468308</v>
      </c>
      <c r="H18" s="23">
        <f t="shared" si="1"/>
        <v>1424.4266704492147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1.8374325837902955E-5</v>
      </c>
      <c r="C50" s="316">
        <f t="shared" ref="C50:P50" si="2">SUM(C51:C52)</f>
        <v>0</v>
      </c>
      <c r="D50" s="316">
        <f t="shared" si="2"/>
        <v>0</v>
      </c>
      <c r="E50" s="316">
        <f t="shared" si="2"/>
        <v>0</v>
      </c>
      <c r="F50" s="316">
        <f t="shared" si="2"/>
        <v>0</v>
      </c>
      <c r="G50" s="316">
        <f t="shared" si="2"/>
        <v>3.5764584685967159E-3</v>
      </c>
      <c r="H50" s="316">
        <f t="shared" si="2"/>
        <v>0</v>
      </c>
      <c r="I50" s="316">
        <f t="shared" si="2"/>
        <v>0</v>
      </c>
      <c r="J50" s="316">
        <f t="shared" si="2"/>
        <v>0</v>
      </c>
      <c r="K50" s="316">
        <f t="shared" si="2"/>
        <v>0</v>
      </c>
      <c r="L50" s="316">
        <f t="shared" si="2"/>
        <v>0</v>
      </c>
      <c r="M50" s="316">
        <f t="shared" si="2"/>
        <v>1.6037140285104779E-4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1.8374325837902955E-5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3.5764584685967159E-3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1.6037140285104779E-4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5.1039793994174874</v>
      </c>
      <c r="C54" s="21">
        <f t="shared" ref="C54:P54" si="3">(C50)*10^9/3600</f>
        <v>0</v>
      </c>
      <c r="D54" s="21">
        <f t="shared" si="3"/>
        <v>0</v>
      </c>
      <c r="E54" s="21">
        <f t="shared" si="3"/>
        <v>0</v>
      </c>
      <c r="F54" s="21">
        <f t="shared" si="3"/>
        <v>0</v>
      </c>
      <c r="G54" s="21">
        <f t="shared" si="3"/>
        <v>993.46068572131003</v>
      </c>
      <c r="H54" s="21">
        <f t="shared" si="3"/>
        <v>0</v>
      </c>
      <c r="I54" s="21">
        <f t="shared" si="3"/>
        <v>0</v>
      </c>
      <c r="J54" s="21">
        <f t="shared" si="3"/>
        <v>0</v>
      </c>
      <c r="K54" s="21">
        <f t="shared" si="3"/>
        <v>0</v>
      </c>
      <c r="L54" s="21">
        <f t="shared" si="3"/>
        <v>0</v>
      </c>
      <c r="M54" s="21">
        <f t="shared" si="3"/>
        <v>44.547611903068834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0.21794227069430483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1.1123728598860014</v>
      </c>
      <c r="C58" s="23">
        <f t="shared" ref="C58:P58" ca="1" si="4">C54*C56</f>
        <v>0</v>
      </c>
      <c r="D58" s="23">
        <f t="shared" si="4"/>
        <v>0</v>
      </c>
      <c r="E58" s="23">
        <f t="shared" si="4"/>
        <v>0</v>
      </c>
      <c r="F58" s="23">
        <f t="shared" si="4"/>
        <v>0</v>
      </c>
      <c r="G58" s="23">
        <f t="shared" si="4"/>
        <v>265.25400308758981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1687.5959157048978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1687.5959157048978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2021-11-11T13:23:24Z</dcterms:modified>
</cp:coreProperties>
</file>