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77F1531A-E497-4D4B-92D7-A3E1470E79E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G10" i="18"/>
  <c r="D10" i="18"/>
  <c r="B6" i="18"/>
  <c r="B5" i="18"/>
  <c r="B4" i="18"/>
  <c r="J9" i="18" l="1"/>
  <c r="B17" i="18"/>
  <c r="I49" i="18"/>
  <c r="H17" i="18" s="1"/>
  <c r="G49" i="18"/>
  <c r="I17" i="18" s="1"/>
  <c r="I20" i="18" s="1"/>
  <c r="F49" i="18"/>
  <c r="C49" i="18"/>
  <c r="B49" i="18"/>
  <c r="C17" i="18" s="1"/>
  <c r="C20" i="18" s="1"/>
  <c r="B20" i="18"/>
  <c r="C45"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6" i="22"/>
  <c r="D8"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4" i="13"/>
  <c r="B33"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Q63" i="14"/>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O33" i="48" l="1"/>
  <c r="H22" i="14"/>
  <c r="H27" i="14" s="1"/>
  <c r="M9" i="48"/>
  <c r="M27" i="48" s="1"/>
  <c r="M33" i="48" s="1"/>
  <c r="M18" i="22"/>
  <c r="N50" i="14" s="1"/>
  <c r="N52" i="14" s="1"/>
  <c r="N61" i="14" s="1"/>
  <c r="E20" i="15"/>
  <c r="F40" i="14" s="1"/>
  <c r="F10" i="14"/>
  <c r="E5" i="48"/>
  <c r="E23" i="48" s="1"/>
  <c r="K10" i="14"/>
  <c r="J5" i="48"/>
  <c r="J23" i="48" s="1"/>
  <c r="E22" i="48"/>
  <c r="Q4" i="48"/>
  <c r="R11" i="14"/>
  <c r="J22" i="48"/>
  <c r="N22" i="14"/>
  <c r="N27" i="14" s="1"/>
  <c r="N63" i="14" s="1"/>
  <c r="E61" i="14"/>
  <c r="R19" i="14"/>
  <c r="Q10" i="48"/>
  <c r="G28" i="48"/>
  <c r="H9" i="48"/>
  <c r="I20" i="14"/>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R10" i="14" l="1"/>
  <c r="F46" i="14"/>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<sst xmlns="http://schemas.openxmlformats.org/spreadsheetml/2006/main" count="2511" uniqueCount="926">
  <si>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</si>
  <si>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</si>
  <si>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</si>
  <si>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</si>
  <si>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</si>
  <si>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</si>
  <si>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</si>
  <si>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</si>
  <si>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</si>
  <si>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</si>
  <si>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</si>
  <si>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</si>
  <si>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</si>
  <si>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</si>
  <si>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</si>
  <si>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</si>
  <si>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</si>
  <si>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</si>
  <si>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</si>
  <si>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</si>
  <si>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</si>
  <si>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</si>
  <si>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</si>
  <si>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</si>
  <si>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</si>
  <si>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</si>
  <si>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</si>
  <si>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</si>
  <si>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</si>
  <si>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</si>
  <si>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</si>
  <si>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</si>
  <si>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</si>
  <si>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</si>
  <si>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</si>
  <si>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</si>
  <si>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</si>
  <si>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</si>
  <si>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</si>
  <si>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</si>
  <si>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</si>
  <si>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</si>
  <si>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</si>
  <si>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</si>
  <si>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</si>
  <si>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</si>
  <si>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</si>
  <si>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</si>
  <si>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</si>
  <si>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</si>
  <si>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</si>
  <si>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</si>
  <si>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</si>
  <si>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</si>
  <si>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</si>
  <si>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</si>
  <si>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</si>
  <si>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</si>
  <si>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</si>
  <si>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</si>
  <si>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</si>
  <si>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</si>
  <si>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</si>
  <si>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</si>
  <si>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</si>
  <si>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</si>
  <si>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</si>
  <si>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</si>
  <si>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</si>
  <si>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</si>
  <si>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</si>
  <si>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</si>
  <si>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</si>
  <si>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</si>
  <si>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</si>
  <si>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</si>
  <si>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</si>
  <si>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</si>
  <si>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</si>
  <si>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</si>
  <si>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</si>
  <si>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</si>
  <si>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</si>
  <si>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</si>
  <si>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</si>
  <si>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</si>
  <si>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</si>
  <si>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</si>
  <si>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</si>
  <si>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</si>
  <si>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</si>
  <si>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</si>
  <si>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</si>
  <si>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</si>
  <si>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</si>
  <si>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</si>
  <si>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</si>
  <si>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</si>
  <si>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</si>
  <si>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</si>
  <si>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</si>
  <si>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</si>
  <si>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</si>
  <si>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</si>
  <si>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</si>
  <si>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</si>
  <si>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</si>
  <si>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</si>
  <si>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</si>
  <si>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</si>
  <si>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</si>
  <si>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</si>
  <si>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</si>
  <si>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</si>
  <si>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</si>
  <si>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</si>
  <si>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</si>
  <si>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</si>
  <si>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</si>
  <si>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</si>
  <si>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</si>
  <si>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</si>
  <si>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</si>
  <si>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</si>
  <si>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</si>
  <si>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</si>
  <si>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</si>
  <si>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</si>
  <si>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</si>
  <si>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</si>
  <si>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</si>
  <si>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</si>
  <si>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</si>
  <si>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</si>
  <si>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</si>
  <si>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</si>
  <si>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</si>
  <si>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</si>
  <si>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</si>
  <si>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</si>
  <si>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</si>
  <si>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</si>
  <si>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</si>
  <si>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</si>
  <si>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</si>
  <si>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</si>
  <si>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</si>
  <si>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</si>
  <si>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</si>
  <si>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</si>
  <si>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</si>
  <si>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</si>
  <si>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</si>
  <si>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</si>
  <si>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</si>
  <si>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</si>
  <si>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</si>
  <si>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</si>
  <si>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</si>
  <si>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</si>
  <si>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</si>
  <si>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</si>
  <si>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</si>
  <si>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</si>
  <si>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</si>
  <si>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</si>
  <si>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</si>
  <si>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</si>
  <si>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</si>
  <si>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</si>
  <si>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</si>
  <si>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</si>
  <si>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</si>
  <si>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</si>
  <si>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</si>
  <si>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</si>
  <si>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</si>
  <si>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</si>
  <si>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</si>
  <si>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</si>
  <si>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</si>
  <si>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</si>
  <si>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</si>
  <si>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</si>
  <si>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</si>
  <si>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</si>
  <si>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</si>
  <si>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</si>
  <si>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</si>
  <si>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</si>
  <si>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</si>
  <si>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</si>
  <si>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</si>
  <si>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</si>
  <si>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</si>
  <si>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</si>
  <si>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</si>
  <si>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</si>
  <si>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</si>
  <si>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</si>
  <si>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</si>
  <si>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</si>
  <si>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</si>
  <si>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</si>
  <si>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</si>
  <si>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</si>
  <si>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</si>
  <si>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</si>
  <si>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</si>
  <si>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</si>
  <si>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</si>
  <si>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</si>
  <si>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</si>
  <si>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</si>
  <si>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</si>
  <si>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</si>
  <si>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</si>
  <si>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</si>
  <si>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</si>
  <si>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</si>
  <si>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</si>
  <si>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</si>
  <si>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</si>
  <si>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</si>
  <si>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</si>
  <si>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</si>
  <si>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</si>
  <si>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</si>
  <si>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</si>
  <si>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</si>
  <si>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</si>
  <si>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</si>
  <si>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</si>
  <si>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</si>
  <si>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</si>
  <si>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</si>
  <si>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</si>
  <si>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</si>
  <si>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</si>
  <si>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</si>
  <si>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</si>
  <si>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</si>
  <si>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</si>
  <si>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</si>
  <si>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</si>
  <si>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</si>
  <si>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</si>
  <si>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</si>
  <si>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</si>
  <si>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</si>
  <si>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</si>
  <si>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</si>
  <si>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</si>
  <si>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</si>
  <si>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</si>
  <si>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</si>
  <si>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</si>
  <si>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</si>
  <si>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</si>
  <si>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</si>
  <si>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</si>
  <si>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</si>
  <si>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</si>
  <si>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</si>
  <si>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</si>
  <si>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</si>
  <si>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</si>
  <si>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</si>
  <si>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</si>
  <si>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</si>
  <si>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</si>
  <si>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</si>
  <si>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</si>
  <si>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</si>
  <si>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</si>
  <si>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</si>
  <si>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</si>
  <si>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</si>
  <si>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</si>
  <si>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</si>
  <si>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</si>
  <si>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</si>
  <si>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</si>
  <si>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</si>
  <si>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</si>
  <si>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</si>
  <si>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</si>
  <si>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</si>
  <si>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</si>
  <si>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</si>
  <si>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</si>
  <si>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</si>
  <si>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</si>
  <si>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</si>
  <si>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</si>
  <si>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</si>
  <si>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</si>
  <si>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</si>
  <si>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</si>
  <si>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</si>
  <si>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</si>
  <si>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</si>
  <si>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</si>
  <si>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</si>
  <si>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</si>
  <si>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</si>
  <si>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</si>
  <si>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</si>
  <si>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</si>
  <si>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</si>
  <si>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</si>
  <si>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</si>
  <si>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</si>
  <si>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</si>
  <si>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</si>
  <si>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</si>
  <si>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</si>
  <si>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</si>
  <si>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</si>
  <si>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</si>
  <si>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</si>
  <si>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</si>
  <si>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</si>
  <si>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</si>
  <si>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</si>
  <si>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</si>
  <si>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</si>
  <si>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</si>
  <si>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</si>
  <si>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</si>
  <si>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</si>
  <si>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</si>
  <si>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</si>
  <si>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</si>
  <si>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</si>
  <si>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</si>
  <si>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</si>
  <si>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</si>
  <si>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</si>
  <si>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</si>
  <si>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</si>
  <si>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</si>
  <si>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</si>
  <si>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</si>
  <si>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</si>
  <si>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</si>
  <si>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</si>
  <si>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</si>
  <si>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</si>
  <si>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</si>
  <si>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</si>
  <si>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</si>
  <si>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</si>
  <si>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</si>
  <si>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</si>
  <si>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</si>
  <si>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</si>
  <si>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</si>
  <si>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</si>
  <si>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</si>
  <si>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</si>
  <si>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</si>
  <si>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</si>
  <si>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</si>
  <si>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</si>
  <si>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</si>
  <si>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</si>
  <si>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</si>
  <si>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</si>
  <si>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</si>
  <si>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</si>
  <si>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</si>
  <si>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</si>
  <si>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</si>
  <si>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</si>
  <si>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</si>
  <si>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</si>
  <si>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</si>
  <si>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</si>
  <si>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</si>
  <si>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</si>
  <si>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</si>
  <si>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</si>
  <si>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</si>
  <si>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</si>
  <si>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</si>
  <si>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</si>
  <si>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</si>
  <si>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</si>
  <si>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</si>
  <si>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</si>
  <si>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</si>
  <si>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</si>
  <si>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</si>
  <si>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</si>
  <si>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</si>
  <si>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</si>
  <si>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</si>
  <si>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</si>
  <si>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</si>
  <si>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</si>
  <si>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</si>
  <si>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</si>
  <si>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</si>
  <si>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</si>
  <si>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</si>
  <si>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</si>
  <si>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</si>
  <si>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</si>
  <si>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</si>
  <si>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</si>
  <si>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</si>
  <si>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</si>
  <si>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</si>
  <si>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</si>
  <si>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</si>
  <si>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</si>
  <si>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</si>
  <si>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</si>
  <si>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</si>
  <si>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</si>
  <si>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</si>
  <si>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</si>
  <si>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</si>
  <si>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</si>
  <si>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</si>
  <si>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</si>
  <si>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</si>
  <si>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</si>
  <si>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</si>
  <si>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</si>
  <si>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</si>
  <si>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</si>
  <si>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</si>
  <si>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</si>
  <si>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</si>
  <si>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</si>
  <si>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</si>
  <si>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</si>
  <si>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</si>
  <si>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</si>
  <si>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</si>
  <si>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</si>
  <si>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</si>
  <si>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</si>
  <si>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</si>
  <si>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</si>
  <si>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</si>
  <si>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</si>
  <si>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</si>
  <si>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</si>
  <si>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</si>
  <si>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</si>
  <si>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</si>
  <si>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</si>
  <si>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</si>
  <si>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</si>
  <si>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</si>
  <si>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</si>
  <si>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</si>
  <si>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</si>
  <si>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</si>
  <si>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</si>
  <si>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</si>
  <si>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</si>
  <si>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</si>
  <si>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</si>
  <si>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</si>
  <si>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</si>
  <si>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</si>
  <si>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</si>
  <si>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</si>
  <si>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</si>
  <si>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</si>
  <si>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</si>
  <si>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</si>
  <si>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</si>
  <si>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</si>
  <si>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</si>
  <si>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</si>
  <si>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</si>
  <si>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</si>
  <si>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</si>
  <si>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</si>
  <si>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</si>
  <si>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</si>
  <si>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</si>
  <si>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</si>
  <si>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</si>
  <si>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</si>
  <si>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</si>
  <si>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</si>
  <si>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</si>
  <si>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</si>
  <si>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</si>
  <si>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</si>
  <si>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</si>
  <si>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</si>
  <si>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</si>
  <si>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</si>
  <si>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</si>
  <si>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</si>
  <si>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</si>
  <si>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</si>
  <si>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</si>
  <si>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</si>
  <si>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</si>
  <si>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</si>
  <si>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</si>
  <si>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</si>
  <si>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</si>
  <si>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</si>
  <si>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</si>
  <si>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</si>
  <si>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</si>
  <si>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</si>
  <si>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</si>
  <si>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</si>
  <si>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</si>
  <si>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</si>
  <si>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</si>
  <si>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</si>
  <si>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</si>
  <si>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</si>
  <si>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</si>
  <si>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</si>
  <si>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</si>
  <si>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</si>
  <si>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</si>
  <si>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</si>
  <si>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</si>
  <si>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</si>
  <si>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</si>
  <si>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</si>
  <si>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</si>
  <si>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</si>
  <si>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</si>
  <si>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</si>
  <si>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</si>
  <si>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</si>
  <si>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</si>
  <si>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</si>
  <si>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</si>
  <si>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</si>
  <si>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</si>
  <si>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</si>
  <si>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</si>
  <si>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</si>
  <si>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</si>
  <si>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</si>
  <si>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</si>
  <si>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</si>
  <si>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</si>
  <si>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</si>
  <si>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</si>
  <si>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</si>
  <si>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</si>
  <si>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</si>
  <si>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</si>
  <si>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</si>
  <si>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</si>
  <si>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</si>
  <si>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</si>
  <si>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</si>
  <si>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</si>
  <si>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</si>
  <si>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</si>
  <si>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</si>
  <si>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</si>
  <si>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</si>
  <si>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</si>
  <si>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</si>
  <si>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</si>
  <si>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</si>
  <si>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</si>
  <si>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</si>
  <si>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</si>
  <si>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</si>
  <si>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</si>
  <si>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</si>
  <si>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</si>
  <si>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</si>
  <si>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</si>
  <si>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</si>
  <si>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</si>
  <si>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</si>
  <si>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</si>
  <si>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</si>
  <si>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</si>
  <si>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</si>
  <si>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</si>
  <si>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</si>
  <si>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</si>
  <si>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</si>
  <si>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</si>
  <si>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</si>
  <si>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</si>
  <si>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</si>
  <si>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</si>
  <si>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</si>
  <si>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</si>
  <si>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</si>
  <si>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</si>
  <si>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</si>
  <si>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</si>
  <si>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</si>
  <si>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</si>
  <si>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</si>
  <si>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</si>
  <si>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</si>
  <si>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</si>
  <si>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</si>
  <si>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</si>
  <si>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</si>
  <si>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</si>
  <si>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</si>
  <si>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</si>
  <si>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</si>
  <si>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</si>
  <si>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</si>
  <si>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</si>
  <si>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</si>
  <si>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</si>
  <si>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</si>
  <si>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</si>
  <si>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</si>
  <si>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</si>
  <si>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</si>
  <si>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</si>
  <si>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</si>
  <si>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</si>
  <si>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</si>
  <si>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</si>
  <si>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</si>
  <si>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</si>
  <si>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</si>
  <si>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</si>
  <si>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</si>
  <si>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</si>
  <si>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</si>
  <si>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</si>
  <si>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</si>
  <si>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</si>
  <si>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</si>
  <si>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</si>
  <si>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</si>
  <si>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</si>
  <si>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</si>
  <si>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</si>
  <si>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</si>
  <si>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</si>
  <si>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</si>
  <si>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</si>
  <si>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</si>
  <si>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</si>
  <si>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</si>
  <si>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</si>
  <si>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</si>
  <si>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</si>
  <si>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</si>
  <si>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</si>
  <si>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</si>
  <si>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</si>
  <si>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</si>
  <si>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</si>
  <si>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</si>
  <si>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</si>
  <si>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</si>
  <si>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</si>
  <si>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</si>
  <si>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</si>
  <si>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</si>
  <si>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</si>
  <si>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</si>
  <si>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</si>
  <si>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</si>
  <si>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</si>
  <si>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</si>
  <si>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</si>
  <si>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</si>
  <si>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</si>
  <si>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</si>
  <si>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</si>
  <si>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</si>
  <si>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</si>
  <si>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</si>
  <si>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</si>
  <si>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</si>
  <si>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</si>
  <si>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</si>
  <si>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</si>
  <si>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</si>
  <si>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</si>
  <si>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</si>
  <si>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</si>
  <si>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</si>
  <si>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</si>
  <si>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</si>
  <si>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</si>
  <si>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</si>
  <si>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</si>
  <si>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</si>
  <si>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</si>
  <si>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</si>
  <si>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</si>
  <si>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</si>
  <si>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</si>
  <si>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</si>
  <si>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</si>
  <si>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</si>
  <si>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</si>
  <si>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</si>
  <si>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</si>
  <si>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</si>
  <si>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</si>
  <si>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</si>
  <si>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</si>
  <si>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</si>
  <si>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</si>
  <si>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</si>
  <si>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</si>
  <si>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</si>
  <si>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</si>
  <si>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</si>
  <si>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</si>
  <si>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</si>
  <si>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</si>
  <si>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</si>
  <si>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</si>
  <si>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</si>
  <si>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</si>
  <si>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</si>
  <si>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</si>
  <si>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</si>
  <si>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</si>
  <si>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</si>
  <si>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</si>
  <si>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</si>
  <si>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</si>
  <si>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</si>
  <si>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</si>
  <si>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</si>
  <si>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</si>
  <si>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</si>
  <si>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</si>
  <si>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</si>
  <si>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</si>
  <si>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</si>
  <si>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</si>
  <si>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</si>
  <si>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</si>
  <si>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</si>
  <si>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</si>
  <si>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</si>
  <si>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</si>
  <si>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</si>
  <si>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</si>
  <si>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</si>
  <si>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</si>
  <si>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</si>
  <si>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</si>
  <si>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</si>
  <si>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</si>
  <si>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</si>
  <si>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</si>
  <si>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</si>
  <si>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</si>
  <si>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</si>
  <si>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</si>
  <si>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</si>
  <si>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</si>
  <si>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</si>
  <si>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</si>
  <si>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</si>
  <si>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</si>
  <si>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</si>
  <si>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</si>
  <si>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</si>
  <si>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</si>
  <si>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</si>
  <si>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</si>
  <si>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</si>
  <si>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</si>
  <si>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</si>
  <si>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</si>
  <si>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</si>
  <si>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</si>
  <si>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</si>
  <si>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</si>
  <si>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</si>
  <si>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</si>
  <si>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</si>
  <si>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</si>
  <si>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</si>
  <si>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</si>
  <si>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</si>
  <si>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</si>
  <si>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</si>
  <si>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</si>
  <si>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</si>
  <si>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</si>
  <si>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</si>
  <si>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</si>
  <si>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</si>
  <si>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</si>
  <si>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</si>
  <si>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</si>
  <si>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</si>
  <si>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</si>
  <si>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</si>
  <si>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</si>
  <si>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</si>
  <si>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</si>
  <si>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</si>
  <si>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</si>
  <si>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</si>
  <si>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</si>
  <si>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</si>
  <si>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</si>
  <si>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</si>
  <si>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</si>
  <si>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</si>
  <si>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</si>
  <si>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</si>
  <si>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</si>
  <si>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</si>
  <si>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</si>
  <si>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</si>
  <si>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</si>
  <si>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</si>
  <si>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</si>
  <si>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</si>
  <si>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</si>
  <si>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</si>
  <si>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</si>
  <si>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</si>
  <si>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</si>
  <si>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</si>
  <si>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</si>
  <si>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</si>
  <si>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</si>
  <si>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</si>
  <si>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</si>
  <si>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</si>
  <si>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</si>
  <si>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</si>
  <si>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</si>
  <si>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</si>
  <si>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</si>
  <si>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</si>
  <si>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</si>
  <si>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</si>
  <si>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</si>
  <si>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</si>
  <si>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</si>
  <si>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</si>
  <si>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</si>
  <si>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</si>
  <si>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</si>
  <si>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</si>
  <si>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</si>
  <si>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</si>
  <si>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</si>
  <si>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</si>
  <si>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</si>
  <si>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</si>
  <si>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</si>
  <si>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</si>
  <si>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</si>
  <si>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</si>
  <si>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</si>
  <si>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</si>
  <si>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</si>
  <si>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</si>
  <si>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</si>
  <si>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</si>
  <si>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</si>
  <si>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</si>
  <si>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</si>
  <si>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</si>
  <si>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</si>
  <si>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</si>
  <si>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</si>
  <si>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</si>
  <si>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</si>
  <si>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</si>
  <si>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</si>
  <si>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</si>
  <si>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</si>
  <si>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</si>
  <si>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</si>
  <si>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</si>
  <si>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</si>
  <si>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</si>
  <si>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</si>
  <si>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</si>
  <si>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</si>
  <si>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</si>
  <si>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</si>
  <si>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</si>
  <si>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</si>
  <si>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</si>
  <si>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</si>
  <si>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</si>
  <si>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</si>
  <si>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</si>
  <si>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</si>
  <si>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</si>
  <si>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</si>
  <si>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</si>
  <si>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</si>
  <si>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</si>
  <si>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</si>
  <si>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</si>
  <si>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</si>
  <si>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</si>
  <si>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</si>
  <si>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</si>
  <si>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</si>
  <si>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33029</t>
  </si>
  <si>
    <t>WERVIK</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</si>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</sst>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86B6DC6D-CA23-48DE-B6D6-16423BDF001D}"/>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169782.51000681345</c:v>
                </c:pt>
                <c:pt idx="1">
                  <c:v>37384.931601096512</c:v>
                </c:pt>
                <c:pt idx="2">
                  <c:v>1286.2750000000001</c:v>
                </c:pt>
                <c:pt idx="3">
                  <c:v>17208.545072362544</c:v>
                </c:pt>
                <c:pt idx="4">
                  <c:v>33337.683992177219</c:v>
                </c:pt>
                <c:pt idx="5">
                  <c:v>115476.50314298845</c:v>
                </c:pt>
                <c:pt idx="6">
                  <c:v>298.1395240757808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169782.51000681345</c:v>
                </c:pt>
                <c:pt idx="1">
                  <c:v>37384.931601096512</c:v>
                </c:pt>
                <c:pt idx="2">
                  <c:v>1286.2750000000001</c:v>
                </c:pt>
                <c:pt idx="3">
                  <c:v>17208.545072362544</c:v>
                </c:pt>
                <c:pt idx="4">
                  <c:v>33337.683992177219</c:v>
                </c:pt>
                <c:pt idx="5">
                  <c:v>115476.50314298845</c:v>
                </c:pt>
                <c:pt idx="6">
                  <c:v>298.1395240757808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34285.260702942003</c:v>
                </c:pt>
                <c:pt idx="2">
                  <c:v>7295.0750618864085</c:v>
                </c:pt>
                <c:pt idx="3">
                  <c:v>254.96060391179844</c:v>
                </c:pt>
                <c:pt idx="4">
                  <c:v>4213.9925812534193</c:v>
                </c:pt>
                <c:pt idx="5">
                  <c:v>6954.1001780745937</c:v>
                </c:pt>
                <c:pt idx="6">
                  <c:v>29241.369906285901</c:v>
                </c:pt>
                <c:pt idx="7">
                  <c:v>76.103339260497762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34285.260702942003</c:v>
                </c:pt>
                <c:pt idx="2">
                  <c:v>7295.0750618864085</c:v>
                </c:pt>
                <c:pt idx="3">
                  <c:v>254.96060391179844</c:v>
                </c:pt>
                <c:pt idx="4">
                  <c:v>4213.9925812534193</c:v>
                </c:pt>
                <c:pt idx="5">
                  <c:v>6954.1001780745937</c:v>
                </c:pt>
                <c:pt idx="6">
                  <c:v>29241.369906285901</c:v>
                </c:pt>
                <c:pt idx="7">
                  <c:v>76.103339260497762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33029</v>
      </c>
      <c r="B6" s="385"/>
      <c r="C6" s="386"/>
    </row>
    <row r="7" spans="1:7" s="383" customFormat="1" ht="15.75" customHeight="1">
      <c r="A7" s="387" t="str">
        <f>txtMunicipality</f>
        <v>WERVIK</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16167.764066403513</v>
      </c>
      <c r="D10" s="676">
        <f ca="1">tertiair!C16</f>
        <v>0</v>
      </c>
      <c r="E10" s="676">
        <f ca="1">tertiair!D16</f>
        <v>17206.688083391215</v>
      </c>
      <c r="F10" s="676">
        <f>tertiair!E16</f>
        <v>188.75437305852614</v>
      </c>
      <c r="G10" s="676">
        <f ca="1">tertiair!F16</f>
        <v>3096.3442118570374</v>
      </c>
      <c r="H10" s="676">
        <f>tertiair!G16</f>
        <v>0</v>
      </c>
      <c r="I10" s="676">
        <f>tertiair!H16</f>
        <v>0</v>
      </c>
      <c r="J10" s="676">
        <f>tertiair!I16</f>
        <v>0</v>
      </c>
      <c r="K10" s="676">
        <f>tertiair!J16</f>
        <v>0</v>
      </c>
      <c r="L10" s="676">
        <f>tertiair!K16</f>
        <v>0</v>
      </c>
      <c r="M10" s="676">
        <f ca="1">tertiair!L16</f>
        <v>0</v>
      </c>
      <c r="N10" s="676">
        <f>tertiair!M16</f>
        <v>0</v>
      </c>
      <c r="O10" s="676">
        <f ca="1">tertiair!N16</f>
        <v>1989.4625330528916</v>
      </c>
      <c r="P10" s="676">
        <f>tertiair!O16</f>
        <v>3.1266666666666669</v>
      </c>
      <c r="Q10" s="677">
        <f>tertiair!P16</f>
        <v>19.066666666666666</v>
      </c>
      <c r="R10" s="679">
        <f ca="1">SUM(C10:Q10)</f>
        <v>38671.206601096514</v>
      </c>
      <c r="S10" s="67"/>
    </row>
    <row r="11" spans="1:19" s="444" customFormat="1">
      <c r="A11" s="791" t="s">
        <v>214</v>
      </c>
      <c r="B11" s="796"/>
      <c r="C11" s="676">
        <f>huishoudens!B8</f>
        <v>30018.844718265238</v>
      </c>
      <c r="D11" s="676">
        <f>huishoudens!C8</f>
        <v>0</v>
      </c>
      <c r="E11" s="676">
        <f>huishoudens!D8</f>
        <v>90041.654040148525</v>
      </c>
      <c r="F11" s="676">
        <f>huishoudens!E8</f>
        <v>1177.8143906961998</v>
      </c>
      <c r="G11" s="676">
        <f>huishoudens!F8</f>
        <v>36094.67882240293</v>
      </c>
      <c r="H11" s="676">
        <f>huishoudens!G8</f>
        <v>0</v>
      </c>
      <c r="I11" s="676">
        <f>huishoudens!H8</f>
        <v>0</v>
      </c>
      <c r="J11" s="676">
        <f>huishoudens!I8</f>
        <v>0</v>
      </c>
      <c r="K11" s="676">
        <f>huishoudens!J8</f>
        <v>683.56134609633011</v>
      </c>
      <c r="L11" s="676">
        <f>huishoudens!K8</f>
        <v>0</v>
      </c>
      <c r="M11" s="676">
        <f>huishoudens!L8</f>
        <v>0</v>
      </c>
      <c r="N11" s="676">
        <f>huishoudens!M8</f>
        <v>0</v>
      </c>
      <c r="O11" s="676">
        <f>huishoudens!N8</f>
        <v>11498.350022537534</v>
      </c>
      <c r="P11" s="676">
        <f>huishoudens!O8</f>
        <v>153.20666666666668</v>
      </c>
      <c r="Q11" s="677">
        <f>huishoudens!P8</f>
        <v>114.4</v>
      </c>
      <c r="R11" s="679">
        <f>SUM(C11:Q11)</f>
        <v>169782.51000681345</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10898.64976607158</v>
      </c>
      <c r="D13" s="676">
        <f>industrie!C18</f>
        <v>0</v>
      </c>
      <c r="E13" s="676">
        <f>industrie!D18</f>
        <v>11697.644535584774</v>
      </c>
      <c r="F13" s="676">
        <f>industrie!E18</f>
        <v>1233.5922197664322</v>
      </c>
      <c r="G13" s="676">
        <f>industrie!F18</f>
        <v>8040.4615302107923</v>
      </c>
      <c r="H13" s="676">
        <f>industrie!G18</f>
        <v>0</v>
      </c>
      <c r="I13" s="676">
        <f>industrie!H18</f>
        <v>0</v>
      </c>
      <c r="J13" s="676">
        <f>industrie!I18</f>
        <v>0</v>
      </c>
      <c r="K13" s="676">
        <f>industrie!J18</f>
        <v>11.462877516304513</v>
      </c>
      <c r="L13" s="676">
        <f>industrie!K18</f>
        <v>0</v>
      </c>
      <c r="M13" s="676">
        <f>industrie!L18</f>
        <v>0</v>
      </c>
      <c r="N13" s="676">
        <f>industrie!M18</f>
        <v>0</v>
      </c>
      <c r="O13" s="676">
        <f>industrie!N18</f>
        <v>1455.8730630273387</v>
      </c>
      <c r="P13" s="676">
        <f>industrie!O18</f>
        <v>0</v>
      </c>
      <c r="Q13" s="677">
        <f>industrie!P18</f>
        <v>0</v>
      </c>
      <c r="R13" s="679">
        <f>SUM(C13:Q13)</f>
        <v>33337.683992177219</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57085.258550740327</v>
      </c>
      <c r="D16" s="711">
        <f t="shared" ref="D16:R16" ca="1" si="0">SUM(D9:D15)</f>
        <v>0</v>
      </c>
      <c r="E16" s="711">
        <f t="shared" ca="1" si="0"/>
        <v>118945.98665912451</v>
      </c>
      <c r="F16" s="711">
        <f t="shared" si="0"/>
        <v>2600.1609835211584</v>
      </c>
      <c r="G16" s="711">
        <f t="shared" ca="1" si="0"/>
        <v>47231.48456447076</v>
      </c>
      <c r="H16" s="711">
        <f t="shared" si="0"/>
        <v>0</v>
      </c>
      <c r="I16" s="711">
        <f t="shared" si="0"/>
        <v>0</v>
      </c>
      <c r="J16" s="711">
        <f t="shared" si="0"/>
        <v>0</v>
      </c>
      <c r="K16" s="711">
        <f t="shared" si="0"/>
        <v>695.02422361263461</v>
      </c>
      <c r="L16" s="711">
        <f t="shared" si="0"/>
        <v>0</v>
      </c>
      <c r="M16" s="711">
        <f t="shared" ca="1" si="0"/>
        <v>0</v>
      </c>
      <c r="N16" s="711">
        <f t="shared" si="0"/>
        <v>0</v>
      </c>
      <c r="O16" s="711">
        <f t="shared" ca="1" si="0"/>
        <v>14943.685618617765</v>
      </c>
      <c r="P16" s="711">
        <f t="shared" si="0"/>
        <v>156.33333333333334</v>
      </c>
      <c r="Q16" s="711">
        <f t="shared" si="0"/>
        <v>133.46666666666667</v>
      </c>
      <c r="R16" s="711">
        <f t="shared" ca="1" si="0"/>
        <v>241791.40060008719</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1.4588055596245324</v>
      </c>
      <c r="D19" s="676">
        <f>transport!C54</f>
        <v>0</v>
      </c>
      <c r="E19" s="676">
        <f>transport!D54</f>
        <v>0</v>
      </c>
      <c r="F19" s="676">
        <f>transport!E54</f>
        <v>0</v>
      </c>
      <c r="G19" s="676">
        <f>transport!F54</f>
        <v>0</v>
      </c>
      <c r="H19" s="676">
        <f>transport!G54</f>
        <v>283.9482408106997</v>
      </c>
      <c r="I19" s="676">
        <f>transport!H54</f>
        <v>0</v>
      </c>
      <c r="J19" s="676">
        <f>transport!I54</f>
        <v>0</v>
      </c>
      <c r="K19" s="676">
        <f>transport!J54</f>
        <v>0</v>
      </c>
      <c r="L19" s="676">
        <f>transport!K54</f>
        <v>0</v>
      </c>
      <c r="M19" s="676">
        <f>transport!L54</f>
        <v>0</v>
      </c>
      <c r="N19" s="676">
        <f>transport!M54</f>
        <v>12.732477705456578</v>
      </c>
      <c r="O19" s="676">
        <f>transport!N54</f>
        <v>0</v>
      </c>
      <c r="P19" s="676">
        <f>transport!O54</f>
        <v>0</v>
      </c>
      <c r="Q19" s="677">
        <f>transport!P54</f>
        <v>0</v>
      </c>
      <c r="R19" s="679">
        <f>SUM(C19:Q19)</f>
        <v>298.1395240757808</v>
      </c>
      <c r="S19" s="67"/>
    </row>
    <row r="20" spans="1:19" s="444" customFormat="1">
      <c r="A20" s="791" t="s">
        <v>296</v>
      </c>
      <c r="B20" s="796"/>
      <c r="C20" s="676">
        <f>transport!B14</f>
        <v>9.024703659268889</v>
      </c>
      <c r="D20" s="676">
        <f>transport!C14</f>
        <v>0</v>
      </c>
      <c r="E20" s="676">
        <f>transport!D14</f>
        <v>7.7831735874747361</v>
      </c>
      <c r="F20" s="676">
        <f>transport!E14</f>
        <v>310.1103233935454</v>
      </c>
      <c r="G20" s="676">
        <f>transport!F14</f>
        <v>0</v>
      </c>
      <c r="H20" s="676">
        <f>transport!G14</f>
        <v>96413.376663106596</v>
      </c>
      <c r="I20" s="676">
        <f>transport!H14</f>
        <v>13755.992971350135</v>
      </c>
      <c r="J20" s="676">
        <f>transport!I14</f>
        <v>0</v>
      </c>
      <c r="K20" s="676">
        <f>transport!J14</f>
        <v>0</v>
      </c>
      <c r="L20" s="676">
        <f>transport!K14</f>
        <v>0</v>
      </c>
      <c r="M20" s="676">
        <f>transport!L14</f>
        <v>0</v>
      </c>
      <c r="N20" s="676">
        <f>transport!M14</f>
        <v>4980.2153078914353</v>
      </c>
      <c r="O20" s="676">
        <f>transport!N14</f>
        <v>0</v>
      </c>
      <c r="P20" s="676">
        <f>transport!O14</f>
        <v>0</v>
      </c>
      <c r="Q20" s="677">
        <f>transport!P14</f>
        <v>0</v>
      </c>
      <c r="R20" s="679">
        <f>SUM(C20:Q20)</f>
        <v>115476.50314298845</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10.48350921889342</v>
      </c>
      <c r="D22" s="794">
        <f t="shared" ref="D22:R22" si="1">SUM(D18:D21)</f>
        <v>0</v>
      </c>
      <c r="E22" s="794">
        <f t="shared" si="1"/>
        <v>7.7831735874747361</v>
      </c>
      <c r="F22" s="794">
        <f t="shared" si="1"/>
        <v>310.1103233935454</v>
      </c>
      <c r="G22" s="794">
        <f t="shared" si="1"/>
        <v>0</v>
      </c>
      <c r="H22" s="794">
        <f t="shared" si="1"/>
        <v>96697.324903917295</v>
      </c>
      <c r="I22" s="794">
        <f t="shared" si="1"/>
        <v>13755.992971350135</v>
      </c>
      <c r="J22" s="794">
        <f t="shared" si="1"/>
        <v>0</v>
      </c>
      <c r="K22" s="794">
        <f t="shared" si="1"/>
        <v>0</v>
      </c>
      <c r="L22" s="794">
        <f t="shared" si="1"/>
        <v>0</v>
      </c>
      <c r="M22" s="794">
        <f t="shared" si="1"/>
        <v>0</v>
      </c>
      <c r="N22" s="794">
        <f t="shared" si="1"/>
        <v>4992.9477855968917</v>
      </c>
      <c r="O22" s="794">
        <f t="shared" si="1"/>
        <v>0</v>
      </c>
      <c r="P22" s="794">
        <f t="shared" si="1"/>
        <v>0</v>
      </c>
      <c r="Q22" s="794">
        <f t="shared" si="1"/>
        <v>0</v>
      </c>
      <c r="R22" s="794">
        <f t="shared" si="1"/>
        <v>115774.64266706424</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3028.3044635346237</v>
      </c>
      <c r="D24" s="676">
        <f>+landbouw!C8</f>
        <v>0</v>
      </c>
      <c r="E24" s="676">
        <f>+landbouw!D8</f>
        <v>3238.2484697797063</v>
      </c>
      <c r="F24" s="676">
        <f>+landbouw!E8</f>
        <v>38.160537489889549</v>
      </c>
      <c r="G24" s="676">
        <f>+landbouw!F8</f>
        <v>10448.409034792903</v>
      </c>
      <c r="H24" s="676">
        <f>+landbouw!G8</f>
        <v>0</v>
      </c>
      <c r="I24" s="676">
        <f>+landbouw!H8</f>
        <v>0</v>
      </c>
      <c r="J24" s="676">
        <f>+landbouw!I8</f>
        <v>0</v>
      </c>
      <c r="K24" s="676">
        <f>+landbouw!J8</f>
        <v>455.42256676542138</v>
      </c>
      <c r="L24" s="676">
        <f>+landbouw!K8</f>
        <v>0</v>
      </c>
      <c r="M24" s="676">
        <f>+landbouw!L8</f>
        <v>0</v>
      </c>
      <c r="N24" s="676">
        <f>+landbouw!M8</f>
        <v>0</v>
      </c>
      <c r="O24" s="676">
        <f>+landbouw!N8</f>
        <v>0</v>
      </c>
      <c r="P24" s="676">
        <f>+landbouw!O8</f>
        <v>0</v>
      </c>
      <c r="Q24" s="677">
        <f>+landbouw!P8</f>
        <v>0</v>
      </c>
      <c r="R24" s="679">
        <f>SUM(C24:Q24)</f>
        <v>17208.545072362544</v>
      </c>
      <c r="S24" s="67"/>
    </row>
    <row r="25" spans="1:19" s="444" customFormat="1" ht="15" thickBot="1">
      <c r="A25" s="813" t="s">
        <v>833</v>
      </c>
      <c r="B25" s="977"/>
      <c r="C25" s="978">
        <f>IF(Onbekend_ele_kWh="---",0,Onbekend_ele_kWh)/1000+IF(REST_rest_ele_kWh="---",0,REST_rest_ele_kWh)/1000</f>
        <v>1035.9445701863301</v>
      </c>
      <c r="D25" s="978"/>
      <c r="E25" s="978">
        <f>IF(onbekend_gas_kWh="---",0,onbekend_gas_kWh)/1000+IF(REST_rest_gas_kWh="---",0,REST_rest_gas_kWh)/1000</f>
        <v>4854.9260882932704</v>
      </c>
      <c r="F25" s="978"/>
      <c r="G25" s="978"/>
      <c r="H25" s="978"/>
      <c r="I25" s="978"/>
      <c r="J25" s="978"/>
      <c r="K25" s="978"/>
      <c r="L25" s="978"/>
      <c r="M25" s="978"/>
      <c r="N25" s="978"/>
      <c r="O25" s="978"/>
      <c r="P25" s="978"/>
      <c r="Q25" s="979"/>
      <c r="R25" s="679">
        <f>SUM(C25:Q25)</f>
        <v>5890.8706584796</v>
      </c>
      <c r="S25" s="67"/>
    </row>
    <row r="26" spans="1:19" s="444" customFormat="1" ht="15.75" thickBot="1">
      <c r="A26" s="684" t="s">
        <v>834</v>
      </c>
      <c r="B26" s="799"/>
      <c r="C26" s="794">
        <f>SUM(C24:C25)</f>
        <v>4064.2490337209538</v>
      </c>
      <c r="D26" s="794">
        <f t="shared" ref="D26:R26" si="2">SUM(D24:D25)</f>
        <v>0</v>
      </c>
      <c r="E26" s="794">
        <f t="shared" si="2"/>
        <v>8093.1745580729767</v>
      </c>
      <c r="F26" s="794">
        <f t="shared" si="2"/>
        <v>38.160537489889549</v>
      </c>
      <c r="G26" s="794">
        <f t="shared" si="2"/>
        <v>10448.409034792903</v>
      </c>
      <c r="H26" s="794">
        <f t="shared" si="2"/>
        <v>0</v>
      </c>
      <c r="I26" s="794">
        <f t="shared" si="2"/>
        <v>0</v>
      </c>
      <c r="J26" s="794">
        <f t="shared" si="2"/>
        <v>0</v>
      </c>
      <c r="K26" s="794">
        <f t="shared" si="2"/>
        <v>455.42256676542138</v>
      </c>
      <c r="L26" s="794">
        <f t="shared" si="2"/>
        <v>0</v>
      </c>
      <c r="M26" s="794">
        <f t="shared" si="2"/>
        <v>0</v>
      </c>
      <c r="N26" s="794">
        <f t="shared" si="2"/>
        <v>0</v>
      </c>
      <c r="O26" s="794">
        <f t="shared" si="2"/>
        <v>0</v>
      </c>
      <c r="P26" s="794">
        <f t="shared" si="2"/>
        <v>0</v>
      </c>
      <c r="Q26" s="794">
        <f t="shared" si="2"/>
        <v>0</v>
      </c>
      <c r="R26" s="794">
        <f t="shared" si="2"/>
        <v>23099.415730842142</v>
      </c>
      <c r="S26" s="67"/>
    </row>
    <row r="27" spans="1:19" s="444" customFormat="1" ht="17.25" thickTop="1" thickBot="1">
      <c r="A27" s="685" t="s">
        <v>109</v>
      </c>
      <c r="B27" s="786"/>
      <c r="C27" s="686">
        <f ca="1">C22+C16+C26</f>
        <v>61159.991093680175</v>
      </c>
      <c r="D27" s="686">
        <f t="shared" ref="D27:R27" ca="1" si="3">D22+D16+D26</f>
        <v>0</v>
      </c>
      <c r="E27" s="686">
        <f t="shared" ca="1" si="3"/>
        <v>127046.94439078496</v>
      </c>
      <c r="F27" s="686">
        <f t="shared" si="3"/>
        <v>2948.4318444045934</v>
      </c>
      <c r="G27" s="686">
        <f t="shared" ca="1" si="3"/>
        <v>57679.893599263662</v>
      </c>
      <c r="H27" s="686">
        <f t="shared" si="3"/>
        <v>96697.324903917295</v>
      </c>
      <c r="I27" s="686">
        <f t="shared" si="3"/>
        <v>13755.992971350135</v>
      </c>
      <c r="J27" s="686">
        <f t="shared" si="3"/>
        <v>0</v>
      </c>
      <c r="K27" s="686">
        <f t="shared" si="3"/>
        <v>1150.446790378056</v>
      </c>
      <c r="L27" s="686">
        <f t="shared" si="3"/>
        <v>0</v>
      </c>
      <c r="M27" s="686">
        <f t="shared" ca="1" si="3"/>
        <v>0</v>
      </c>
      <c r="N27" s="686">
        <f t="shared" si="3"/>
        <v>4992.9477855968917</v>
      </c>
      <c r="O27" s="686">
        <f t="shared" ca="1" si="3"/>
        <v>14943.685618617765</v>
      </c>
      <c r="P27" s="686">
        <f t="shared" si="3"/>
        <v>156.33333333333334</v>
      </c>
      <c r="Q27" s="686">
        <f t="shared" si="3"/>
        <v>133.46666666666667</v>
      </c>
      <c r="R27" s="686">
        <f t="shared" ca="1" si="3"/>
        <v>380665.45899799361</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3204.7135257030677</v>
      </c>
      <c r="D40" s="676">
        <f ca="1">tertiair!C20</f>
        <v>0</v>
      </c>
      <c r="E40" s="676">
        <f ca="1">tertiair!D20</f>
        <v>3475.7509928450254</v>
      </c>
      <c r="F40" s="676">
        <f>tertiair!E20</f>
        <v>42.847242684285433</v>
      </c>
      <c r="G40" s="676">
        <f ca="1">tertiair!F20</f>
        <v>826.723904565829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7550.0356657982074</v>
      </c>
    </row>
    <row r="41" spans="1:18">
      <c r="A41" s="804" t="s">
        <v>214</v>
      </c>
      <c r="B41" s="811"/>
      <c r="C41" s="676">
        <f ca="1">huishoudens!B12</f>
        <v>5950.2227580442795</v>
      </c>
      <c r="D41" s="676">
        <f ca="1">huishoudens!C12</f>
        <v>0</v>
      </c>
      <c r="E41" s="676">
        <f>huishoudens!D12</f>
        <v>18188.414116110001</v>
      </c>
      <c r="F41" s="676">
        <f>huishoudens!E12</f>
        <v>267.36386668803738</v>
      </c>
      <c r="G41" s="676">
        <f>huishoudens!F12</f>
        <v>9637.2792455815834</v>
      </c>
      <c r="H41" s="676">
        <f>huishoudens!G12</f>
        <v>0</v>
      </c>
      <c r="I41" s="676">
        <f>huishoudens!H12</f>
        <v>0</v>
      </c>
      <c r="J41" s="676">
        <f>huishoudens!I12</f>
        <v>0</v>
      </c>
      <c r="K41" s="676">
        <f>huishoudens!J12</f>
        <v>241.98071651810085</v>
      </c>
      <c r="L41" s="676">
        <f>huishoudens!K12</f>
        <v>0</v>
      </c>
      <c r="M41" s="676">
        <f>huishoudens!L12</f>
        <v>0</v>
      </c>
      <c r="N41" s="676">
        <f>huishoudens!M12</f>
        <v>0</v>
      </c>
      <c r="O41" s="676">
        <f>huishoudens!N12</f>
        <v>0</v>
      </c>
      <c r="P41" s="676">
        <f>huishoudens!O12</f>
        <v>0</v>
      </c>
      <c r="Q41" s="753">
        <f>huishoudens!P12</f>
        <v>0</v>
      </c>
      <c r="R41" s="832">
        <f t="shared" ca="1" si="4"/>
        <v>34285.260702942003</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2160.2894607924359</v>
      </c>
      <c r="D43" s="676">
        <f ca="1">industrie!C22</f>
        <v>0</v>
      </c>
      <c r="E43" s="676">
        <f>industrie!D22</f>
        <v>2362.9241961881244</v>
      </c>
      <c r="F43" s="676">
        <f>industrie!E22</f>
        <v>280.02543388698012</v>
      </c>
      <c r="G43" s="676">
        <f>industrie!F22</f>
        <v>2146.8032285662816</v>
      </c>
      <c r="H43" s="676">
        <f>industrie!G22</f>
        <v>0</v>
      </c>
      <c r="I43" s="676">
        <f>industrie!H22</f>
        <v>0</v>
      </c>
      <c r="J43" s="676">
        <f>industrie!I22</f>
        <v>0</v>
      </c>
      <c r="K43" s="676">
        <f>industrie!J22</f>
        <v>4.0578586407717969</v>
      </c>
      <c r="L43" s="676">
        <f>industrie!K22</f>
        <v>0</v>
      </c>
      <c r="M43" s="676">
        <f>industrie!L22</f>
        <v>0</v>
      </c>
      <c r="N43" s="676">
        <f>industrie!M22</f>
        <v>0</v>
      </c>
      <c r="O43" s="676">
        <f>industrie!N22</f>
        <v>0</v>
      </c>
      <c r="P43" s="676">
        <f>industrie!O22</f>
        <v>0</v>
      </c>
      <c r="Q43" s="753">
        <f>industrie!P22</f>
        <v>0</v>
      </c>
      <c r="R43" s="831">
        <f t="shared" ca="1" si="4"/>
        <v>6954.1001780745937</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11315.225744539783</v>
      </c>
      <c r="D46" s="711">
        <f t="shared" ref="D46:Q46" ca="1" si="5">SUM(D39:D45)</f>
        <v>0</v>
      </c>
      <c r="E46" s="711">
        <f t="shared" ca="1" si="5"/>
        <v>24027.089305143152</v>
      </c>
      <c r="F46" s="711">
        <f t="shared" si="5"/>
        <v>590.23654325930295</v>
      </c>
      <c r="G46" s="711">
        <f t="shared" ca="1" si="5"/>
        <v>12610.806378713694</v>
      </c>
      <c r="H46" s="711">
        <f t="shared" si="5"/>
        <v>0</v>
      </c>
      <c r="I46" s="711">
        <f t="shared" si="5"/>
        <v>0</v>
      </c>
      <c r="J46" s="711">
        <f t="shared" si="5"/>
        <v>0</v>
      </c>
      <c r="K46" s="711">
        <f t="shared" si="5"/>
        <v>246.03857515887265</v>
      </c>
      <c r="L46" s="711">
        <f t="shared" si="5"/>
        <v>0</v>
      </c>
      <c r="M46" s="711">
        <f t="shared" ca="1" si="5"/>
        <v>0</v>
      </c>
      <c r="N46" s="711">
        <f t="shared" si="5"/>
        <v>0</v>
      </c>
      <c r="O46" s="711">
        <f t="shared" ca="1" si="5"/>
        <v>0</v>
      </c>
      <c r="P46" s="711">
        <f t="shared" si="5"/>
        <v>0</v>
      </c>
      <c r="Q46" s="711">
        <f t="shared" si="5"/>
        <v>0</v>
      </c>
      <c r="R46" s="711">
        <f ca="1">SUM(R39:R45)</f>
        <v>48789.396546814802</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0.28915896404093977</v>
      </c>
      <c r="D49" s="676">
        <f ca="1">transport!C58</f>
        <v>0</v>
      </c>
      <c r="E49" s="676">
        <f>transport!D58</f>
        <v>0</v>
      </c>
      <c r="F49" s="676">
        <f>transport!E58</f>
        <v>0</v>
      </c>
      <c r="G49" s="676">
        <f>transport!F58</f>
        <v>0</v>
      </c>
      <c r="H49" s="676">
        <f>transport!G58</f>
        <v>75.814180296456826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76.103339260497762</v>
      </c>
    </row>
    <row r="50" spans="1:18">
      <c r="A50" s="807" t="s">
        <v>296</v>
      </c>
      <c r="B50" s="817"/>
      <c r="C50" s="682">
        <f ca="1">transport!B18</f>
        <v>1.7888428952535134</v>
      </c>
      <c r="D50" s="682">
        <f>transport!C18</f>
        <v>0</v>
      </c>
      <c r="E50" s="682">
        <f>transport!D18</f>
        <v>1.5722010646698967</v>
      </c>
      <c r="F50" s="682">
        <f>transport!E18</f>
        <v>70.395043410334807</v>
      </c>
      <c r="G50" s="682">
        <f>transport!F18</f>
        <v>0</v>
      </c>
      <c r="H50" s="682">
        <f>transport!G18</f>
        <v>25742.371569049461</v>
      </c>
      <c r="I50" s="682">
        <f>transport!H18</f>
        <v>3425.2422498661836</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29241.369906285901</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2.0780018592944529</v>
      </c>
      <c r="D52" s="711">
        <f t="shared" ref="D52:Q52" ca="1" si="6">SUM(D48:D51)</f>
        <v>0</v>
      </c>
      <c r="E52" s="711">
        <f t="shared" si="6"/>
        <v>1.5722010646698967</v>
      </c>
      <c r="F52" s="711">
        <f t="shared" si="6"/>
        <v>70.395043410334807</v>
      </c>
      <c r="G52" s="711">
        <f t="shared" si="6"/>
        <v>0</v>
      </c>
      <c r="H52" s="711">
        <f t="shared" si="6"/>
        <v>25818.185749345917</v>
      </c>
      <c r="I52" s="711">
        <f t="shared" si="6"/>
        <v>3425.2422498661836</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29317.4732455464</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600.25914742304906</v>
      </c>
      <c r="D54" s="682">
        <f ca="1">+landbouw!C12</f>
        <v>0</v>
      </c>
      <c r="E54" s="682">
        <f>+landbouw!D12</f>
        <v>654.12619089550071</v>
      </c>
      <c r="F54" s="682">
        <f>+landbouw!E12</f>
        <v>8.6624420102049271</v>
      </c>
      <c r="G54" s="682">
        <f>+landbouw!F12</f>
        <v>2789.7252122897053</v>
      </c>
      <c r="H54" s="682">
        <f>+landbouw!G12</f>
        <v>0</v>
      </c>
      <c r="I54" s="682">
        <f>+landbouw!H12</f>
        <v>0</v>
      </c>
      <c r="J54" s="682">
        <f>+landbouw!I12</f>
        <v>0</v>
      </c>
      <c r="K54" s="682">
        <f>+landbouw!J12</f>
        <v>161.21958863495917</v>
      </c>
      <c r="L54" s="682">
        <f>+landbouw!K12</f>
        <v>0</v>
      </c>
      <c r="M54" s="682">
        <f>+landbouw!L12</f>
        <v>0</v>
      </c>
      <c r="N54" s="682">
        <f>+landbouw!M12</f>
        <v>0</v>
      </c>
      <c r="O54" s="682">
        <f>+landbouw!N12</f>
        <v>0</v>
      </c>
      <c r="P54" s="682">
        <f>+landbouw!O12</f>
        <v>0</v>
      </c>
      <c r="Q54" s="683">
        <f>+landbouw!P12</f>
        <v>0</v>
      </c>
      <c r="R54" s="710">
        <f ca="1">SUM(C54:Q54)</f>
        <v>4213.9925812534193</v>
      </c>
    </row>
    <row r="55" spans="1:18" ht="15" thickBot="1">
      <c r="A55" s="807" t="s">
        <v>833</v>
      </c>
      <c r="B55" s="817"/>
      <c r="C55" s="682">
        <f ca="1">C25*'EF ele_warmte'!B12</f>
        <v>205.34104544817799</v>
      </c>
      <c r="D55" s="682"/>
      <c r="E55" s="682">
        <f>E25*EF_CO2_aardgas</f>
        <v>980.6950698352407</v>
      </c>
      <c r="F55" s="682"/>
      <c r="G55" s="682"/>
      <c r="H55" s="682"/>
      <c r="I55" s="682"/>
      <c r="J55" s="682"/>
      <c r="K55" s="682"/>
      <c r="L55" s="682"/>
      <c r="M55" s="682"/>
      <c r="N55" s="682"/>
      <c r="O55" s="682"/>
      <c r="P55" s="682"/>
      <c r="Q55" s="683"/>
      <c r="R55" s="710">
        <f ca="1">SUM(C55:Q55)</f>
        <v>1186.0361152834187</v>
      </c>
    </row>
    <row r="56" spans="1:18" ht="15.75" thickBot="1">
      <c r="A56" s="805" t="s">
        <v>834</v>
      </c>
      <c r="B56" s="818"/>
      <c r="C56" s="711">
        <f ca="1">SUM(C54:C55)</f>
        <v>805.60019287122702</v>
      </c>
      <c r="D56" s="711">
        <f t="shared" ref="D56:Q56" ca="1" si="7">SUM(D54:D55)</f>
        <v>0</v>
      </c>
      <c r="E56" s="711">
        <f t="shared" si="7"/>
        <v>1634.8212607307414</v>
      </c>
      <c r="F56" s="711">
        <f t="shared" si="7"/>
        <v>8.6624420102049271</v>
      </c>
      <c r="G56" s="711">
        <f t="shared" si="7"/>
        <v>2789.7252122897053</v>
      </c>
      <c r="H56" s="711">
        <f t="shared" si="7"/>
        <v>0</v>
      </c>
      <c r="I56" s="711">
        <f t="shared" si="7"/>
        <v>0</v>
      </c>
      <c r="J56" s="711">
        <f t="shared" si="7"/>
        <v>0</v>
      </c>
      <c r="K56" s="711">
        <f t="shared" si="7"/>
        <v>161.21958863495917</v>
      </c>
      <c r="L56" s="711">
        <f t="shared" si="7"/>
        <v>0</v>
      </c>
      <c r="M56" s="711">
        <f t="shared" si="7"/>
        <v>0</v>
      </c>
      <c r="N56" s="711">
        <f t="shared" si="7"/>
        <v>0</v>
      </c>
      <c r="O56" s="711">
        <f t="shared" si="7"/>
        <v>0</v>
      </c>
      <c r="P56" s="711">
        <f t="shared" si="7"/>
        <v>0</v>
      </c>
      <c r="Q56" s="712">
        <f t="shared" si="7"/>
        <v>0</v>
      </c>
      <c r="R56" s="713">
        <f ca="1">SUM(R54:R55)</f>
        <v>5400.0286965368377</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12122.903939270303</v>
      </c>
      <c r="D61" s="719">
        <f t="shared" ref="D61:Q61" ca="1" si="8">D46+D52+D56</f>
        <v>0</v>
      </c>
      <c r="E61" s="719">
        <f t="shared" ca="1" si="8"/>
        <v>25663.482766938563</v>
      </c>
      <c r="F61" s="719">
        <f t="shared" si="8"/>
        <v>669.29402867984265</v>
      </c>
      <c r="G61" s="719">
        <f t="shared" ca="1" si="8"/>
        <v>15400.531591003401</v>
      </c>
      <c r="H61" s="719">
        <f t="shared" si="8"/>
        <v>25818.185749345917</v>
      </c>
      <c r="I61" s="719">
        <f t="shared" si="8"/>
        <v>3425.2422498661836</v>
      </c>
      <c r="J61" s="719">
        <f t="shared" si="8"/>
        <v>0</v>
      </c>
      <c r="K61" s="719">
        <f t="shared" si="8"/>
        <v>407.25816379383184</v>
      </c>
      <c r="L61" s="719">
        <f t="shared" si="8"/>
        <v>0</v>
      </c>
      <c r="M61" s="719">
        <f t="shared" ca="1" si="8"/>
        <v>0</v>
      </c>
      <c r="N61" s="719">
        <f t="shared" si="8"/>
        <v>0</v>
      </c>
      <c r="O61" s="719">
        <f t="shared" ca="1" si="8"/>
        <v>0</v>
      </c>
      <c r="P61" s="719">
        <f t="shared" si="8"/>
        <v>0</v>
      </c>
      <c r="Q61" s="719">
        <f t="shared" si="8"/>
        <v>0</v>
      </c>
      <c r="R61" s="719">
        <f ca="1">R46+R52+R56</f>
        <v>83506.898488898049</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0.19821624762340745</v>
      </c>
      <c r="D63" s="762">
        <f t="shared" ca="1" si="9"/>
        <v>0</v>
      </c>
      <c r="E63" s="984">
        <f t="shared" ca="1" si="9"/>
        <v>0.20200000000000001</v>
      </c>
      <c r="F63" s="762">
        <f t="shared" si="9"/>
        <v>0.22699999999999998</v>
      </c>
      <c r="G63" s="762">
        <f t="shared" ca="1" si="9"/>
        <v>0.26700000000000007</v>
      </c>
      <c r="H63" s="762">
        <f t="shared" si="9"/>
        <v>0.26700000000000002</v>
      </c>
      <c r="I63" s="762">
        <f t="shared" si="9"/>
        <v>0.249</v>
      </c>
      <c r="J63" s="762">
        <f t="shared" si="9"/>
        <v>0</v>
      </c>
      <c r="K63" s="762">
        <f t="shared" si="9"/>
        <v>0.35400000000000004</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6305.2221377059532</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6305.2221377059532</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30018.844718265238</v>
      </c>
      <c r="C4" s="448">
        <f>huishoudens!C8</f>
        <v>0</v>
      </c>
      <c r="D4" s="448">
        <f>huishoudens!D8</f>
        <v>90041.654040148525</v>
      </c>
      <c r="E4" s="448">
        <f>huishoudens!E8</f>
        <v>1177.8143906961998</v>
      </c>
      <c r="F4" s="448">
        <f>huishoudens!F8</f>
        <v>36094.67882240293</v>
      </c>
      <c r="G4" s="448">
        <f>huishoudens!G8</f>
        <v>0</v>
      </c>
      <c r="H4" s="448">
        <f>huishoudens!H8</f>
        <v>0</v>
      </c>
      <c r="I4" s="448">
        <f>huishoudens!I8</f>
        <v>0</v>
      </c>
      <c r="J4" s="448">
        <f>huishoudens!J8</f>
        <v>683.56134609633011</v>
      </c>
      <c r="K4" s="448">
        <f>huishoudens!K8</f>
        <v>0</v>
      </c>
      <c r="L4" s="448">
        <f>huishoudens!L8</f>
        <v>0</v>
      </c>
      <c r="M4" s="448">
        <f>huishoudens!M8</f>
        <v>0</v>
      </c>
      <c r="N4" s="448">
        <f>huishoudens!N8</f>
        <v>11498.350022537534</v>
      </c>
      <c r="O4" s="448">
        <f>huishoudens!O8</f>
        <v>153.20666666666668</v>
      </c>
      <c r="P4" s="449">
        <f>huishoudens!P8</f>
        <v>114.4</v>
      </c>
      <c r="Q4" s="450">
        <f>SUM(B4:P4)</f>
        <v>169782.51000681345</v>
      </c>
    </row>
    <row r="5" spans="1:17">
      <c r="A5" s="447" t="s">
        <v>149</v>
      </c>
      <c r="B5" s="448">
        <f ca="1">tertiair!B16</f>
        <v>14881.489066403514</v>
      </c>
      <c r="C5" s="448">
        <f ca="1">tertiair!C16</f>
        <v>0</v>
      </c>
      <c r="D5" s="448">
        <f ca="1">tertiair!D16</f>
        <v>17206.688083391215</v>
      </c>
      <c r="E5" s="448">
        <f>tertiair!E16</f>
        <v>188.75437305852614</v>
      </c>
      <c r="F5" s="448">
        <f ca="1">tertiair!F16</f>
        <v>3096.3442118570374</v>
      </c>
      <c r="G5" s="448">
        <f>tertiair!G16</f>
        <v>0</v>
      </c>
      <c r="H5" s="448">
        <f>tertiair!H16</f>
        <v>0</v>
      </c>
      <c r="I5" s="448">
        <f>tertiair!I16</f>
        <v>0</v>
      </c>
      <c r="J5" s="448">
        <f>tertiair!J16</f>
        <v>0</v>
      </c>
      <c r="K5" s="448">
        <f>tertiair!K16</f>
        <v>0</v>
      </c>
      <c r="L5" s="448">
        <f ca="1">tertiair!L16</f>
        <v>0</v>
      </c>
      <c r="M5" s="448">
        <f>tertiair!M16</f>
        <v>0</v>
      </c>
      <c r="N5" s="448">
        <f ca="1">tertiair!N16</f>
        <v>1989.4625330528916</v>
      </c>
      <c r="O5" s="448">
        <f>tertiair!O16</f>
        <v>3.1266666666666669</v>
      </c>
      <c r="P5" s="449">
        <f>tertiair!P16</f>
        <v>19.066666666666666</v>
      </c>
      <c r="Q5" s="447">
        <f t="shared" ref="Q5:Q14" ca="1" si="0">SUM(B5:P5)</f>
        <v>37384.931601096512</v>
      </c>
    </row>
    <row r="6" spans="1:17">
      <c r="A6" s="447" t="s">
        <v>187</v>
      </c>
      <c r="B6" s="448">
        <f>'openbare verlichting'!B8</f>
        <v>1286.2750000000001</v>
      </c>
      <c r="C6" s="448"/>
      <c r="D6" s="448"/>
      <c r="E6" s="448"/>
      <c r="F6" s="448"/>
      <c r="G6" s="448"/>
      <c r="H6" s="448"/>
      <c r="I6" s="448"/>
      <c r="J6" s="448"/>
      <c r="K6" s="448"/>
      <c r="L6" s="448"/>
      <c r="M6" s="448"/>
      <c r="N6" s="448"/>
      <c r="O6" s="448"/>
      <c r="P6" s="449"/>
      <c r="Q6" s="447">
        <f t="shared" si="0"/>
        <v>1286.2750000000001</v>
      </c>
    </row>
    <row r="7" spans="1:17">
      <c r="A7" s="447" t="s">
        <v>105</v>
      </c>
      <c r="B7" s="448">
        <f>landbouw!B8</f>
        <v>3028.3044635346237</v>
      </c>
      <c r="C7" s="448">
        <f>landbouw!C8</f>
        <v>0</v>
      </c>
      <c r="D7" s="448">
        <f>landbouw!D8</f>
        <v>3238.2484697797063</v>
      </c>
      <c r="E7" s="448">
        <f>landbouw!E8</f>
        <v>38.160537489889549</v>
      </c>
      <c r="F7" s="448">
        <f>landbouw!F8</f>
        <v>10448.409034792903</v>
      </c>
      <c r="G7" s="448">
        <f>landbouw!G8</f>
        <v>0</v>
      </c>
      <c r="H7" s="448">
        <f>landbouw!H8</f>
        <v>0</v>
      </c>
      <c r="I7" s="448">
        <f>landbouw!I8</f>
        <v>0</v>
      </c>
      <c r="J7" s="448">
        <f>landbouw!J8</f>
        <v>455.42256676542138</v>
      </c>
      <c r="K7" s="448">
        <f>landbouw!K8</f>
        <v>0</v>
      </c>
      <c r="L7" s="448">
        <f>landbouw!L8</f>
        <v>0</v>
      </c>
      <c r="M7" s="448">
        <f>landbouw!M8</f>
        <v>0</v>
      </c>
      <c r="N7" s="448">
        <f>landbouw!N8</f>
        <v>0</v>
      </c>
      <c r="O7" s="448">
        <f>landbouw!O8</f>
        <v>0</v>
      </c>
      <c r="P7" s="449">
        <f>landbouw!P8</f>
        <v>0</v>
      </c>
      <c r="Q7" s="447">
        <f t="shared" si="0"/>
        <v>17208.545072362544</v>
      </c>
    </row>
    <row r="8" spans="1:17">
      <c r="A8" s="447" t="s">
        <v>639</v>
      </c>
      <c r="B8" s="448">
        <f>industrie!B18</f>
        <v>10898.64976607158</v>
      </c>
      <c r="C8" s="448">
        <f>industrie!C18</f>
        <v>0</v>
      </c>
      <c r="D8" s="448">
        <f>industrie!D18</f>
        <v>11697.644535584774</v>
      </c>
      <c r="E8" s="448">
        <f>industrie!E18</f>
        <v>1233.5922197664322</v>
      </c>
      <c r="F8" s="448">
        <f>industrie!F18</f>
        <v>8040.4615302107923</v>
      </c>
      <c r="G8" s="448">
        <f>industrie!G18</f>
        <v>0</v>
      </c>
      <c r="H8" s="448">
        <f>industrie!H18</f>
        <v>0</v>
      </c>
      <c r="I8" s="448">
        <f>industrie!I18</f>
        <v>0</v>
      </c>
      <c r="J8" s="448">
        <f>industrie!J18</f>
        <v>11.462877516304513</v>
      </c>
      <c r="K8" s="448">
        <f>industrie!K18</f>
        <v>0</v>
      </c>
      <c r="L8" s="448">
        <f>industrie!L18</f>
        <v>0</v>
      </c>
      <c r="M8" s="448">
        <f>industrie!M18</f>
        <v>0</v>
      </c>
      <c r="N8" s="448">
        <f>industrie!N18</f>
        <v>1455.8730630273387</v>
      </c>
      <c r="O8" s="448">
        <f>industrie!O18</f>
        <v>0</v>
      </c>
      <c r="P8" s="449">
        <f>industrie!P18</f>
        <v>0</v>
      </c>
      <c r="Q8" s="447">
        <f t="shared" si="0"/>
        <v>33337.683992177219</v>
      </c>
    </row>
    <row r="9" spans="1:17" s="453" customFormat="1">
      <c r="A9" s="451" t="s">
        <v>557</v>
      </c>
      <c r="B9" s="452">
        <f>transport!B14</f>
        <v>9.024703659268889</v>
      </c>
      <c r="C9" s="452">
        <f>transport!C14</f>
        <v>0</v>
      </c>
      <c r="D9" s="452">
        <f>transport!D14</f>
        <v>7.7831735874747361</v>
      </c>
      <c r="E9" s="452">
        <f>transport!E14</f>
        <v>310.1103233935454</v>
      </c>
      <c r="F9" s="452">
        <f>transport!F14</f>
        <v>0</v>
      </c>
      <c r="G9" s="452">
        <f>transport!G14</f>
        <v>96413.376663106596</v>
      </c>
      <c r="H9" s="452">
        <f>transport!H14</f>
        <v>13755.992971350135</v>
      </c>
      <c r="I9" s="452">
        <f>transport!I14</f>
        <v>0</v>
      </c>
      <c r="J9" s="452">
        <f>transport!J14</f>
        <v>0</v>
      </c>
      <c r="K9" s="452">
        <f>transport!K14</f>
        <v>0</v>
      </c>
      <c r="L9" s="452">
        <f>transport!L14</f>
        <v>0</v>
      </c>
      <c r="M9" s="452">
        <f>transport!M14</f>
        <v>4980.2153078914353</v>
      </c>
      <c r="N9" s="452">
        <f>transport!N14</f>
        <v>0</v>
      </c>
      <c r="O9" s="452">
        <f>transport!O14</f>
        <v>0</v>
      </c>
      <c r="P9" s="452">
        <f>transport!P14</f>
        <v>0</v>
      </c>
      <c r="Q9" s="451">
        <f>SUM(B9:P9)</f>
        <v>115476.50314298845</v>
      </c>
    </row>
    <row r="10" spans="1:17">
      <c r="A10" s="447" t="s">
        <v>547</v>
      </c>
      <c r="B10" s="448">
        <f>transport!B54</f>
        <v>1.4588055596245324</v>
      </c>
      <c r="C10" s="448">
        <f>transport!C54</f>
        <v>0</v>
      </c>
      <c r="D10" s="448">
        <f>transport!D54</f>
        <v>0</v>
      </c>
      <c r="E10" s="448">
        <f>transport!E54</f>
        <v>0</v>
      </c>
      <c r="F10" s="448">
        <f>transport!F54</f>
        <v>0</v>
      </c>
      <c r="G10" s="448">
        <f>transport!G54</f>
        <v>283.9482408106997</v>
      </c>
      <c r="H10" s="448">
        <f>transport!H54</f>
        <v>0</v>
      </c>
      <c r="I10" s="448">
        <f>transport!I54</f>
        <v>0</v>
      </c>
      <c r="J10" s="448">
        <f>transport!J54</f>
        <v>0</v>
      </c>
      <c r="K10" s="448">
        <f>transport!K54</f>
        <v>0</v>
      </c>
      <c r="L10" s="448">
        <f>transport!L54</f>
        <v>0</v>
      </c>
      <c r="M10" s="448">
        <f>transport!M54</f>
        <v>12.732477705456578</v>
      </c>
      <c r="N10" s="448">
        <f>transport!N54</f>
        <v>0</v>
      </c>
      <c r="O10" s="448">
        <f>transport!O54</f>
        <v>0</v>
      </c>
      <c r="P10" s="449">
        <f>transport!P54</f>
        <v>0</v>
      </c>
      <c r="Q10" s="447">
        <f t="shared" si="0"/>
        <v>298.1395240757808</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1035.9445701863301</v>
      </c>
      <c r="C14" s="455"/>
      <c r="D14" s="455">
        <f>'SEAP template'!E25</f>
        <v>4854.9260882932704</v>
      </c>
      <c r="E14" s="455"/>
      <c r="F14" s="455"/>
      <c r="G14" s="455"/>
      <c r="H14" s="455"/>
      <c r="I14" s="455"/>
      <c r="J14" s="455"/>
      <c r="K14" s="455"/>
      <c r="L14" s="455"/>
      <c r="M14" s="455"/>
      <c r="N14" s="455"/>
      <c r="O14" s="455"/>
      <c r="P14" s="456"/>
      <c r="Q14" s="447">
        <f t="shared" si="0"/>
        <v>5890.8706584796</v>
      </c>
    </row>
    <row r="15" spans="1:17" s="460" customFormat="1">
      <c r="A15" s="457" t="s">
        <v>551</v>
      </c>
      <c r="B15" s="458">
        <f ca="1">SUM(B4:B14)</f>
        <v>61159.991093680183</v>
      </c>
      <c r="C15" s="458">
        <f t="shared" ref="C15:Q15" ca="1" si="1">SUM(C4:C14)</f>
        <v>0</v>
      </c>
      <c r="D15" s="458">
        <f t="shared" ca="1" si="1"/>
        <v>127046.94439078496</v>
      </c>
      <c r="E15" s="458">
        <f t="shared" si="1"/>
        <v>2948.431844404593</v>
      </c>
      <c r="F15" s="458">
        <f t="shared" ca="1" si="1"/>
        <v>57679.893599263662</v>
      </c>
      <c r="G15" s="458">
        <f t="shared" si="1"/>
        <v>96697.324903917295</v>
      </c>
      <c r="H15" s="458">
        <f t="shared" si="1"/>
        <v>13755.992971350135</v>
      </c>
      <c r="I15" s="458">
        <f t="shared" si="1"/>
        <v>0</v>
      </c>
      <c r="J15" s="458">
        <f t="shared" si="1"/>
        <v>1150.446790378056</v>
      </c>
      <c r="K15" s="458">
        <f t="shared" si="1"/>
        <v>0</v>
      </c>
      <c r="L15" s="458">
        <f t="shared" ca="1" si="1"/>
        <v>0</v>
      </c>
      <c r="M15" s="458">
        <f t="shared" si="1"/>
        <v>4992.9477855968917</v>
      </c>
      <c r="N15" s="458">
        <f t="shared" ca="1" si="1"/>
        <v>14943.685618617765</v>
      </c>
      <c r="O15" s="458">
        <f t="shared" si="1"/>
        <v>156.33333333333334</v>
      </c>
      <c r="P15" s="458">
        <f t="shared" si="1"/>
        <v>133.46666666666667</v>
      </c>
      <c r="Q15" s="458">
        <f t="shared" ca="1" si="1"/>
        <v>380665.45899799356</v>
      </c>
    </row>
    <row r="17" spans="1:17">
      <c r="A17" s="461" t="s">
        <v>552</v>
      </c>
      <c r="B17" s="767">
        <f ca="1">huishoudens!B10</f>
        <v>0.19821624762340745</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5950.2227580442795</v>
      </c>
      <c r="C22" s="448">
        <f t="shared" ref="C22:C32" ca="1" si="3">C4*$C$17</f>
        <v>0</v>
      </c>
      <c r="D22" s="448">
        <f t="shared" ref="D22:D32" si="4">D4*$D$17</f>
        <v>18188.414116110001</v>
      </c>
      <c r="E22" s="448">
        <f t="shared" ref="E22:E32" si="5">E4*$E$17</f>
        <v>267.36386668803738</v>
      </c>
      <c r="F22" s="448">
        <f t="shared" ref="F22:F32" si="6">F4*$F$17</f>
        <v>9637.2792455815834</v>
      </c>
      <c r="G22" s="448">
        <f t="shared" ref="G22:G32" si="7">G4*$G$17</f>
        <v>0</v>
      </c>
      <c r="H22" s="448">
        <f t="shared" ref="H22:H32" si="8">H4*$H$17</f>
        <v>0</v>
      </c>
      <c r="I22" s="448">
        <f t="shared" ref="I22:I32" si="9">I4*$I$17</f>
        <v>0</v>
      </c>
      <c r="J22" s="448">
        <f t="shared" ref="J22:J32" si="10">J4*$J$17</f>
        <v>241.98071651810085</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34285.260702942003</v>
      </c>
    </row>
    <row r="23" spans="1:17">
      <c r="A23" s="447" t="s">
        <v>149</v>
      </c>
      <c r="B23" s="448">
        <f t="shared" ca="1" si="2"/>
        <v>2949.7529217912693</v>
      </c>
      <c r="C23" s="448">
        <f t="shared" ca="1" si="3"/>
        <v>0</v>
      </c>
      <c r="D23" s="448">
        <f t="shared" ca="1" si="4"/>
        <v>3475.7509928450254</v>
      </c>
      <c r="E23" s="448">
        <f t="shared" si="5"/>
        <v>42.847242684285433</v>
      </c>
      <c r="F23" s="448">
        <f t="shared" ca="1" si="6"/>
        <v>826.723904565829</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7295.0750618864085</v>
      </c>
    </row>
    <row r="24" spans="1:17">
      <c r="A24" s="447" t="s">
        <v>187</v>
      </c>
      <c r="B24" s="448">
        <f t="shared" ca="1" si="2"/>
        <v>254.96060391179844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254.96060391179844</v>
      </c>
    </row>
    <row r="25" spans="1:17">
      <c r="A25" s="447" t="s">
        <v>105</v>
      </c>
      <c r="B25" s="448">
        <f t="shared" ca="1" si="2"/>
        <v>600.25914742304906</v>
      </c>
      <c r="C25" s="448">
        <f t="shared" ca="1" si="3"/>
        <v>0</v>
      </c>
      <c r="D25" s="448">
        <f t="shared" si="4"/>
        <v>654.12619089550071</v>
      </c>
      <c r="E25" s="448">
        <f t="shared" si="5"/>
        <v>8.6624420102049271</v>
      </c>
      <c r="F25" s="448">
        <f t="shared" si="6"/>
        <v>2789.7252122897053</v>
      </c>
      <c r="G25" s="448">
        <f t="shared" si="7"/>
        <v>0</v>
      </c>
      <c r="H25" s="448">
        <f t="shared" si="8"/>
        <v>0</v>
      </c>
      <c r="I25" s="448">
        <f t="shared" si="9"/>
        <v>0</v>
      </c>
      <c r="J25" s="448">
        <f t="shared" si="10"/>
        <v>161.21958863495917</v>
      </c>
      <c r="K25" s="448">
        <f t="shared" si="11"/>
        <v>0</v>
      </c>
      <c r="L25" s="448">
        <f t="shared" si="12"/>
        <v>0</v>
      </c>
      <c r="M25" s="448">
        <f t="shared" si="13"/>
        <v>0</v>
      </c>
      <c r="N25" s="448">
        <f t="shared" si="14"/>
        <v>0</v>
      </c>
      <c r="O25" s="448">
        <f t="shared" si="15"/>
        <v>0</v>
      </c>
      <c r="P25" s="449">
        <f t="shared" si="16"/>
        <v>0</v>
      </c>
      <c r="Q25" s="447">
        <f t="shared" ca="1" si="17"/>
        <v>4213.9925812534193</v>
      </c>
    </row>
    <row r="26" spans="1:17">
      <c r="A26" s="447" t="s">
        <v>639</v>
      </c>
      <c r="B26" s="448">
        <f t="shared" ca="1" si="2"/>
        <v>2160.2894607924359</v>
      </c>
      <c r="C26" s="448">
        <f t="shared" ca="1" si="3"/>
        <v>0</v>
      </c>
      <c r="D26" s="448">
        <f t="shared" si="4"/>
        <v>2362.9241961881244</v>
      </c>
      <c r="E26" s="448">
        <f t="shared" si="5"/>
        <v>280.02543388698012</v>
      </c>
      <c r="F26" s="448">
        <f t="shared" si="6"/>
        <v>2146.8032285662816</v>
      </c>
      <c r="G26" s="448">
        <f t="shared" si="7"/>
        <v>0</v>
      </c>
      <c r="H26" s="448">
        <f t="shared" si="8"/>
        <v>0</v>
      </c>
      <c r="I26" s="448">
        <f t="shared" si="9"/>
        <v>0</v>
      </c>
      <c r="J26" s="448">
        <f t="shared" si="10"/>
        <v>4.0578586407717969</v>
      </c>
      <c r="K26" s="448">
        <f t="shared" si="11"/>
        <v>0</v>
      </c>
      <c r="L26" s="448">
        <f t="shared" si="12"/>
        <v>0</v>
      </c>
      <c r="M26" s="448">
        <f t="shared" si="13"/>
        <v>0</v>
      </c>
      <c r="N26" s="448">
        <f t="shared" si="14"/>
        <v>0</v>
      </c>
      <c r="O26" s="448">
        <f t="shared" si="15"/>
        <v>0</v>
      </c>
      <c r="P26" s="449">
        <f t="shared" si="16"/>
        <v>0</v>
      </c>
      <c r="Q26" s="447">
        <f t="shared" ca="1" si="17"/>
        <v>6954.1001780745937</v>
      </c>
    </row>
    <row r="27" spans="1:17" s="453" customFormat="1">
      <c r="A27" s="451" t="s">
        <v>557</v>
      </c>
      <c r="B27" s="761">
        <f t="shared" ca="1" si="2"/>
        <v>1.7888428952535134</v>
      </c>
      <c r="C27" s="452">
        <f t="shared" ca="1" si="3"/>
        <v>0</v>
      </c>
      <c r="D27" s="452">
        <f t="shared" si="4"/>
        <v>1.5722010646698967</v>
      </c>
      <c r="E27" s="452">
        <f t="shared" si="5"/>
        <v>70.395043410334807</v>
      </c>
      <c r="F27" s="452">
        <f t="shared" si="6"/>
        <v>0</v>
      </c>
      <c r="G27" s="452">
        <f t="shared" si="7"/>
        <v>25742.371569049461</v>
      </c>
      <c r="H27" s="452">
        <f t="shared" si="8"/>
        <v>3425.2422498661836</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29241.369906285901</v>
      </c>
    </row>
    <row r="28" spans="1:17">
      <c r="A28" s="447" t="s">
        <v>547</v>
      </c>
      <c r="B28" s="448">
        <f t="shared" ca="1" si="2"/>
        <v>0.28915896404093977</v>
      </c>
      <c r="C28" s="448">
        <f t="shared" ca="1" si="3"/>
        <v>0</v>
      </c>
      <c r="D28" s="448">
        <f t="shared" si="4"/>
        <v>0</v>
      </c>
      <c r="E28" s="448">
        <f t="shared" si="5"/>
        <v>0</v>
      </c>
      <c r="F28" s="448">
        <f t="shared" si="6"/>
        <v>0</v>
      </c>
      <c r="G28" s="448">
        <f t="shared" si="7"/>
        <v>75.814180296456826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76.103339260497762</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205.34104544817799</v>
      </c>
      <c r="C32" s="448">
        <f t="shared" ca="1" si="3"/>
        <v>0</v>
      </c>
      <c r="D32" s="448">
        <f t="shared" si="4"/>
        <v>980.6950698352407</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1186.0361152834187</v>
      </c>
    </row>
    <row r="33" spans="1:17" s="460" customFormat="1">
      <c r="A33" s="457" t="s">
        <v>551</v>
      </c>
      <c r="B33" s="458">
        <f ca="1">SUM(B22:B32)</f>
        <v>12122.903939270303</v>
      </c>
      <c r="C33" s="458">
        <f t="shared" ref="C33:Q33" ca="1" si="18">SUM(C22:C32)</f>
        <v>0</v>
      </c>
      <c r="D33" s="458">
        <f t="shared" ca="1" si="18"/>
        <v>25663.482766938567</v>
      </c>
      <c r="E33" s="458">
        <f t="shared" si="18"/>
        <v>669.29402867984265</v>
      </c>
      <c r="F33" s="458">
        <f t="shared" ca="1" si="18"/>
        <v>15400.531591003401</v>
      </c>
      <c r="G33" s="458">
        <f t="shared" si="18"/>
        <v>25818.185749345917</v>
      </c>
      <c r="H33" s="458">
        <f t="shared" si="18"/>
        <v>3425.2422498661836</v>
      </c>
      <c r="I33" s="458">
        <f t="shared" si="18"/>
        <v>0</v>
      </c>
      <c r="J33" s="458">
        <f t="shared" si="18"/>
        <v>407.25816379383178</v>
      </c>
      <c r="K33" s="458">
        <f t="shared" si="18"/>
        <v>0</v>
      </c>
      <c r="L33" s="458">
        <f t="shared" ca="1" si="18"/>
        <v>0</v>
      </c>
      <c r="M33" s="458">
        <f t="shared" si="18"/>
        <v>0</v>
      </c>
      <c r="N33" s="458">
        <f t="shared" ca="1" si="18"/>
        <v>0</v>
      </c>
      <c r="O33" s="458">
        <f t="shared" si="18"/>
        <v>0</v>
      </c>
      <c r="P33" s="458">
        <f t="shared" si="18"/>
        <v>0</v>
      </c>
      <c r="Q33" s="458">
        <f t="shared" ca="1" si="18"/>
        <v>83506.898488898049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6305.2221377059532</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6305.2221377059532</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0.19821624762340745</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0.19821624762340745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0.19821624762340745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0.19821624762340745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7645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3039</v>
      </c>
      <c r="C14" s="327"/>
      <c r="D14" s="327"/>
      <c r="E14" s="327"/>
      <c r="F14" s="327"/>
    </row>
    <row r="15" spans="1:6">
      <c r="A15" s="1296" t="s">
        <v>177</v>
      </c>
      <c r="B15" s="1297">
        <v>983</v>
      </c>
      <c r="C15" s="327"/>
      <c r="D15" s="327"/>
      <c r="E15" s="327"/>
      <c r="F15" s="327"/>
    </row>
    <row r="16" spans="1:6">
      <c r="A16" s="1296" t="s">
        <v>6</v>
      </c>
      <c r="B16" s="1297">
        <v>1239</v>
      </c>
      <c r="C16" s="327"/>
      <c r="D16" s="327"/>
      <c r="E16" s="327"/>
      <c r="F16" s="327"/>
    </row>
    <row r="17" spans="1:6">
      <c r="A17" s="1296" t="s">
        <v>7</v>
      </c>
      <c r="B17" s="1297">
        <v>938</v>
      </c>
      <c r="C17" s="327"/>
      <c r="D17" s="327"/>
      <c r="E17" s="327"/>
      <c r="F17" s="327"/>
    </row>
    <row r="18" spans="1:6">
      <c r="A18" s="1296" t="s">
        <v>8</v>
      </c>
      <c r="B18" s="1297">
        <v>1494</v>
      </c>
      <c r="C18" s="327"/>
      <c r="D18" s="327"/>
      <c r="E18" s="327"/>
      <c r="F18" s="327"/>
    </row>
    <row r="19" spans="1:6">
      <c r="A19" s="1296" t="s">
        <v>9</v>
      </c>
      <c r="B19" s="1297">
        <v>1451</v>
      </c>
      <c r="C19" s="327"/>
      <c r="D19" s="327"/>
      <c r="E19" s="327"/>
      <c r="F19" s="327"/>
    </row>
    <row r="20" spans="1:6">
      <c r="A20" s="1296" t="s">
        <v>10</v>
      </c>
      <c r="B20" s="1297">
        <v>995</v>
      </c>
      <c r="C20" s="327"/>
      <c r="D20" s="327"/>
      <c r="E20" s="327"/>
      <c r="F20" s="327"/>
    </row>
    <row r="21" spans="1:6">
      <c r="A21" s="1296" t="s">
        <v>11</v>
      </c>
      <c r="B21" s="1297">
        <v>9751</v>
      </c>
      <c r="C21" s="327"/>
      <c r="D21" s="327"/>
      <c r="E21" s="327"/>
      <c r="F21" s="327"/>
    </row>
    <row r="22" spans="1:6">
      <c r="A22" s="1296" t="s">
        <v>12</v>
      </c>
      <c r="B22" s="1297">
        <v>24189</v>
      </c>
      <c r="C22" s="327"/>
      <c r="D22" s="327"/>
      <c r="E22" s="327"/>
      <c r="F22" s="327"/>
    </row>
    <row r="23" spans="1:6">
      <c r="A23" s="1296" t="s">
        <v>13</v>
      </c>
      <c r="B23" s="1297">
        <v>433</v>
      </c>
      <c r="C23" s="327"/>
      <c r="D23" s="327"/>
      <c r="E23" s="327"/>
      <c r="F23" s="327"/>
    </row>
    <row r="24" spans="1:6">
      <c r="A24" s="1296" t="s">
        <v>14</v>
      </c>
      <c r="B24" s="1297">
        <v>17</v>
      </c>
      <c r="C24" s="327"/>
      <c r="D24" s="327"/>
      <c r="E24" s="327"/>
      <c r="F24" s="327"/>
    </row>
    <row r="25" spans="1:6">
      <c r="A25" s="1296" t="s">
        <v>15</v>
      </c>
      <c r="B25" s="1297">
        <v>2353</v>
      </c>
      <c r="C25" s="327"/>
      <c r="D25" s="327"/>
      <c r="E25" s="327"/>
      <c r="F25" s="327"/>
    </row>
    <row r="26" spans="1:6">
      <c r="A26" s="1296" t="s">
        <v>16</v>
      </c>
      <c r="B26" s="1297">
        <v>104</v>
      </c>
      <c r="C26" s="327"/>
      <c r="D26" s="327"/>
      <c r="E26" s="327"/>
      <c r="F26" s="327"/>
    </row>
    <row r="27" spans="1:6">
      <c r="A27" s="1296" t="s">
        <v>17</v>
      </c>
      <c r="B27" s="1297">
        <v>4</v>
      </c>
      <c r="C27" s="327"/>
      <c r="D27" s="327"/>
      <c r="E27" s="327"/>
      <c r="F27" s="327"/>
    </row>
    <row r="28" spans="1:6">
      <c r="A28" s="1296" t="s">
        <v>18</v>
      </c>
      <c r="B28" s="1298">
        <v>306195</v>
      </c>
      <c r="C28" s="327"/>
      <c r="D28" s="327"/>
      <c r="E28" s="327"/>
      <c r="F28" s="327"/>
    </row>
    <row r="29" spans="1:6">
      <c r="A29" s="1296" t="s">
        <v>922</v>
      </c>
      <c r="B29" s="1298">
        <v>184</v>
      </c>
      <c r="C29" s="327"/>
      <c r="D29" s="327"/>
      <c r="E29" s="327"/>
      <c r="F29" s="327"/>
    </row>
    <row r="30" spans="1:6">
      <c r="A30" s="1291" t="s">
        <v>923</v>
      </c>
      <c r="B30" s="1299">
        <v>5</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16356.237232990799</v>
      </c>
      <c r="E38" s="1297">
        <v>4</v>
      </c>
      <c r="F38" s="1297">
        <v>89472.510015374006</v>
      </c>
    </row>
    <row r="39" spans="1:6">
      <c r="A39" s="1296" t="s">
        <v>29</v>
      </c>
      <c r="B39" s="1296" t="s">
        <v>30</v>
      </c>
      <c r="C39" s="1297">
        <v>5882</v>
      </c>
      <c r="D39" s="1297">
        <v>99824450.155375302</v>
      </c>
      <c r="E39" s="1297">
        <v>7397</v>
      </c>
      <c r="F39" s="1297">
        <v>27064133.8237908</v>
      </c>
    </row>
    <row r="40" spans="1:6">
      <c r="A40" s="1296" t="s">
        <v>29</v>
      </c>
      <c r="B40" s="1296" t="s">
        <v>28</v>
      </c>
      <c r="C40" s="1297">
        <v>0</v>
      </c>
      <c r="D40" s="1297">
        <v>0</v>
      </c>
      <c r="E40" s="1297">
        <v>0</v>
      </c>
      <c r="F40" s="1297">
        <v>0</v>
      </c>
    </row>
    <row r="41" spans="1:6">
      <c r="A41" s="1296" t="s">
        <v>31</v>
      </c>
      <c r="B41" s="1296" t="s">
        <v>32</v>
      </c>
      <c r="C41" s="1297">
        <v>51</v>
      </c>
      <c r="D41" s="1297">
        <v>1171549.1641200201</v>
      </c>
      <c r="E41" s="1297">
        <v>135</v>
      </c>
      <c r="F41" s="1297">
        <v>2546227.2528500101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12</v>
      </c>
      <c r="F44" s="1297">
        <v>417198.18851720798</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33</v>
      </c>
      <c r="D48" s="1297">
        <v>7857819.9079017797</v>
      </c>
      <c r="E48" s="1297">
        <v>34</v>
      </c>
      <c r="F48" s="1297">
        <v>4454369.8471467802</v>
      </c>
    </row>
    <row r="49" spans="1:6">
      <c r="A49" s="1296" t="s">
        <v>31</v>
      </c>
      <c r="B49" s="1296" t="s">
        <v>39</v>
      </c>
      <c r="C49" s="1297">
        <v>0</v>
      </c>
      <c r="D49" s="1297">
        <v>0</v>
      </c>
      <c r="E49" s="1297">
        <v>0</v>
      </c>
      <c r="F49" s="1297">
        <v>0</v>
      </c>
    </row>
    <row r="50" spans="1:6">
      <c r="A50" s="1296" t="s">
        <v>31</v>
      </c>
      <c r="B50" s="1296" t="s">
        <v>40</v>
      </c>
      <c r="C50" s="1297">
        <v>16</v>
      </c>
      <c r="D50" s="1297">
        <v>3939194.7146575502</v>
      </c>
      <c r="E50" s="1297">
        <v>18</v>
      </c>
      <c r="F50" s="1297">
        <v>3480854.47755758</v>
      </c>
    </row>
    <row r="51" spans="1:6">
      <c r="A51" s="1296" t="s">
        <v>41</v>
      </c>
      <c r="B51" s="1296" t="s">
        <v>42</v>
      </c>
      <c r="C51" s="1297">
        <v>7</v>
      </c>
      <c r="D51" s="1297">
        <v>810020.14838640101</v>
      </c>
      <c r="E51" s="1297">
        <v>118</v>
      </c>
      <c r="F51" s="1297">
        <v>2512074.4875316899</v>
      </c>
    </row>
    <row r="52" spans="1:6">
      <c r="A52" s="1296" t="s">
        <v>41</v>
      </c>
      <c r="B52" s="1296" t="s">
        <v>28</v>
      </c>
      <c r="C52" s="1297">
        <v>9</v>
      </c>
      <c r="D52" s="1297">
        <v>2780055.7604602799</v>
      </c>
      <c r="E52" s="1297">
        <v>11</v>
      </c>
      <c r="F52" s="1297">
        <v>516229.97600293398</v>
      </c>
    </row>
    <row r="53" spans="1:6">
      <c r="A53" s="1296" t="s">
        <v>43</v>
      </c>
      <c r="B53" s="1296" t="s">
        <v>44</v>
      </c>
      <c r="C53" s="1297">
        <v>152</v>
      </c>
      <c r="D53" s="1297">
        <v>4854926.0882932702</v>
      </c>
      <c r="E53" s="1297">
        <v>192</v>
      </c>
      <c r="F53" s="1297">
        <v>1035944.57018633</v>
      </c>
    </row>
    <row r="54" spans="1:6">
      <c r="A54" s="1296" t="s">
        <v>45</v>
      </c>
      <c r="B54" s="1296" t="s">
        <v>46</v>
      </c>
      <c r="C54" s="1297">
        <v>0</v>
      </c>
      <c r="D54" s="1297">
        <v>0</v>
      </c>
      <c r="E54" s="1297">
        <v>1</v>
      </c>
      <c r="F54" s="1297">
        <v>1286275</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45</v>
      </c>
      <c r="D57" s="1297">
        <v>3662441.5038348599</v>
      </c>
      <c r="E57" s="1297">
        <v>145</v>
      </c>
      <c r="F57" s="1297">
        <v>2588366.0146192401</v>
      </c>
    </row>
    <row r="58" spans="1:6">
      <c r="A58" s="1296" t="s">
        <v>48</v>
      </c>
      <c r="B58" s="1296" t="s">
        <v>50</v>
      </c>
      <c r="C58" s="1297">
        <v>20</v>
      </c>
      <c r="D58" s="1297">
        <v>702988.07982810203</v>
      </c>
      <c r="E58" s="1297">
        <v>26</v>
      </c>
      <c r="F58" s="1297">
        <v>830557.407655783</v>
      </c>
    </row>
    <row r="59" spans="1:6">
      <c r="A59" s="1296" t="s">
        <v>48</v>
      </c>
      <c r="B59" s="1296" t="s">
        <v>51</v>
      </c>
      <c r="C59" s="1297">
        <v>80</v>
      </c>
      <c r="D59" s="1297">
        <v>3012732.8788223402</v>
      </c>
      <c r="E59" s="1297">
        <v>178</v>
      </c>
      <c r="F59" s="1297">
        <v>4101622.83536105</v>
      </c>
    </row>
    <row r="60" spans="1:6">
      <c r="A60" s="1296" t="s">
        <v>48</v>
      </c>
      <c r="B60" s="1296" t="s">
        <v>52</v>
      </c>
      <c r="C60" s="1297">
        <v>53</v>
      </c>
      <c r="D60" s="1297">
        <v>1948663.4538688201</v>
      </c>
      <c r="E60" s="1297">
        <v>73</v>
      </c>
      <c r="F60" s="1297">
        <v>1376610.4873756601</v>
      </c>
    </row>
    <row r="61" spans="1:6">
      <c r="A61" s="1296" t="s">
        <v>48</v>
      </c>
      <c r="B61" s="1296" t="s">
        <v>53</v>
      </c>
      <c r="C61" s="1297">
        <v>107</v>
      </c>
      <c r="D61" s="1297">
        <v>2294346.4564761398</v>
      </c>
      <c r="E61" s="1297">
        <v>242</v>
      </c>
      <c r="F61" s="1297">
        <v>3556993.36835548</v>
      </c>
    </row>
    <row r="62" spans="1:6">
      <c r="A62" s="1296" t="s">
        <v>48</v>
      </c>
      <c r="B62" s="1296" t="s">
        <v>54</v>
      </c>
      <c r="C62" s="1297">
        <v>14</v>
      </c>
      <c r="D62" s="1297">
        <v>1827473.74685953</v>
      </c>
      <c r="E62" s="1297">
        <v>14</v>
      </c>
      <c r="F62" s="1297">
        <v>353655.50260200101</v>
      </c>
    </row>
    <row r="63" spans="1:6">
      <c r="A63" s="1296" t="s">
        <v>48</v>
      </c>
      <c r="B63" s="1296" t="s">
        <v>28</v>
      </c>
      <c r="C63" s="1297">
        <v>101</v>
      </c>
      <c r="D63" s="1297">
        <v>5627504.7488148799</v>
      </c>
      <c r="E63" s="1297">
        <v>85</v>
      </c>
      <c r="F63" s="1297">
        <v>2073683.4504342999</v>
      </c>
    </row>
    <row r="64" spans="1:6">
      <c r="A64" s="1296" t="s">
        <v>55</v>
      </c>
      <c r="B64" s="1296" t="s">
        <v>56</v>
      </c>
      <c r="C64" s="1297">
        <v>0</v>
      </c>
      <c r="D64" s="1297">
        <v>0</v>
      </c>
      <c r="E64" s="1297">
        <v>0</v>
      </c>
      <c r="F64" s="1297">
        <v>0</v>
      </c>
    </row>
    <row r="65" spans="1:6">
      <c r="A65" s="1296" t="s">
        <v>55</v>
      </c>
      <c r="B65" s="1296" t="s">
        <v>28</v>
      </c>
      <c r="C65" s="1297">
        <v>0</v>
      </c>
      <c r="D65" s="1297">
        <v>0</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3</v>
      </c>
      <c r="D68" s="1299">
        <v>68018.127318028899</v>
      </c>
      <c r="E68" s="1299">
        <v>9</v>
      </c>
      <c r="F68" s="1299">
        <v>269745.67022362701</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51496669</v>
      </c>
      <c r="E73" s="446"/>
      <c r="F73" s="327"/>
    </row>
    <row r="74" spans="1:6">
      <c r="A74" s="1296" t="s">
        <v>63</v>
      </c>
      <c r="B74" s="1296" t="s">
        <v>706</v>
      </c>
      <c r="C74" s="1309" t="s">
        <v>707</v>
      </c>
      <c r="D74" s="1297">
        <v>6262863.6434493223</v>
      </c>
      <c r="E74" s="446"/>
      <c r="F74" s="327"/>
    </row>
    <row r="75" spans="1:6">
      <c r="A75" s="1296" t="s">
        <v>64</v>
      </c>
      <c r="B75" s="1296" t="s">
        <v>704</v>
      </c>
      <c r="C75" s="1309" t="s">
        <v>708</v>
      </c>
      <c r="D75" s="1297">
        <v>6075392</v>
      </c>
      <c r="E75" s="446"/>
      <c r="F75" s="327"/>
    </row>
    <row r="76" spans="1:6">
      <c r="A76" s="1296" t="s">
        <v>64</v>
      </c>
      <c r="B76" s="1296" t="s">
        <v>706</v>
      </c>
      <c r="C76" s="1309" t="s">
        <v>709</v>
      </c>
      <c r="D76" s="1297">
        <v>146133.64344932273</v>
      </c>
      <c r="E76" s="446"/>
      <c r="F76" s="327"/>
    </row>
    <row r="77" spans="1:6">
      <c r="A77" s="1296" t="s">
        <v>65</v>
      </c>
      <c r="B77" s="1296" t="s">
        <v>704</v>
      </c>
      <c r="C77" s="1309" t="s">
        <v>710</v>
      </c>
      <c r="D77" s="1297">
        <v>59225144</v>
      </c>
      <c r="E77" s="446"/>
      <c r="F77" s="327"/>
    </row>
    <row r="78" spans="1:6">
      <c r="A78" s="1291" t="s">
        <v>65</v>
      </c>
      <c r="B78" s="1291" t="s">
        <v>706</v>
      </c>
      <c r="C78" s="1291" t="s">
        <v>711</v>
      </c>
      <c r="D78" s="1299">
        <v>8521718</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78908.713101354529</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2954.7108944744386</v>
      </c>
      <c r="C91" s="327"/>
      <c r="D91" s="327"/>
      <c r="E91" s="327"/>
      <c r="F91" s="327"/>
    </row>
    <row r="92" spans="1:6">
      <c r="A92" s="1291" t="s">
        <v>68</v>
      </c>
      <c r="B92" s="1292">
        <v>3350.5112432315145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4275</v>
      </c>
      <c r="C97" s="327"/>
      <c r="D97" s="327"/>
      <c r="E97" s="327"/>
      <c r="F97" s="327"/>
    </row>
    <row r="98" spans="1:6">
      <c r="A98" s="1296" t="s">
        <v>71</v>
      </c>
      <c r="B98" s="1297">
        <v>0</v>
      </c>
      <c r="C98" s="327"/>
      <c r="D98" s="327"/>
      <c r="E98" s="327"/>
      <c r="F98" s="327"/>
    </row>
    <row r="99" spans="1:6">
      <c r="A99" s="1296" t="s">
        <v>72</v>
      </c>
      <c r="B99" s="1297">
        <v>150</v>
      </c>
      <c r="C99" s="327"/>
      <c r="D99" s="327"/>
      <c r="E99" s="327"/>
      <c r="F99" s="327"/>
    </row>
    <row r="100" spans="1:6">
      <c r="A100" s="1296" t="s">
        <v>73</v>
      </c>
      <c r="B100" s="1297">
        <v>542</v>
      </c>
      <c r="C100" s="327"/>
      <c r="D100" s="327"/>
      <c r="E100" s="327"/>
      <c r="F100" s="327"/>
    </row>
    <row r="101" spans="1:6">
      <c r="A101" s="1296" t="s">
        <v>74</v>
      </c>
      <c r="B101" s="1297">
        <v>119</v>
      </c>
      <c r="C101" s="327"/>
      <c r="D101" s="327"/>
      <c r="E101" s="327"/>
      <c r="F101" s="327"/>
    </row>
    <row r="102" spans="1:6">
      <c r="A102" s="1296" t="s">
        <v>75</v>
      </c>
      <c r="B102" s="1297">
        <v>92</v>
      </c>
      <c r="C102" s="327"/>
      <c r="D102" s="327"/>
      <c r="E102" s="327"/>
      <c r="F102" s="327"/>
    </row>
    <row r="103" spans="1:6">
      <c r="A103" s="1296" t="s">
        <v>76</v>
      </c>
      <c r="B103" s="1297">
        <v>391</v>
      </c>
      <c r="C103" s="327"/>
      <c r="D103" s="327"/>
      <c r="E103" s="327"/>
      <c r="F103" s="327"/>
    </row>
    <row r="104" spans="1:6">
      <c r="A104" s="1296" t="s">
        <v>77</v>
      </c>
      <c r="B104" s="1297">
        <v>1284</v>
      </c>
      <c r="C104" s="327"/>
      <c r="D104" s="327"/>
      <c r="E104" s="327"/>
      <c r="F104" s="327"/>
    </row>
    <row r="105" spans="1:6">
      <c r="A105" s="1291"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4</v>
      </c>
      <c r="C123" s="1297">
        <v>5</v>
      </c>
      <c r="D123" s="327"/>
      <c r="E123" s="327"/>
      <c r="F123" s="327"/>
    </row>
    <row r="124" spans="1:6">
      <c r="A124" s="1296" t="s">
        <v>88</v>
      </c>
      <c r="B124" s="1297">
        <v>1</v>
      </c>
      <c r="C124" s="1297">
        <v>1</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92</v>
      </c>
      <c r="C129" s="327"/>
      <c r="D129" s="327"/>
      <c r="E129" s="327"/>
      <c r="F129" s="327"/>
    </row>
    <row r="130" spans="1:6">
      <c r="A130" s="1296" t="s">
        <v>284</v>
      </c>
      <c r="B130" s="1297">
        <v>2</v>
      </c>
      <c r="C130" s="327"/>
      <c r="D130" s="327"/>
      <c r="E130" s="327"/>
      <c r="F130" s="327"/>
    </row>
    <row r="131" spans="1:6">
      <c r="A131" s="1296" t="s">
        <v>285</v>
      </c>
      <c r="B131" s="1297">
        <v>1</v>
      </c>
      <c r="C131" s="327"/>
      <c r="D131" s="327"/>
      <c r="E131" s="327"/>
      <c r="F131" s="327"/>
    </row>
    <row r="132" spans="1:6">
      <c r="A132" s="1291" t="s">
        <v>286</v>
      </c>
      <c r="B132" s="1292">
        <v>1</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61159.991093680175</v>
      </c>
      <c r="C3" s="43" t="s">
        <v>163</v>
      </c>
      <c r="D3" s="43"/>
      <c r="E3" s="156"/>
      <c r="F3" s="43"/>
      <c r="G3" s="43"/>
      <c r="H3" s="43"/>
      <c r="I3" s="43"/>
      <c r="J3" s="43"/>
      <c r="K3" s="96"/>
    </row>
    <row r="4" spans="1:11">
      <c r="A4" s="353" t="s">
        <v>164</v>
      </c>
      <c r="B4" s="49">
        <f>IF(ISERROR('SEAP template'!B78+'SEAP template'!C78),0,'SEAP template'!B78+'SEAP template'!C78)</f>
        <v>6305.2221377059532</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0.19821624762340745</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1286.2750000000001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1286.2750000000001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0.19821624762340745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254.96060391179844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27064.133823790798</v>
      </c>
      <c r="C5" s="17">
        <f>IF(ISERROR('Eigen informatie GS &amp; warmtenet'!B57),0,'Eigen informatie GS &amp; warmtenet'!B57)</f>
        <v>0</v>
      </c>
      <c r="D5" s="30">
        <f>(SUM(HH_hh_gas_kWh,HH_rest_gas_kWh)/1000)*0.902</f>
        <v>90041.654040148525</v>
      </c>
      <c r="E5" s="17">
        <f>B32*B41</f>
        <v>1177.8143906961998</v>
      </c>
      <c r="F5" s="17">
        <f>B36*B45</f>
        <v>36094.67882240293</v>
      </c>
      <c r="G5" s="18"/>
      <c r="H5" s="17"/>
      <c r="I5" s="17"/>
      <c r="J5" s="17">
        <f>B35*B44+C35*C44</f>
        <v>683.56134609633011</v>
      </c>
      <c r="K5" s="17"/>
      <c r="L5" s="17"/>
      <c r="M5" s="17"/>
      <c r="N5" s="17">
        <f>B34*B43+C34*C43</f>
        <v>11498.350022537534</v>
      </c>
      <c r="O5" s="17">
        <f>B52*B53*B54</f>
        <v>153.20666666666668</v>
      </c>
      <c r="P5" s="17">
        <f>B60*B61*B62/1000-B60*B61*B62/1000/B63</f>
        <v>114.4</v>
      </c>
    </row>
    <row r="6" spans="1:16">
      <c r="A6" s="16" t="s">
        <v>617</v>
      </c>
      <c r="B6" s="769">
        <f>kWh_PV_kleiner_dan_10kW</f>
        <v>2954.7108944744386</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30018.844718265238</v>
      </c>
      <c r="C8" s="21">
        <f>C5</f>
        <v>0</v>
      </c>
      <c r="D8" s="21">
        <f>D5</f>
        <v>90041.654040148525</v>
      </c>
      <c r="E8" s="21">
        <f>E5</f>
        <v>1177.8143906961998</v>
      </c>
      <c r="F8" s="21">
        <f>F5</f>
        <v>36094.67882240293</v>
      </c>
      <c r="G8" s="21"/>
      <c r="H8" s="21"/>
      <c r="I8" s="21"/>
      <c r="J8" s="21">
        <f>J5</f>
        <v>683.56134609633011</v>
      </c>
      <c r="K8" s="21"/>
      <c r="L8" s="21">
        <f>L5</f>
        <v>0</v>
      </c>
      <c r="M8" s="21">
        <f>M5</f>
        <v>0</v>
      </c>
      <c r="N8" s="21">
        <f>N5</f>
        <v>11498.350022537534</v>
      </c>
      <c r="O8" s="21">
        <f>O5</f>
        <v>153.20666666666668</v>
      </c>
      <c r="P8" s="21">
        <f>P5</f>
        <v>114.4</v>
      </c>
    </row>
    <row r="9" spans="1:16">
      <c r="B9" s="19"/>
      <c r="C9" s="19"/>
      <c r="D9" s="257"/>
      <c r="E9" s="19"/>
      <c r="F9" s="19"/>
      <c r="G9" s="19"/>
      <c r="H9" s="19"/>
      <c r="I9" s="19"/>
      <c r="J9" s="19"/>
      <c r="K9" s="19"/>
      <c r="L9" s="19"/>
      <c r="M9" s="19"/>
      <c r="N9" s="19"/>
      <c r="O9" s="19"/>
      <c r="P9" s="19"/>
    </row>
    <row r="10" spans="1:16">
      <c r="A10" s="24" t="s">
        <v>207</v>
      </c>
      <c r="B10" s="25">
        <f ca="1">'EF ele_warmte'!B12</f>
        <v>0.19821624762340745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5950.2227580442795</v>
      </c>
      <c r="C12" s="23">
        <f ca="1">C10*C8</f>
        <v>0</v>
      </c>
      <c r="D12" s="23">
        <f>D8*D10</f>
        <v>18188.414116110001</v>
      </c>
      <c r="E12" s="23">
        <f>E10*E8</f>
        <v>267.36386668803738</v>
      </c>
      <c r="F12" s="23">
        <f>F10*F8</f>
        <v>9637.2792455815834</v>
      </c>
      <c r="G12" s="23"/>
      <c r="H12" s="23"/>
      <c r="I12" s="23"/>
      <c r="J12" s="23">
        <f>J10*J8</f>
        <v>241.98071651810085</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7645</v>
      </c>
      <c r="C26" s="36"/>
      <c r="D26" s="227"/>
    </row>
    <row r="27" spans="1:5" s="15" customFormat="1">
      <c r="A27" s="229" t="s">
        <v>722</v>
      </c>
      <c r="B27" s="37">
        <f>SUM(HH_hh_gas_aantal,HH_rest_gas_aantal)</f>
        <v>5882</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5587.9</v>
      </c>
      <c r="C31" s="34" t="s">
        <v>104</v>
      </c>
      <c r="D31" s="173"/>
    </row>
    <row r="32" spans="1:5">
      <c r="A32" s="170" t="s">
        <v>72</v>
      </c>
      <c r="B32" s="33">
        <f>IF((B21*($B$26-($B$27-0.05*$B$27)-$B$60))&lt;0,0,B21*($B$26-($B$27-0.05*$B$27)-$B$60))</f>
        <v>51.36274793430664</v>
      </c>
      <c r="C32" s="34" t="s">
        <v>104</v>
      </c>
      <c r="D32" s="173"/>
    </row>
    <row r="33" spans="1:6">
      <c r="A33" s="170" t="s">
        <v>73</v>
      </c>
      <c r="B33" s="33">
        <f>IF((B22*($B$26-($B$27-0.05*$B$27)-$B$60))&lt;0,0,B22*($B$26-($B$27-0.05*$B$27)-$B$60))</f>
        <v>345.73153385780677</v>
      </c>
      <c r="C33" s="34" t="s">
        <v>104</v>
      </c>
      <c r="D33" s="173"/>
    </row>
    <row r="34" spans="1:6">
      <c r="A34" s="170" t="s">
        <v>74</v>
      </c>
      <c r="B34" s="33">
        <f>IF((B24*($B$26-($B$27-0.05*$B$27)-$B$60))&lt;0,0,B24*($B$26-($B$27-0.05*$B$27)-$B$60))</f>
        <v>87.716776363966233</v>
      </c>
      <c r="C34" s="33">
        <f>B26*C24</f>
        <v>1563.8617170220145</v>
      </c>
      <c r="D34" s="232"/>
    </row>
    <row r="35" spans="1:6">
      <c r="A35" s="170" t="s">
        <v>76</v>
      </c>
      <c r="B35" s="33">
        <f>IF((B19*($B$26-($B$27-0.05*$B$27)-$B$60))&lt;0,0,B19*($B$26-($B$27-0.05*$B$27)-$B$60))</f>
        <v>32.598435391639683</v>
      </c>
      <c r="C35" s="33">
        <f>B35/2</f>
        <v>16.299217695819841</v>
      </c>
      <c r="D35" s="232"/>
    </row>
    <row r="36" spans="1:6">
      <c r="A36" s="170" t="s">
        <v>77</v>
      </c>
      <c r="B36" s="33">
        <f>IF((B18*($B$26-($B$27-0.05*$B$27)-$B$60))&lt;0,0,B18*($B$26-($B$27-0.05*$B$27)-$B$60))</f>
        <v>1533.6905064522812</v>
      </c>
      <c r="C36" s="34" t="s">
        <v>104</v>
      </c>
      <c r="D36" s="173"/>
    </row>
    <row r="37" spans="1:6">
      <c r="A37" s="170" t="s">
        <v>78</v>
      </c>
      <c r="B37" s="33">
        <f>B60</f>
        <v>6</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98</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6</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14881.489066403514</v>
      </c>
      <c r="C5" s="17">
        <f>IF(ISERROR('Eigen informatie GS &amp; warmtenet'!B58),0,'Eigen informatie GS &amp; warmtenet'!B58)</f>
        <v>0</v>
      </c>
      <c r="D5" s="30">
        <f>SUM(D6:D12)</f>
        <v>17206.688083391215</v>
      </c>
      <c r="E5" s="17">
        <f>SUM(E6:E12)</f>
        <v>188.75437305852614</v>
      </c>
      <c r="F5" s="17">
        <f>SUM(F6:F12)</f>
        <v>3096.3442118570374</v>
      </c>
      <c r="G5" s="18"/>
      <c r="H5" s="17"/>
      <c r="I5" s="17"/>
      <c r="J5" s="17">
        <f>SUM(J6:J12)</f>
        <v>0</v>
      </c>
      <c r="K5" s="17"/>
      <c r="L5" s="17"/>
      <c r="M5" s="17"/>
      <c r="N5" s="17">
        <f>SUM(N6:N12)</f>
        <v>1989.4625330528916</v>
      </c>
      <c r="O5" s="17">
        <f>B38*B39*B40</f>
        <v>3.1266666666666669</v>
      </c>
      <c r="P5" s="17">
        <f>B46*B47*B48/1000-B46*B47*B48/1000/B49</f>
        <v>19.066666666666666</v>
      </c>
      <c r="R5" s="32"/>
    </row>
    <row r="6" spans="1:18">
      <c r="A6" s="32" t="s">
        <v>53</v>
      </c>
      <c r="B6" s="37">
        <f>B26</f>
        <v>3556.99336835548</v>
      </c>
      <c r="C6" s="33"/>
      <c r="D6" s="37">
        <f>IF(ISERROR(TER_kantoor_gas_kWh/1000),0,TER_kantoor_gas_kWh/1000)*0.902</f>
        <v>2069.500503741478</v>
      </c>
      <c r="E6" s="33">
        <f>$C$26*'E Balans VL '!I12/100/3.6*1000000</f>
        <v>13.819672295434009</v>
      </c>
      <c r="F6" s="33">
        <f>$C$26*('E Balans VL '!L12+'E Balans VL '!N12)/100/3.6*1000000</f>
        <v>540.98632526766266</v>
      </c>
      <c r="G6" s="34"/>
      <c r="H6" s="33"/>
      <c r="I6" s="33"/>
      <c r="J6" s="33">
        <f>$C$26*('E Balans VL '!D12+'E Balans VL '!E12)/100/3.6*1000000</f>
        <v>0</v>
      </c>
      <c r="K6" s="33"/>
      <c r="L6" s="33"/>
      <c r="M6" s="33"/>
      <c r="N6" s="33">
        <f>$C$26*'E Balans VL '!Y12/100/3.6*1000000</f>
        <v>1.9603294632754318</v>
      </c>
      <c r="O6" s="33"/>
      <c r="P6" s="33"/>
      <c r="R6" s="32"/>
    </row>
    <row r="7" spans="1:18">
      <c r="A7" s="32" t="s">
        <v>52</v>
      </c>
      <c r="B7" s="37">
        <f t="shared" ref="B7:B12" si="0">B27</f>
        <v>1376.6104873756601</v>
      </c>
      <c r="C7" s="33"/>
      <c r="D7" s="37">
        <f>IF(ISERROR(TER_horeca_gas_kWh/1000),0,TER_horeca_gas_kWh/1000)*0.902</f>
        <v>1757.6944353896758</v>
      </c>
      <c r="E7" s="33">
        <f>$C$27*'E Balans VL '!I9/100/3.6*1000000</f>
        <v>77.544836798536693</v>
      </c>
      <c r="F7" s="33">
        <f>$C$27*('E Balans VL '!L9+'E Balans VL '!N9)/100/3.6*1000000</f>
        <v>396.93204857170088</v>
      </c>
      <c r="G7" s="34"/>
      <c r="H7" s="33"/>
      <c r="I7" s="33"/>
      <c r="J7" s="33">
        <f>$C$27*('E Balans VL '!D9+'E Balans VL '!E9)/100/3.6*1000000</f>
        <v>0</v>
      </c>
      <c r="K7" s="33"/>
      <c r="L7" s="33"/>
      <c r="M7" s="33"/>
      <c r="N7" s="33">
        <f>$C$27*'E Balans VL '!Y9/100/3.6*1000000</f>
        <v>0.3800750020232726</v>
      </c>
      <c r="O7" s="33"/>
      <c r="P7" s="33"/>
      <c r="R7" s="32"/>
    </row>
    <row r="8" spans="1:18">
      <c r="A8" s="6" t="s">
        <v>51</v>
      </c>
      <c r="B8" s="37">
        <f t="shared" si="0"/>
        <v>4101.6228353610504</v>
      </c>
      <c r="C8" s="33"/>
      <c r="D8" s="37">
        <f>IF(ISERROR(TER_handel_gas_kWh/1000),0,TER_handel_gas_kWh/1000)*0.902</f>
        <v>2717.4850566977511</v>
      </c>
      <c r="E8" s="33">
        <f>$C$28*'E Balans VL '!I13/100/3.6*1000000</f>
        <v>59.118300479587099</v>
      </c>
      <c r="F8" s="33">
        <f>$C$28*('E Balans VL '!L13+'E Balans VL '!N13)/100/3.6*1000000</f>
        <v>712.54740685244644</v>
      </c>
      <c r="G8" s="34"/>
      <c r="H8" s="33"/>
      <c r="I8" s="33"/>
      <c r="J8" s="33">
        <f>$C$28*('E Balans VL '!D13+'E Balans VL '!E13)/100/3.6*1000000</f>
        <v>0</v>
      </c>
      <c r="K8" s="33"/>
      <c r="L8" s="33"/>
      <c r="M8" s="33"/>
      <c r="N8" s="33">
        <f>$C$28*'E Balans VL '!Y13/100/3.6*1000000</f>
        <v>12.288918616801812</v>
      </c>
      <c r="O8" s="33"/>
      <c r="P8" s="33"/>
      <c r="R8" s="32"/>
    </row>
    <row r="9" spans="1:18">
      <c r="A9" s="32" t="s">
        <v>50</v>
      </c>
      <c r="B9" s="37">
        <f t="shared" si="0"/>
        <v>830.55740765578298</v>
      </c>
      <c r="C9" s="33"/>
      <c r="D9" s="37">
        <f>IF(ISERROR(TER_gezond_gas_kWh/1000),0,TER_gezond_gas_kWh/1000)*0.902</f>
        <v>634.09524800494808</v>
      </c>
      <c r="E9" s="33">
        <f>$C$29*'E Balans VL '!I10/100/3.6*1000000</f>
        <v>0.88725058395080592</v>
      </c>
      <c r="F9" s="33">
        <f>$C$29*('E Balans VL '!L10+'E Balans VL '!N10)/100/3.6*1000000</f>
        <v>135.48915477547348</v>
      </c>
      <c r="G9" s="34"/>
      <c r="H9" s="33"/>
      <c r="I9" s="33"/>
      <c r="J9" s="33">
        <f>$C$29*('E Balans VL '!D10+'E Balans VL '!E10)/100/3.6*1000000</f>
        <v>0</v>
      </c>
      <c r="K9" s="33"/>
      <c r="L9" s="33"/>
      <c r="M9" s="33"/>
      <c r="N9" s="33">
        <f>$C$29*'E Balans VL '!Y10/100/3.6*1000000</f>
        <v>8.5501146052140609</v>
      </c>
      <c r="O9" s="33"/>
      <c r="P9" s="33"/>
      <c r="R9" s="32"/>
    </row>
    <row r="10" spans="1:18">
      <c r="A10" s="32" t="s">
        <v>49</v>
      </c>
      <c r="B10" s="37">
        <f t="shared" si="0"/>
        <v>2588.3660146192401</v>
      </c>
      <c r="C10" s="33"/>
      <c r="D10" s="37">
        <f>IF(ISERROR(TER_ander_gas_kWh/1000),0,TER_ander_gas_kWh/1000)*0.902</f>
        <v>3303.5222364590436</v>
      </c>
      <c r="E10" s="33">
        <f>$C$30*'E Balans VL '!I14/100/3.6*1000000</f>
        <v>11.903501581535815</v>
      </c>
      <c r="F10" s="33">
        <f>$C$30*('E Balans VL '!L14+'E Balans VL '!N14)/100/3.6*1000000</f>
        <v>775.81493898354711</v>
      </c>
      <c r="G10" s="34"/>
      <c r="H10" s="33"/>
      <c r="I10" s="33"/>
      <c r="J10" s="33">
        <f>$C$30*('E Balans VL '!D14+'E Balans VL '!E14)/100/3.6*1000000</f>
        <v>0</v>
      </c>
      <c r="K10" s="33"/>
      <c r="L10" s="33"/>
      <c r="M10" s="33"/>
      <c r="N10" s="33">
        <f>$C$30*'E Balans VL '!Y14/100/3.6*1000000</f>
        <v>1801.6736062052555</v>
      </c>
      <c r="O10" s="33"/>
      <c r="P10" s="33"/>
      <c r="R10" s="32"/>
    </row>
    <row r="11" spans="1:18">
      <c r="A11" s="32" t="s">
        <v>54</v>
      </c>
      <c r="B11" s="37">
        <f t="shared" si="0"/>
        <v>353.65550260200104</v>
      </c>
      <c r="C11" s="33"/>
      <c r="D11" s="37">
        <f>IF(ISERROR(TER_onderwijs_gas_kWh/1000),0,TER_onderwijs_gas_kWh/1000)*0.902</f>
        <v>1648.3813196672961</v>
      </c>
      <c r="E11" s="33">
        <f>$C$31*'E Balans VL '!I11/100/3.6*1000000</f>
        <v>0.32806198746641513</v>
      </c>
      <c r="F11" s="33">
        <f>$C$31*('E Balans VL '!L11+'E Balans VL '!N11)/100/3.6*1000000</f>
        <v>124.23104987674152</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2073.6834504343001</v>
      </c>
      <c r="C12" s="33"/>
      <c r="D12" s="37">
        <f>IF(ISERROR(TER_rest_gas_kWh/1000),0,TER_rest_gas_kWh/1000)*0.902</f>
        <v>5076.0092834310217</v>
      </c>
      <c r="E12" s="33">
        <f>$C$32*'E Balans VL '!I8/100/3.6*1000000</f>
        <v>25.152749332015294</v>
      </c>
      <c r="F12" s="33">
        <f>$C$32*('E Balans VL '!L8+'E Balans VL '!N8)/100/3.6*1000000</f>
        <v>410.34328752946499</v>
      </c>
      <c r="G12" s="34"/>
      <c r="H12" s="33"/>
      <c r="I12" s="33"/>
      <c r="J12" s="33">
        <f>$C$32*('E Balans VL '!D8+'E Balans VL '!E8)/100/3.6*1000000</f>
        <v>0</v>
      </c>
      <c r="K12" s="33"/>
      <c r="L12" s="33"/>
      <c r="M12" s="33"/>
      <c r="N12" s="33">
        <f>$C$32*'E Balans VL '!Y8/100/3.6*1000000</f>
        <v>164.60948916032152</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14881.489066403514</v>
      </c>
      <c r="C16" s="21">
        <f t="shared" ca="1" si="1"/>
        <v>0</v>
      </c>
      <c r="D16" s="21">
        <f t="shared" ca="1" si="1"/>
        <v>17206.688083391215</v>
      </c>
      <c r="E16" s="21">
        <f t="shared" si="1"/>
        <v>188.75437305852614</v>
      </c>
      <c r="F16" s="21">
        <f t="shared" ca="1" si="1"/>
        <v>3096.3442118570374</v>
      </c>
      <c r="G16" s="21">
        <f t="shared" si="1"/>
        <v>0</v>
      </c>
      <c r="H16" s="21">
        <f t="shared" si="1"/>
        <v>0</v>
      </c>
      <c r="I16" s="21">
        <f t="shared" si="1"/>
        <v>0</v>
      </c>
      <c r="J16" s="21">
        <f t="shared" si="1"/>
        <v>0</v>
      </c>
      <c r="K16" s="21">
        <f t="shared" si="1"/>
        <v>0</v>
      </c>
      <c r="L16" s="21">
        <f t="shared" ca="1" si="1"/>
        <v>0</v>
      </c>
      <c r="M16" s="21">
        <f t="shared" si="1"/>
        <v>0</v>
      </c>
      <c r="N16" s="21">
        <f t="shared" ca="1" si="1"/>
        <v>1989.4625330528916</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0.19821624762340745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2949.7529217912693</v>
      </c>
      <c r="C20" s="23">
        <f t="shared" ref="C20:P20" ca="1" si="2">C16*C18</f>
        <v>0</v>
      </c>
      <c r="D20" s="23">
        <f t="shared" ca="1" si="2"/>
        <v>3475.7509928450254</v>
      </c>
      <c r="E20" s="23">
        <f t="shared" si="2"/>
        <v>42.847242684285433</v>
      </c>
      <c r="F20" s="23">
        <f t="shared" ca="1" si="2"/>
        <v>826.723904565829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3556.99336835548</v>
      </c>
      <c r="C26" s="39">
        <f>IF(ISERROR(B26*3.6/1000000/'E Balans VL '!Z12*100),0,B26*3.6/1000000/'E Balans VL '!Z12*100)</f>
        <v>7.5552301049340506E-2</v>
      </c>
      <c r="D26" s="235" t="s">
        <v>672</v>
      </c>
      <c r="F26" s="6"/>
    </row>
    <row r="27" spans="1:18">
      <c r="A27" s="230" t="s">
        <v>52</v>
      </c>
      <c r="B27" s="33">
        <f>IF(ISERROR(TER_horeca_ele_kWh/1000),0,TER_horeca_ele_kWh/1000)</f>
        <v>1376.6104873756601</v>
      </c>
      <c r="C27" s="39">
        <f>IF(ISERROR(B27*3.6/1000000/'E Balans VL '!Z9*100),0,B27*3.6/1000000/'E Balans VL '!Z9*100)</f>
        <v>0.10703984905910849</v>
      </c>
      <c r="D27" s="235" t="s">
        <v>672</v>
      </c>
      <c r="F27" s="6"/>
    </row>
    <row r="28" spans="1:18">
      <c r="A28" s="170" t="s">
        <v>51</v>
      </c>
      <c r="B28" s="33">
        <f>IF(ISERROR(TER_handel_ele_kWh/1000),0,TER_handel_ele_kWh/1000)</f>
        <v>4101.6228353610504</v>
      </c>
      <c r="C28" s="39">
        <f>IF(ISERROR(B28*3.6/1000000/'E Balans VL '!Z13*100),0,B28*3.6/1000000/'E Balans VL '!Z13*100)</f>
        <v>0.11735225644687482</v>
      </c>
      <c r="D28" s="235" t="s">
        <v>672</v>
      </c>
      <c r="F28" s="6"/>
    </row>
    <row r="29" spans="1:18">
      <c r="A29" s="230" t="s">
        <v>50</v>
      </c>
      <c r="B29" s="33">
        <f>IF(ISERROR(TER_gezond_ele_kWh/1000),0,TER_gezond_ele_kWh/1000)</f>
        <v>830.55740765578298</v>
      </c>
      <c r="C29" s="39">
        <f>IF(ISERROR(B29*3.6/1000000/'E Balans VL '!Z10*100),0,B29*3.6/1000000/'E Balans VL '!Z10*100)</f>
        <v>9.0550057273969281E-2</v>
      </c>
      <c r="D29" s="235" t="s">
        <v>672</v>
      </c>
      <c r="F29" s="6"/>
    </row>
    <row r="30" spans="1:18">
      <c r="A30" s="230" t="s">
        <v>49</v>
      </c>
      <c r="B30" s="33">
        <f>IF(ISERROR(TER_ander_ele_kWh/1000),0,TER_ander_ele_kWh/1000)</f>
        <v>2588.3660146192401</v>
      </c>
      <c r="C30" s="39">
        <f>IF(ISERROR(B30*3.6/1000000/'E Balans VL '!Z14*100),0,B30*3.6/1000000/'E Balans VL '!Z14*100)</f>
        <v>0.18941075338071997</v>
      </c>
      <c r="D30" s="235" t="s">
        <v>672</v>
      </c>
      <c r="F30" s="6"/>
    </row>
    <row r="31" spans="1:18">
      <c r="A31" s="230" t="s">
        <v>54</v>
      </c>
      <c r="B31" s="33">
        <f>IF(ISERROR(TER_onderwijs_ele_kWh/1000),0,TER_onderwijs_ele_kWh/1000)</f>
        <v>353.65550260200104</v>
      </c>
      <c r="C31" s="39">
        <f>IF(ISERROR(B31*3.6/1000000/'E Balans VL '!Z11*100),0,B31*3.6/1000000/'E Balans VL '!Z11*100)</f>
        <v>7.1031970314946485E-2</v>
      </c>
      <c r="D31" s="235" t="s">
        <v>672</v>
      </c>
    </row>
    <row r="32" spans="1:18">
      <c r="A32" s="230" t="s">
        <v>249</v>
      </c>
      <c r="B32" s="33">
        <f>IF(ISERROR(TER_rest_ele_kWh/1000),0,TER_rest_ele_kWh/1000)</f>
        <v>2073.6834504343001</v>
      </c>
      <c r="C32" s="39">
        <f>IF(ISERROR(B32*3.6/1000000/'E Balans VL '!Z8*100),0,B32*3.6/1000000/'E Balans VL '!Z8*100)</f>
        <v>1.6899261666494535E-2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2</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10898.64976607158</v>
      </c>
      <c r="C5" s="17">
        <f>IF(ISERROR('Eigen informatie GS &amp; warmtenet'!B59),0,'Eigen informatie GS &amp; warmtenet'!B59)</f>
        <v>0</v>
      </c>
      <c r="D5" s="30">
        <f>SUM(D6:D15)</f>
        <v>11697.644535584774</v>
      </c>
      <c r="E5" s="17">
        <f>SUM(E6:E15)</f>
        <v>1233.5922197664322</v>
      </c>
      <c r="F5" s="17">
        <f>SUM(F6:F15)</f>
        <v>8040.4615302107923</v>
      </c>
      <c r="G5" s="18"/>
      <c r="H5" s="17"/>
      <c r="I5" s="17"/>
      <c r="J5" s="17">
        <f>SUM(J6:J15)</f>
        <v>11.462877516304513</v>
      </c>
      <c r="K5" s="17"/>
      <c r="L5" s="17"/>
      <c r="M5" s="17"/>
      <c r="N5" s="17">
        <f>SUM(N6:N15)</f>
        <v>1455.8730630273387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417.198188517208</v>
      </c>
      <c r="C8" s="33"/>
      <c r="D8" s="37">
        <f>IF( ISERROR(IND_metaal_Gas_kWH/1000),0,IND_metaal_Gas_kWH/1000)*0.902</f>
        <v>0</v>
      </c>
      <c r="E8" s="33">
        <f>C30*'E Balans VL '!I18/100/3.6*1000000</f>
        <v>11.983497944102981</v>
      </c>
      <c r="F8" s="33">
        <f>C30*'E Balans VL '!L18/100/3.6*1000000+C30*'E Balans VL '!N18/100/3.6*1000000</f>
        <v>107.00331148037739</v>
      </c>
      <c r="G8" s="34"/>
      <c r="H8" s="33"/>
      <c r="I8" s="33"/>
      <c r="J8" s="40">
        <f>C30*'E Balans VL '!D18/100/3.6*1000000+C30*'E Balans VL '!E18/100/3.6*1000000</f>
        <v>0</v>
      </c>
      <c r="K8" s="33"/>
      <c r="L8" s="33"/>
      <c r="M8" s="33"/>
      <c r="N8" s="33">
        <f>C30*'E Balans VL '!Y18/100/3.6*1000000</f>
        <v>11.327782440400847</v>
      </c>
      <c r="O8" s="33"/>
      <c r="P8" s="33"/>
      <c r="R8" s="32"/>
    </row>
    <row r="9" spans="1:18">
      <c r="A9" s="6" t="s">
        <v>32</v>
      </c>
      <c r="B9" s="37">
        <f t="shared" si="0"/>
        <v>2546.2272528500102</v>
      </c>
      <c r="C9" s="33"/>
      <c r="D9" s="37">
        <f>IF( ISERROR(IND_andere_gas_kWh/1000),0,IND_andere_gas_kWh/1000)*0.902</f>
        <v>1056.7373460362583</v>
      </c>
      <c r="E9" s="33">
        <f>C31*'E Balans VL '!I19/100/3.6*1000000</f>
        <v>689.20111315404779</v>
      </c>
      <c r="F9" s="33">
        <f>C31*'E Balans VL '!L19/100/3.6*1000000+C31*'E Balans VL '!N19/100/3.6*1000000</f>
        <v>1696.0567975263364</v>
      </c>
      <c r="G9" s="34"/>
      <c r="H9" s="33"/>
      <c r="I9" s="33"/>
      <c r="J9" s="40">
        <f>C31*'E Balans VL '!D19/100/3.6*1000000+C31*'E Balans VL '!E19/100/3.6*1000000</f>
        <v>0</v>
      </c>
      <c r="K9" s="33"/>
      <c r="L9" s="33"/>
      <c r="M9" s="33"/>
      <c r="N9" s="33">
        <f>C31*'E Balans VL '!Y19/100/3.6*1000000</f>
        <v>215.26664739900519</v>
      </c>
      <c r="O9" s="33"/>
      <c r="P9" s="33"/>
      <c r="R9" s="32"/>
    </row>
    <row r="10" spans="1:18">
      <c r="A10" s="6" t="s">
        <v>40</v>
      </c>
      <c r="B10" s="37">
        <f t="shared" si="0"/>
        <v>3480.8544775575801</v>
      </c>
      <c r="C10" s="33"/>
      <c r="D10" s="37">
        <f>IF( ISERROR(IND_voed_gas_kWh/1000),0,IND_voed_gas_kWh/1000)*0.902</f>
        <v>3553.1536326211103</v>
      </c>
      <c r="E10" s="33">
        <f>C32*'E Balans VL '!I20/100/3.6*1000000</f>
        <v>283.90648824466433</v>
      </c>
      <c r="F10" s="33">
        <f>C32*'E Balans VL '!L20/100/3.6*1000000+C32*'E Balans VL '!N20/100/3.6*1000000</f>
        <v>5190.2698368283063</v>
      </c>
      <c r="G10" s="34"/>
      <c r="H10" s="33"/>
      <c r="I10" s="33"/>
      <c r="J10" s="40">
        <f>C32*'E Balans VL '!D20/100/3.6*1000000+C32*'E Balans VL '!E20/100/3.6*1000000</f>
        <v>4.6047479547562935E-2</v>
      </c>
      <c r="K10" s="33"/>
      <c r="L10" s="33"/>
      <c r="M10" s="33"/>
      <c r="N10" s="33">
        <f>C32*'E Balans VL '!Y20/100/3.6*1000000</f>
        <v>1022.552219395981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4454.3698471467806</v>
      </c>
      <c r="C15" s="33"/>
      <c r="D15" s="37">
        <f>IF( ISERROR(IND_rest_gas_kWh/1000),0,IND_rest_gas_kWh/1000)*0.902</f>
        <v>7087.753556927405</v>
      </c>
      <c r="E15" s="33">
        <f>C37*'E Balans VL '!I15/100/3.6*1000000</f>
        <v>248.50112042361712</v>
      </c>
      <c r="F15" s="33">
        <f>C37*'E Balans VL '!L15/100/3.6*1000000+C37*'E Balans VL '!N15/100/3.6*1000000</f>
        <v>1047.1315843757725</v>
      </c>
      <c r="G15" s="34"/>
      <c r="H15" s="33"/>
      <c r="I15" s="33"/>
      <c r="J15" s="40">
        <f>C37*'E Balans VL '!D15/100/3.6*1000000+C37*'E Balans VL '!E15/100/3.6*1000000</f>
        <v>11.41683003675695</v>
      </c>
      <c r="K15" s="33"/>
      <c r="L15" s="33"/>
      <c r="M15" s="33"/>
      <c r="N15" s="33">
        <f>C37*'E Balans VL '!Y15/100/3.6*1000000</f>
        <v>206.72641379195164</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10898.64976607158</v>
      </c>
      <c r="C18" s="21">
        <f>C5+C16</f>
        <v>0</v>
      </c>
      <c r="D18" s="21">
        <f>MAX((D5+D16),0)</f>
        <v>11697.644535584774</v>
      </c>
      <c r="E18" s="21">
        <f>MAX((E5+E16),0)</f>
        <v>1233.5922197664322</v>
      </c>
      <c r="F18" s="21">
        <f>MAX((F5+F16),0)</f>
        <v>8040.4615302107923</v>
      </c>
      <c r="G18" s="21"/>
      <c r="H18" s="21"/>
      <c r="I18" s="21"/>
      <c r="J18" s="21">
        <f>MAX((J5+J16),0)</f>
        <v>11.462877516304513</v>
      </c>
      <c r="K18" s="21"/>
      <c r="L18" s="21">
        <f>MAX((L5+L16),0)</f>
        <v>0</v>
      </c>
      <c r="M18" s="21"/>
      <c r="N18" s="21">
        <f>MAX((N5+N16),0)</f>
        <v>1455.8730630273387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0.19821624762340745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2160.2894607924359</v>
      </c>
      <c r="C22" s="23">
        <f ca="1">C18*C20</f>
        <v>0</v>
      </c>
      <c r="D22" s="23">
        <f>D18*D20</f>
        <v>2362.9241961881244</v>
      </c>
      <c r="E22" s="23">
        <f>E18*E20</f>
        <v>280.02543388698012</v>
      </c>
      <c r="F22" s="23">
        <f>F18*F20</f>
        <v>2146.8032285662816</v>
      </c>
      <c r="G22" s="23"/>
      <c r="H22" s="23"/>
      <c r="I22" s="23"/>
      <c r="J22" s="23">
        <f>J18*J20</f>
        <v>4.0578586407717969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417.198188517208</v>
      </c>
      <c r="C30" s="39">
        <f>IF(ISERROR(B30*3.6/1000000/'E Balans VL '!Z18*100),0,B30*3.6/1000000/'E Balans VL '!Z18*100)</f>
        <v>4.1051236756566481E-2</v>
      </c>
      <c r="D30" s="235" t="s">
        <v>672</v>
      </c>
    </row>
    <row r="31" spans="1:18">
      <c r="A31" s="6" t="s">
        <v>32</v>
      </c>
      <c r="B31" s="37">
        <f>IF( ISERROR(IND_ander_ele_kWh/1000),0,IND_ander_ele_kWh/1000)</f>
        <v>2546.2272528500102</v>
      </c>
      <c r="C31" s="39">
        <f>IF(ISERROR(B31*3.6/1000000/'E Balans VL '!Z19*100),0,B31*3.6/1000000/'E Balans VL '!Z19*100)</f>
        <v>0.11088616575614606</v>
      </c>
      <c r="D31" s="235" t="s">
        <v>672</v>
      </c>
    </row>
    <row r="32" spans="1:18">
      <c r="A32" s="170" t="s">
        <v>40</v>
      </c>
      <c r="B32" s="37">
        <f>IF( ISERROR(IND_voed_ele_kWh/1000),0,IND_voed_ele_kWh/1000)</f>
        <v>3480.8544775575801</v>
      </c>
      <c r="C32" s="39">
        <f>IF(ISERROR(B32*3.6/1000000/'E Balans VL '!Z20*100),0,B32*3.6/1000000/'E Balans VL '!Z20*100)</f>
        <v>0.66044193773394433</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4454.3698471467806</v>
      </c>
      <c r="C37" s="39">
        <f>IF(ISERROR(B37*3.6/1000000/'E Balans VL '!Z15*100),0,B37*3.6/1000000/'E Balans VL '!Z15*100)</f>
        <v>3.4326390766186876E-2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3028.3044635346237</v>
      </c>
      <c r="C5" s="17">
        <f>'Eigen informatie GS &amp; warmtenet'!B60</f>
        <v>0</v>
      </c>
      <c r="D5" s="30">
        <f>IF(ISERROR(SUM(LB_lb_gas_kWh,LB_rest_gas_kWh)/1000),0,SUM(LB_lb_gas_kWh,LB_rest_gas_kWh)/1000)*0.902</f>
        <v>3238.2484697797063</v>
      </c>
      <c r="E5" s="17">
        <f>B17*'E Balans VL '!I25/3.6*1000000/100</f>
        <v>38.160537489889549</v>
      </c>
      <c r="F5" s="17">
        <f>B17*('E Balans VL '!L25/3.6*1000000+'E Balans VL '!N25/3.6*1000000)/100</f>
        <v>10448.409034792903</v>
      </c>
      <c r="G5" s="18"/>
      <c r="H5" s="17"/>
      <c r="I5" s="17"/>
      <c r="J5" s="17">
        <f>('E Balans VL '!D25+'E Balans VL '!E25)/3.6*1000000*landbouw!B17/100</f>
        <v>455.42256676542138</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3028.3044635346237</v>
      </c>
      <c r="C8" s="21">
        <f>C5+C6</f>
        <v>0</v>
      </c>
      <c r="D8" s="21">
        <f>MAX((D5+D6),0)</f>
        <v>3238.2484697797063</v>
      </c>
      <c r="E8" s="21">
        <f>MAX((E5+E6),0)</f>
        <v>38.160537489889549</v>
      </c>
      <c r="F8" s="21">
        <f>MAX((F5+F6),0)</f>
        <v>10448.409034792903</v>
      </c>
      <c r="G8" s="21"/>
      <c r="H8" s="21"/>
      <c r="I8" s="21"/>
      <c r="J8" s="21">
        <f>MAX((J5+J6),0)</f>
        <v>455.42256676542138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0.19821624762340745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600.25914742304906</v>
      </c>
      <c r="C12" s="23">
        <f ca="1">C8*C10</f>
        <v>0</v>
      </c>
      <c r="D12" s="23">
        <f>D8*D10</f>
        <v>654.12619089550071</v>
      </c>
      <c r="E12" s="23">
        <f>E8*E10</f>
        <v>8.6624420102049271</v>
      </c>
      <c r="F12" s="23">
        <f>F8*F10</f>
        <v>2789.7252122897053</v>
      </c>
      <c r="G12" s="23"/>
      <c r="H12" s="23"/>
      <c r="I12" s="23"/>
      <c r="J12" s="23">
        <f>J8*J10</f>
        <v>161.21958863495917</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0.42235302604671232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437.94013603434917</v>
      </c>
      <c r="C26" s="245">
        <f>B26*'GWP N2O_CH4'!B5</f>
        <v>9196.7428567213319</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227.50119136627015</v>
      </c>
      <c r="C27" s="245">
        <f>B27*'GWP N2O_CH4'!B5</f>
        <v>4777.5250186916728</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8.0347078472057643</v>
      </c>
      <c r="C28" s="245">
        <f>B28*'GWP N2O_CH4'!B4</f>
        <v>2490.7594326337871</v>
      </c>
      <c r="D28" s="50"/>
    </row>
    <row r="29" spans="1:4">
      <c r="A29" s="41" t="s">
        <v>266</v>
      </c>
      <c r="B29" s="245">
        <f>B34*'ha_N2O bodem landbouw'!B4</f>
        <v>18.102180809106926</v>
      </c>
      <c r="C29" s="245">
        <f>B29*'GWP N2O_CH4'!B4</f>
        <v>5611.6760508231473</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4.5199336659948984E-3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3.2488933173367997E-5</v>
      </c>
      <c r="C5" s="434" t="s">
        <v>204</v>
      </c>
      <c r="D5" s="419">
        <f>SUM(D6:D11)</f>
        <v>2.8019424914909049E-5</v>
      </c>
      <c r="E5" s="419">
        <f>SUM(E6:E11)</f>
        <v>1.1163971642167633E-3</v>
      </c>
      <c r="F5" s="432" t="s">
        <v>204</v>
      </c>
      <c r="G5" s="419">
        <f>SUM(G6:G11)</f>
        <v>0.34708815598718373</v>
      </c>
      <c r="H5" s="419">
        <f>SUM(H6:H11)</f>
        <v>4.9521574696860485E-2</v>
      </c>
      <c r="I5" s="434" t="s">
        <v>204</v>
      </c>
      <c r="J5" s="434" t="s">
        <v>204</v>
      </c>
      <c r="K5" s="434" t="s">
        <v>204</v>
      </c>
      <c r="L5" s="434" t="s">
        <v>204</v>
      </c>
      <c r="M5" s="419">
        <f>SUM(M6:M11)</f>
        <v>1.7928775108409168E-2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1.342601524815233E-5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1.1960986336911627E-5</v>
      </c>
      <c r="E6" s="873">
        <f>vkm_GW_PW*SUMIFS(TableVerdeelsleutelVkm[LPG],TableVerdeelsleutelVkm[Voertuigtype],"Lichte voertuigen")*SUMIFS(TableECFTransport[EnergieConsumptieFactor (PJ per km)],TableECFTransport[Index],CONCATENATE($A6,"_LPG_LPG"))</f>
        <v>4.3050380589609969E-4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8.4381069957933486E-2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2.0686726305639575E-2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4.7529062631247549E-3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3.7879533395593353E-7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5.9276161908155163E-2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1.3511842070180148E-6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2.6764100446306839E-3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1.7130007294585861E-6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2.4061966786025923E-6</v>
      </c>
      <c r="E8" s="422">
        <f>vkm_NGW_PW*SUMIFS(TableVerdeelsleutelVkm[LPG],TableVerdeelsleutelVkm[Voertuigtype],"Lichte voertuigen")*SUMIFS(TableECFTransport[EnergieConsumptieFactor (PJ per km)],TableECFTransport[Index],CONCATENATE($A8,"_LPG_LPG"))</f>
        <v>8.2422358062409453E-5</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1.5175474799275245E-2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3.9949245091353515E-3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8.6729940172194811E-4</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8.8385673749231512E-9</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1.7766315997934064E-3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3.8054696517389417E-8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8.0217542840481341E-5</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1.6446866194604068E-5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1.365224189939483E-5</v>
      </c>
      <c r="E10" s="422">
        <f>vkm_SW_PW*SUMIFS(TableVerdeelsleutelVkm[LPG],TableVerdeelsleutelVkm[Voertuigtype],"Lichte voertuigen")*SUMIFS(TableECFTransport[EnergieConsumptieFactor (PJ per km)],TableECFTransport[Index],CONCATENATE($A10,"_LPG_LPG"))</f>
        <v>6.034710002582542E-4</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0.10963095849063743</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2.4836642303040363E-2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6.0821361920725975E-3</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5.1541709982215903E-7</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7.6847859231388968E-2</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1.8923401416542683E-6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3.4698056640187014E-3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9.024703659268889</v>
      </c>
      <c r="C14" s="21"/>
      <c r="D14" s="21">
        <f t="shared" ref="D14:M14" si="0">((D5)*10^9/3600)+D12</f>
        <v>7.7831735874747361</v>
      </c>
      <c r="E14" s="21">
        <f t="shared" si="0"/>
        <v>310.1103233935454</v>
      </c>
      <c r="F14" s="21"/>
      <c r="G14" s="21">
        <f t="shared" si="0"/>
        <v>96413.376663106596</v>
      </c>
      <c r="H14" s="21">
        <f t="shared" si="0"/>
        <v>13755.992971350135</v>
      </c>
      <c r="I14" s="21"/>
      <c r="J14" s="21"/>
      <c r="K14" s="21"/>
      <c r="L14" s="21"/>
      <c r="M14" s="21">
        <f t="shared" si="0"/>
        <v>4980.2153078914353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0.19821624762340745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1.7888428952535134</v>
      </c>
      <c r="C18" s="23"/>
      <c r="D18" s="23">
        <f t="shared" ref="D18:M18" si="1">D14*D16</f>
        <v>1.5722010646698967</v>
      </c>
      <c r="E18" s="23">
        <f t="shared" si="1"/>
        <v>70.395043410334807</v>
      </c>
      <c r="F18" s="23"/>
      <c r="G18" s="23">
        <f t="shared" si="1"/>
        <v>25742.371569049461</v>
      </c>
      <c r="H18" s="23">
        <f t="shared" si="1"/>
        <v>3425.2422498661836</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5.2517000146483168E-6</v>
      </c>
      <c r="C50" s="316">
        <f t="shared" ref="C50:P50" si="2">SUM(C51:C52)</f>
        <v>0</v>
      </c>
      <c r="D50" s="316">
        <f t="shared" si="2"/>
        <v>0</v>
      </c>
      <c r="E50" s="316">
        <f t="shared" si="2"/>
        <v>0</v>
      </c>
      <c r="F50" s="316">
        <f t="shared" si="2"/>
        <v>0</v>
      </c>
      <c r="G50" s="316">
        <f t="shared" si="2"/>
        <v>1.022213666918519E-3</v>
      </c>
      <c r="H50" s="316">
        <f t="shared" si="2"/>
        <v>0</v>
      </c>
      <c r="I50" s="316">
        <f t="shared" si="2"/>
        <v>0</v>
      </c>
      <c r="J50" s="316">
        <f t="shared" si="2"/>
        <v>0</v>
      </c>
      <c r="K50" s="316">
        <f t="shared" si="2"/>
        <v>0</v>
      </c>
      <c r="L50" s="316">
        <f t="shared" si="2"/>
        <v>0</v>
      </c>
      <c r="M50" s="316">
        <f t="shared" si="2"/>
        <v>4.5836919739643678E-5</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5.2517000146483168E-6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1.022213666918519E-3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4.5836919739643678E-5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1.4588055596245324</v>
      </c>
      <c r="C54" s="21">
        <f t="shared" ref="C54:P54" si="3">(C50)*10^9/3600</f>
        <v>0</v>
      </c>
      <c r="D54" s="21">
        <f t="shared" si="3"/>
        <v>0</v>
      </c>
      <c r="E54" s="21">
        <f t="shared" si="3"/>
        <v>0</v>
      </c>
      <c r="F54" s="21">
        <f t="shared" si="3"/>
        <v>0</v>
      </c>
      <c r="G54" s="21">
        <f t="shared" si="3"/>
        <v>283.9482408106997</v>
      </c>
      <c r="H54" s="21">
        <f t="shared" si="3"/>
        <v>0</v>
      </c>
      <c r="I54" s="21">
        <f t="shared" si="3"/>
        <v>0</v>
      </c>
      <c r="J54" s="21">
        <f t="shared" si="3"/>
        <v>0</v>
      </c>
      <c r="K54" s="21">
        <f t="shared" si="3"/>
        <v>0</v>
      </c>
      <c r="L54" s="21">
        <f t="shared" si="3"/>
        <v>0</v>
      </c>
      <c r="M54" s="21">
        <f t="shared" si="3"/>
        <v>12.732477705456578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0.19821624762340745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0.28915896404093977</v>
      </c>
      <c r="C58" s="23">
        <f t="shared" ref="C58:P58" ca="1" si="4">C54*C56</f>
        <v>0</v>
      </c>
      <c r="D58" s="23">
        <f t="shared" si="4"/>
        <v>0</v>
      </c>
      <c r="E58" s="23">
        <f t="shared" si="4"/>
        <v>0</v>
      </c>
      <c r="F58" s="23">
        <f t="shared" si="4"/>
        <v>0</v>
      </c>
      <c r="G58" s="23">
        <f t="shared" si="4"/>
        <v>75.814180296456826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6305.2221377059532</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6305.2221377059532</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2021-11-11T13:23:12Z</dcterms:modified>
</cp:coreProperties>
</file>