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34EA6526-1014-48AD-B3AD-B6BAB675170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G10" i="18"/>
  <c r="D10" i="18"/>
  <c r="B6" i="18"/>
  <c r="B5" i="18"/>
  <c r="B4" i="18"/>
  <c r="J9" i="18" l="1"/>
  <c r="B17" i="18"/>
  <c r="I49" i="18"/>
  <c r="H17" i="18" s="1"/>
  <c r="G49" i="18"/>
  <c r="I17" i="18" s="1"/>
  <c r="I20" i="18" s="1"/>
  <c r="F49" i="18"/>
  <c r="C49" i="18"/>
  <c r="B49" i="18"/>
  <c r="C17" i="18" s="1"/>
  <c r="C20" i="18" s="1"/>
  <c r="B20" i="18"/>
  <c r="C45"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17" i="18"/>
  <c r="J20" i="18" s="1"/>
  <c r="L6" i="17"/>
  <c r="F6" i="17"/>
  <c r="D6" i="17"/>
  <c r="C6" i="17"/>
  <c r="N16" i="16"/>
  <c r="L16" i="16"/>
  <c r="F16" i="16"/>
  <c r="D16" i="16"/>
  <c r="C16" i="16"/>
  <c r="B16" i="16"/>
  <c r="B13" i="15"/>
  <c r="J8" i="18" l="1"/>
  <c r="J10" i="18" s="1"/>
  <c r="I8" i="18"/>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P25" i="48"/>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5" i="13"/>
  <c r="C35" i="13" s="1"/>
  <c r="B33" i="13"/>
  <c r="B32" i="13"/>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<sst xmlns="http://schemas.openxmlformats.org/spreadsheetml/2006/main" count="2511" uniqueCount="926">
  <si>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</si>
  <si>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</si>
  <si>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</si>
  <si>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</si>
  <si>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</si>
  <si>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</si>
  <si>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</si>
  <si>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</si>
  <si>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</si>
  <si>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</si>
  <si>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</si>
  <si>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</si>
  <si>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</si>
  <si>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</si>
  <si>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</si>
  <si>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</si>
  <si>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</si>
  <si>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</si>
  <si>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</si>
  <si>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</si>
  <si>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</si>
  <si>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</si>
  <si>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</si>
  <si>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</si>
  <si>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</si>
  <si>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</si>
  <si>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</si>
  <si>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</si>
  <si>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</si>
  <si>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</si>
  <si>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</si>
  <si>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</si>
  <si>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</si>
  <si>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</si>
  <si>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</si>
  <si>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</si>
  <si>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</si>
  <si>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</si>
  <si>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</si>
  <si>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</si>
  <si>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</si>
  <si>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</si>
  <si>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</si>
  <si>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</si>
  <si>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</si>
  <si>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</si>
  <si>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</si>
  <si>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</si>
  <si>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</si>
  <si>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</si>
  <si>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</si>
  <si>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</si>
  <si>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</si>
  <si>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</si>
  <si>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</si>
  <si>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</si>
  <si>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</si>
  <si>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</si>
  <si>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</si>
  <si>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</si>
  <si>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</si>
  <si>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</si>
  <si>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</si>
  <si>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</si>
  <si>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</si>
  <si>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</si>
  <si>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</si>
  <si>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</si>
  <si>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</si>
  <si>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</si>
  <si>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</si>
  <si>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</si>
  <si>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</si>
  <si>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</si>
  <si>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</si>
  <si>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</si>
  <si>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</si>
  <si>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</si>
  <si>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</si>
  <si>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</si>
  <si>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</si>
  <si>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</si>
  <si>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</si>
  <si>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</si>
  <si>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</si>
  <si>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</si>
  <si>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</si>
  <si>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</si>
  <si>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</si>
  <si>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</si>
  <si>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</si>
  <si>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</si>
  <si>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</si>
  <si>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</si>
  <si>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</si>
  <si>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</si>
  <si>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</si>
  <si>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</si>
  <si>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</si>
  <si>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</si>
  <si>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</si>
  <si>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</si>
  <si>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</si>
  <si>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</si>
  <si>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</si>
  <si>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</si>
  <si>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</si>
  <si>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</si>
  <si>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</si>
  <si>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</si>
  <si>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</si>
  <si>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</si>
  <si>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</si>
  <si>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</si>
  <si>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</si>
  <si>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</si>
  <si>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</si>
  <si>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</si>
  <si>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</si>
  <si>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</si>
  <si>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</si>
  <si>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</si>
  <si>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</si>
  <si>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</si>
  <si>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</si>
  <si>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</si>
  <si>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</si>
  <si>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</si>
  <si>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</si>
  <si>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</si>
  <si>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</si>
  <si>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</si>
  <si>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</si>
  <si>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</si>
  <si>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</si>
  <si>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</si>
  <si>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</si>
  <si>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</si>
  <si>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</si>
  <si>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</si>
  <si>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</si>
  <si>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</si>
  <si>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</si>
  <si>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</si>
  <si>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</si>
  <si>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</si>
  <si>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</si>
  <si>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</si>
  <si>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</si>
  <si>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</si>
  <si>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</si>
  <si>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</si>
  <si>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</si>
  <si>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</si>
  <si>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</si>
  <si>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</si>
  <si>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</si>
  <si>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</si>
  <si>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</si>
  <si>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</si>
  <si>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</si>
  <si>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</si>
  <si>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</si>
  <si>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</si>
  <si>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</si>
  <si>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</si>
  <si>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</si>
  <si>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</si>
  <si>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</si>
  <si>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</si>
  <si>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</si>
  <si>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</si>
  <si>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</si>
  <si>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</si>
  <si>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</si>
  <si>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</si>
  <si>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</si>
  <si>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</si>
  <si>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</si>
  <si>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</si>
  <si>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</si>
  <si>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</si>
  <si>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</si>
  <si>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</si>
  <si>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</si>
  <si>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</si>
  <si>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</si>
  <si>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</si>
  <si>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</si>
  <si>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</si>
  <si>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</si>
  <si>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</si>
  <si>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</si>
  <si>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</si>
  <si>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</si>
  <si>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</si>
  <si>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</si>
  <si>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</si>
  <si>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</si>
  <si>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</si>
  <si>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</si>
  <si>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</si>
  <si>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</si>
  <si>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</si>
  <si>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</si>
  <si>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</si>
  <si>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</si>
  <si>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</si>
  <si>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</si>
  <si>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</si>
  <si>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</si>
  <si>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</si>
  <si>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</si>
  <si>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</si>
  <si>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</si>
  <si>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</si>
  <si>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</si>
  <si>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</si>
  <si>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</si>
  <si>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</si>
  <si>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</si>
  <si>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</si>
  <si>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</si>
  <si>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</si>
  <si>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</si>
  <si>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</si>
  <si>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</si>
  <si>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</si>
  <si>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</si>
  <si>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</si>
  <si>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</si>
  <si>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</si>
  <si>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</si>
  <si>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</si>
  <si>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</si>
  <si>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</si>
  <si>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</si>
  <si>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</si>
  <si>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</si>
  <si>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</si>
  <si>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</si>
  <si>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</si>
  <si>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</si>
  <si>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</si>
  <si>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</si>
  <si>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</si>
  <si>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</si>
  <si>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</si>
  <si>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</si>
  <si>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</si>
  <si>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</si>
  <si>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</si>
  <si>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</si>
  <si>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</si>
  <si>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</si>
  <si>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</si>
  <si>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</si>
  <si>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</si>
  <si>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</si>
  <si>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</si>
  <si>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</si>
  <si>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</si>
  <si>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</si>
  <si>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</si>
  <si>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</si>
  <si>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</si>
  <si>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</si>
  <si>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</si>
  <si>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</si>
  <si>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</si>
  <si>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</si>
  <si>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</si>
  <si>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</si>
  <si>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</si>
  <si>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</si>
  <si>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</si>
  <si>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</si>
  <si>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</si>
  <si>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</si>
  <si>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</si>
  <si>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</si>
  <si>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</si>
  <si>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</si>
  <si>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</si>
  <si>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</si>
  <si>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</si>
  <si>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</si>
  <si>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</si>
  <si>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</si>
  <si>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</si>
  <si>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</si>
  <si>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</si>
  <si>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</si>
  <si>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</si>
  <si>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</si>
  <si>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</si>
  <si>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</si>
  <si>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</si>
  <si>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</si>
  <si>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</si>
  <si>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</si>
  <si>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</si>
  <si>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</si>
  <si>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</si>
  <si>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</si>
  <si>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</si>
  <si>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</si>
  <si>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</si>
  <si>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</si>
  <si>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</si>
  <si>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</si>
  <si>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</si>
  <si>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</si>
  <si>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</si>
  <si>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</si>
  <si>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</si>
  <si>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</si>
  <si>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</si>
  <si>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</si>
  <si>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</si>
  <si>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</si>
  <si>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</si>
  <si>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</si>
  <si>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</si>
  <si>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</si>
  <si>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</si>
  <si>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</si>
  <si>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</si>
  <si>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</si>
  <si>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</si>
  <si>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</si>
  <si>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</si>
  <si>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</si>
  <si>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</si>
  <si>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</si>
  <si>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</si>
  <si>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</si>
  <si>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</si>
  <si>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</si>
  <si>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</si>
  <si>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</si>
  <si>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</si>
  <si>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</si>
  <si>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</si>
  <si>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</si>
  <si>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</si>
  <si>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</si>
  <si>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</si>
  <si>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</si>
  <si>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</si>
  <si>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</si>
  <si>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</si>
  <si>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</si>
  <si>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</si>
  <si>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</si>
  <si>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</si>
  <si>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</si>
  <si>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</si>
  <si>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</si>
  <si>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</si>
  <si>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</si>
  <si>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</si>
  <si>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</si>
  <si>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</si>
  <si>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</si>
  <si>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</si>
  <si>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</si>
  <si>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</si>
  <si>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</si>
  <si>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</si>
  <si>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</si>
  <si>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</si>
  <si>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</si>
  <si>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</si>
  <si>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</si>
  <si>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</si>
  <si>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</si>
  <si>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</si>
  <si>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</si>
  <si>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</si>
  <si>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</si>
  <si>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</si>
  <si>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</si>
  <si>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</si>
  <si>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</si>
  <si>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</si>
  <si>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</si>
  <si>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</si>
  <si>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</si>
  <si>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</si>
  <si>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</si>
  <si>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</si>
  <si>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</si>
  <si>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</si>
  <si>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</si>
  <si>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</si>
  <si>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</si>
  <si>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</si>
  <si>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</si>
  <si>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</si>
  <si>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</si>
  <si>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</si>
  <si>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</si>
  <si>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</si>
  <si>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</si>
  <si>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</si>
  <si>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</si>
  <si>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</si>
  <si>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</si>
  <si>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</si>
  <si>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</si>
  <si>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</si>
  <si>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</si>
  <si>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</si>
  <si>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</si>
  <si>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</si>
  <si>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</si>
  <si>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</si>
  <si>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</si>
  <si>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</si>
  <si>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</si>
  <si>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</si>
  <si>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</si>
  <si>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</si>
  <si>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</si>
  <si>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</si>
  <si>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</si>
  <si>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</si>
  <si>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</si>
  <si>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</si>
  <si>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</si>
  <si>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</si>
  <si>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</si>
  <si>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</si>
  <si>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</si>
  <si>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</si>
  <si>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</si>
  <si>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</si>
  <si>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</si>
  <si>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</si>
  <si>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</si>
  <si>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</si>
  <si>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</si>
  <si>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</si>
  <si>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</si>
  <si>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</si>
  <si>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</si>
  <si>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</si>
  <si>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</si>
  <si>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</si>
  <si>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</si>
  <si>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</si>
  <si>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</si>
  <si>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</si>
  <si>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</si>
  <si>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</si>
  <si>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</si>
  <si>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</si>
  <si>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</si>
  <si>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</si>
  <si>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</si>
  <si>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</si>
  <si>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</si>
  <si>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</si>
  <si>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</si>
  <si>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</si>
  <si>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</si>
  <si>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</si>
  <si>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</si>
  <si>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</si>
  <si>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</si>
  <si>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</si>
  <si>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</si>
  <si>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</si>
  <si>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</si>
  <si>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</si>
  <si>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</si>
  <si>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</si>
  <si>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</si>
  <si>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</si>
  <si>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</si>
  <si>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</si>
  <si>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</si>
  <si>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</si>
  <si>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</si>
  <si>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</si>
  <si>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</si>
  <si>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</si>
  <si>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</si>
  <si>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</si>
  <si>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</si>
  <si>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</si>
  <si>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</si>
  <si>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</si>
  <si>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</si>
  <si>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</si>
  <si>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</si>
  <si>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</si>
  <si>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</si>
  <si>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</si>
  <si>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</si>
  <si>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</si>
  <si>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</si>
  <si>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</si>
  <si>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</si>
  <si>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</si>
  <si>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</si>
  <si>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</si>
  <si>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</si>
  <si>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</si>
  <si>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</si>
  <si>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</si>
  <si>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</si>
  <si>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</si>
  <si>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</si>
  <si>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</si>
  <si>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</si>
  <si>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</si>
  <si>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</si>
  <si>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</si>
  <si>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</si>
  <si>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</si>
  <si>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</si>
  <si>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</si>
  <si>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</si>
  <si>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</si>
  <si>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</si>
  <si>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</si>
  <si>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</si>
  <si>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</si>
  <si>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</si>
  <si>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</si>
  <si>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</si>
  <si>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</si>
  <si>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</si>
  <si>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</si>
  <si>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</si>
  <si>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</si>
  <si>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</si>
  <si>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</si>
  <si>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</si>
  <si>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</si>
  <si>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</si>
  <si>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</si>
  <si>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</si>
  <si>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</si>
  <si>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</si>
  <si>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</si>
  <si>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</si>
  <si>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</si>
  <si>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</si>
  <si>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</si>
  <si>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</si>
  <si>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</si>
  <si>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</si>
  <si>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</si>
  <si>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</si>
  <si>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</si>
  <si>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</si>
  <si>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</si>
  <si>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</si>
  <si>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</si>
  <si>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</si>
  <si>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</si>
  <si>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</si>
  <si>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</si>
  <si>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</si>
  <si>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</si>
  <si>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</si>
  <si>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</si>
  <si>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</si>
  <si>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</si>
  <si>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</si>
  <si>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</si>
  <si>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</si>
  <si>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</si>
  <si>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</si>
  <si>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</si>
  <si>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</si>
  <si>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</si>
  <si>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</si>
  <si>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</si>
  <si>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</si>
  <si>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</si>
  <si>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</si>
  <si>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</si>
  <si>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</si>
  <si>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</si>
  <si>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</si>
  <si>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</si>
  <si>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</si>
  <si>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</si>
  <si>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</si>
  <si>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</si>
  <si>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</si>
  <si>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</si>
  <si>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</si>
  <si>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</si>
  <si>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</si>
  <si>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</si>
  <si>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</si>
  <si>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</si>
  <si>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</si>
  <si>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</si>
  <si>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</si>
  <si>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</si>
  <si>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</si>
  <si>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</si>
  <si>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</si>
  <si>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</si>
  <si>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</si>
  <si>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</si>
  <si>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</si>
  <si>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</si>
  <si>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</si>
  <si>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</si>
  <si>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</si>
  <si>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</si>
  <si>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</si>
  <si>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</si>
  <si>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</si>
  <si>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</si>
  <si>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</si>
  <si>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</si>
  <si>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</si>
  <si>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</si>
  <si>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</si>
  <si>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</si>
  <si>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</si>
  <si>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</si>
  <si>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</si>
  <si>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</si>
  <si>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</si>
  <si>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</si>
  <si>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</si>
  <si>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</si>
  <si>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</si>
  <si>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</si>
  <si>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</si>
  <si>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</si>
  <si>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</si>
  <si>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</si>
  <si>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</si>
  <si>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</si>
  <si>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</si>
  <si>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</si>
  <si>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</si>
  <si>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</si>
  <si>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</si>
  <si>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</si>
  <si>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</si>
  <si>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</si>
  <si>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</si>
  <si>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</si>
  <si>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</si>
  <si>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</si>
  <si>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</si>
  <si>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</si>
  <si>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</si>
  <si>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</si>
  <si>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</si>
  <si>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</si>
  <si>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</si>
  <si>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</si>
  <si>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</si>
  <si>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</si>
  <si>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</si>
  <si>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</si>
  <si>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</si>
  <si>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</si>
  <si>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</si>
  <si>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</si>
  <si>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</si>
  <si>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</si>
  <si>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</si>
  <si>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</si>
  <si>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</si>
  <si>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</si>
  <si>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</si>
  <si>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</si>
  <si>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</si>
  <si>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</si>
  <si>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</si>
  <si>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</si>
  <si>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</si>
  <si>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</si>
  <si>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</si>
  <si>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</si>
  <si>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</si>
  <si>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</si>
  <si>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</si>
  <si>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</si>
  <si>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</si>
  <si>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</si>
  <si>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</si>
  <si>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</si>
  <si>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</si>
  <si>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</si>
  <si>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</si>
  <si>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</si>
  <si>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</si>
  <si>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</si>
  <si>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</si>
  <si>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</si>
  <si>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</si>
  <si>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</si>
  <si>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</si>
  <si>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</si>
  <si>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</si>
  <si>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</si>
  <si>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</si>
  <si>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</si>
  <si>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</si>
  <si>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</si>
  <si>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</si>
  <si>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</si>
  <si>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</si>
  <si>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</si>
  <si>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</si>
  <si>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</si>
  <si>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</si>
  <si>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</si>
  <si>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</si>
  <si>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</si>
  <si>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</si>
  <si>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</si>
  <si>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</si>
  <si>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</si>
  <si>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</si>
  <si>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</si>
  <si>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</si>
  <si>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</si>
  <si>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</si>
  <si>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</si>
  <si>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</si>
  <si>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</si>
  <si>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</si>
  <si>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</si>
  <si>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</si>
  <si>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</si>
  <si>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</si>
  <si>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</si>
  <si>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</si>
  <si>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</si>
  <si>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</si>
  <si>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</si>
  <si>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</si>
  <si>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</si>
  <si>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</si>
  <si>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</si>
  <si>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</si>
  <si>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</si>
  <si>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</si>
  <si>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</si>
  <si>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</si>
  <si>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</si>
  <si>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</si>
  <si>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</si>
  <si>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</si>
  <si>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</si>
  <si>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</si>
  <si>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</si>
  <si>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</si>
  <si>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</si>
  <si>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</si>
  <si>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</si>
  <si>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</si>
  <si>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</si>
  <si>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</si>
  <si>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</si>
  <si>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</si>
  <si>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</si>
  <si>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</si>
  <si>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</si>
  <si>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</si>
  <si>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</si>
  <si>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</si>
  <si>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</si>
  <si>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</si>
  <si>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</si>
  <si>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</si>
  <si>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</si>
  <si>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</si>
  <si>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</si>
  <si>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</si>
  <si>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</si>
  <si>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</si>
  <si>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</si>
  <si>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</si>
  <si>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</si>
  <si>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</si>
  <si>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</si>
  <si>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</si>
  <si>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</si>
  <si>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</si>
  <si>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</si>
  <si>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</si>
  <si>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</si>
  <si>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</si>
  <si>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</si>
  <si>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</si>
  <si>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</si>
  <si>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</si>
  <si>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</si>
  <si>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</si>
  <si>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</si>
  <si>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</si>
  <si>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</si>
  <si>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</si>
  <si>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</si>
  <si>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</si>
  <si>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</si>
  <si>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</si>
  <si>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</si>
  <si>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</si>
  <si>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</si>
  <si>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</si>
  <si>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</si>
  <si>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</si>
  <si>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</si>
  <si>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</si>
  <si>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</si>
  <si>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</si>
  <si>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</si>
  <si>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</si>
  <si>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</si>
  <si>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</si>
  <si>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</si>
  <si>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</si>
  <si>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</si>
  <si>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</si>
  <si>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</si>
  <si>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</si>
  <si>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</si>
  <si>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</si>
  <si>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</si>
  <si>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</si>
  <si>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</si>
  <si>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</si>
  <si>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</si>
  <si>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</si>
  <si>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</si>
  <si>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</si>
  <si>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</si>
  <si>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</si>
  <si>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</si>
  <si>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</si>
  <si>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</si>
  <si>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</si>
  <si>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</si>
  <si>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</si>
  <si>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</si>
  <si>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</si>
  <si>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</si>
  <si>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</si>
  <si>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</si>
  <si>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</si>
  <si>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</si>
  <si>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</si>
  <si>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</si>
  <si>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</si>
  <si>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</si>
  <si>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</si>
  <si>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</si>
  <si>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</si>
  <si>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</si>
  <si>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</si>
  <si>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</si>
  <si>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</si>
  <si>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</si>
  <si>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</si>
  <si>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</si>
  <si>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</si>
  <si>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</si>
  <si>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</si>
  <si>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</si>
  <si>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</si>
  <si>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</si>
  <si>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</si>
  <si>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</si>
  <si>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</si>
  <si>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</si>
  <si>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</si>
  <si>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</si>
  <si>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</si>
  <si>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</si>
  <si>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</si>
  <si>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</si>
  <si>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</si>
  <si>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</si>
  <si>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</si>
  <si>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</si>
  <si>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</si>
  <si>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</si>
  <si>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</si>
  <si>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</si>
  <si>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</si>
  <si>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</si>
  <si>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</si>
  <si>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</si>
  <si>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</si>
  <si>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</si>
  <si>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</si>
  <si>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</si>
  <si>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</si>
  <si>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</si>
  <si>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</si>
  <si>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</si>
  <si>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</si>
  <si>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</si>
  <si>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</si>
  <si>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</si>
  <si>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</si>
  <si>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</si>
  <si>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</si>
  <si>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</si>
  <si>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</si>
  <si>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</si>
  <si>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</si>
  <si>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32011</t>
  </si>
  <si>
    <t>KORTEMARK</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</si>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</sst>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0CDC60B8-A2B6-443B-8CE5-9634F007472B}"/>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120607.23313526</c:v>
                </c:pt>
                <c:pt idx="1">
                  <c:v>38808.736893659057</c:v>
                </c:pt>
                <c:pt idx="2">
                  <c:v>837.92100000000005</c:v>
                </c:pt>
                <c:pt idx="3">
                  <c:v>21575.807000537316</c:v>
                </c:pt>
                <c:pt idx="4">
                  <c:v>194062.59816048996</c:v>
                </c:pt>
                <c:pt idx="5">
                  <c:v>72008.944385154115</c:v>
                </c:pt>
                <c:pt idx="6">
                  <c:v>568.55548092740446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120607.23313526</c:v>
                </c:pt>
                <c:pt idx="1">
                  <c:v>38808.736893659057</c:v>
                </c:pt>
                <c:pt idx="2">
                  <c:v>837.92100000000005</c:v>
                </c:pt>
                <c:pt idx="3">
                  <c:v>21575.807000537316</c:v>
                </c:pt>
                <c:pt idx="4">
                  <c:v>194062.59816048996</c:v>
                </c:pt>
                <c:pt idx="5">
                  <c:v>72008.944385154115</c:v>
                </c:pt>
                <c:pt idx="6">
                  <c:v>568.55548092740446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25570.321399235454</c:v>
                </c:pt>
                <c:pt idx="2">
                  <c:v>7773.0751940846103</c:v>
                </c:pt>
                <c:pt idx="3">
                  <c:v>173.01719678071322</c:v>
                </c:pt>
                <c:pt idx="4">
                  <c:v>5508.3268973147597</c:v>
                </c:pt>
                <c:pt idx="5">
                  <c:v>40127.333555966536</c:v>
                </c:pt>
                <c:pt idx="6">
                  <c:v>18203.269168723888</c:v>
                </c:pt>
                <c:pt idx="7">
                  <c:v>145.1529383017062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25570.321399235454</c:v>
                </c:pt>
                <c:pt idx="2">
                  <c:v>7773.0751940846103</c:v>
                </c:pt>
                <c:pt idx="3">
                  <c:v>173.01719678071322</c:v>
                </c:pt>
                <c:pt idx="4">
                  <c:v>5508.3268973147597</c:v>
                </c:pt>
                <c:pt idx="5">
                  <c:v>40127.333555966536</c:v>
                </c:pt>
                <c:pt idx="6">
                  <c:v>18203.269168723888</c:v>
                </c:pt>
                <c:pt idx="7">
                  <c:v>145.1529383017062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32011</v>
      </c>
      <c r="B6" s="385"/>
      <c r="C6" s="386"/>
    </row>
    <row r="7" spans="1:7" s="383" customFormat="1" ht="15.75" customHeight="1">
      <c r="A7" s="387" t="str">
        <f>txtMunicipality</f>
        <v>KORTEMARK</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18016.307764193611</v>
      </c>
      <c r="D10" s="676">
        <f ca="1">tertiair!C16</f>
        <v>0</v>
      </c>
      <c r="E10" s="676">
        <f ca="1">tertiair!D16</f>
        <v>16110.046635078121</v>
      </c>
      <c r="F10" s="676">
        <f>tertiair!E16</f>
        <v>230.87525616760058</v>
      </c>
      <c r="G10" s="676">
        <f ca="1">tertiair!F16</f>
        <v>3443.3587239253338</v>
      </c>
      <c r="H10" s="676">
        <f>tertiair!G16</f>
        <v>0</v>
      </c>
      <c r="I10" s="676">
        <f>tertiair!H16</f>
        <v>0</v>
      </c>
      <c r="J10" s="676">
        <f>tertiair!I16</f>
        <v>0</v>
      </c>
      <c r="K10" s="676">
        <f>tertiair!J16</f>
        <v>0</v>
      </c>
      <c r="L10" s="676">
        <f>tertiair!K16</f>
        <v>0</v>
      </c>
      <c r="M10" s="676">
        <f ca="1">tertiair!L16</f>
        <v>0</v>
      </c>
      <c r="N10" s="676">
        <f>tertiair!M16</f>
        <v>0</v>
      </c>
      <c r="O10" s="676">
        <f ca="1">tertiair!N16</f>
        <v>1819.1861809610664</v>
      </c>
      <c r="P10" s="676">
        <f>tertiair!O16</f>
        <v>7.8166666666666664</v>
      </c>
      <c r="Q10" s="677">
        <f>tertiair!P16</f>
        <v>19.066666666666666</v>
      </c>
      <c r="R10" s="679">
        <f ca="1">SUM(C10:Q10)</f>
        <v>39646.657893659059</v>
      </c>
      <c r="S10" s="67"/>
    </row>
    <row r="11" spans="1:19" s="444" customFormat="1">
      <c r="A11" s="791" t="s">
        <v>214</v>
      </c>
      <c r="B11" s="796"/>
      <c r="C11" s="676">
        <f>huishoudens!B8</f>
        <v>23136.52982289248</v>
      </c>
      <c r="D11" s="676">
        <f>huishoudens!C8</f>
        <v>0</v>
      </c>
      <c r="E11" s="676">
        <f>huishoudens!D8</f>
        <v>46254.249483434287</v>
      </c>
      <c r="F11" s="676">
        <f>huishoudens!E8</f>
        <v>1329.0680158287523</v>
      </c>
      <c r="G11" s="676">
        <f>huishoudens!F8</f>
        <v>40729.917670738418</v>
      </c>
      <c r="H11" s="676">
        <f>huishoudens!G8</f>
        <v>0</v>
      </c>
      <c r="I11" s="676">
        <f>huishoudens!H8</f>
        <v>0</v>
      </c>
      <c r="J11" s="676">
        <f>huishoudens!I8</f>
        <v>0</v>
      </c>
      <c r="K11" s="676">
        <f>huishoudens!J8</f>
        <v>771.34354031493126</v>
      </c>
      <c r="L11" s="676">
        <f>huishoudens!K8</f>
        <v>0</v>
      </c>
      <c r="M11" s="676">
        <f>huishoudens!L8</f>
        <v>0</v>
      </c>
      <c r="N11" s="676">
        <f>huishoudens!M8</f>
        <v>0</v>
      </c>
      <c r="O11" s="676">
        <f>huishoudens!N8</f>
        <v>7984.1012687178027</v>
      </c>
      <c r="P11" s="676">
        <f>huishoudens!O8</f>
        <v>192.29000000000002</v>
      </c>
      <c r="Q11" s="677">
        <f>huishoudens!P8</f>
        <v>209.73333333333335</v>
      </c>
      <c r="R11" s="679">
        <f>SUM(C11:Q11)</f>
        <v>120607.23313526</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27694.859000000004</v>
      </c>
      <c r="D13" s="676">
        <f>industrie!C18</f>
        <v>0</v>
      </c>
      <c r="E13" s="676">
        <f>industrie!D18</f>
        <v>135720.99585701554</v>
      </c>
      <c r="F13" s="676">
        <f>industrie!E18</f>
        <v>1963.6650450556458</v>
      </c>
      <c r="G13" s="676">
        <f>industrie!F18</f>
        <v>24458.222340472439</v>
      </c>
      <c r="H13" s="676">
        <f>industrie!G18</f>
        <v>0</v>
      </c>
      <c r="I13" s="676">
        <f>industrie!H18</f>
        <v>0</v>
      </c>
      <c r="J13" s="676">
        <f>industrie!I18</f>
        <v>0</v>
      </c>
      <c r="K13" s="676">
        <f>industrie!J18</f>
        <v>48.171016137641743</v>
      </c>
      <c r="L13" s="676">
        <f>industrie!K18</f>
        <v>0</v>
      </c>
      <c r="M13" s="676">
        <f>industrie!L18</f>
        <v>0</v>
      </c>
      <c r="N13" s="676">
        <f>industrie!M18</f>
        <v>0</v>
      </c>
      <c r="O13" s="676">
        <f>industrie!N18</f>
        <v>4176.6849018086814</v>
      </c>
      <c r="P13" s="676">
        <f>industrie!O18</f>
        <v>0</v>
      </c>
      <c r="Q13" s="677">
        <f>industrie!P18</f>
        <v>0</v>
      </c>
      <c r="R13" s="679">
        <f>SUM(C13:Q13)</f>
        <v>194062.59816048996</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68847.696587086102</v>
      </c>
      <c r="D16" s="711">
        <f t="shared" ref="D16:R16" ca="1" si="0">SUM(D9:D15)</f>
        <v>0</v>
      </c>
      <c r="E16" s="711">
        <f t="shared" ca="1" si="0"/>
        <v>198085.29197552794</v>
      </c>
      <c r="F16" s="711">
        <f t="shared" si="0"/>
        <v>3523.6083170519987</v>
      </c>
      <c r="G16" s="711">
        <f t="shared" ca="1" si="0"/>
        <v>68631.498735136192</v>
      </c>
      <c r="H16" s="711">
        <f t="shared" si="0"/>
        <v>0</v>
      </c>
      <c r="I16" s="711">
        <f t="shared" si="0"/>
        <v>0</v>
      </c>
      <c r="J16" s="711">
        <f t="shared" si="0"/>
        <v>0</v>
      </c>
      <c r="K16" s="711">
        <f t="shared" si="0"/>
        <v>819.51455645257306</v>
      </c>
      <c r="L16" s="711">
        <f t="shared" si="0"/>
        <v>0</v>
      </c>
      <c r="M16" s="711">
        <f t="shared" ca="1" si="0"/>
        <v>0</v>
      </c>
      <c r="N16" s="711">
        <f t="shared" si="0"/>
        <v>0</v>
      </c>
      <c r="O16" s="711">
        <f t="shared" ca="1" si="0"/>
        <v>13979.97235148755</v>
      </c>
      <c r="P16" s="711">
        <f t="shared" si="0"/>
        <v>200.10666666666668</v>
      </c>
      <c r="Q16" s="711">
        <f t="shared" si="0"/>
        <v>228.8</v>
      </c>
      <c r="R16" s="711">
        <f t="shared" ca="1" si="0"/>
        <v>354316.48918940901</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2.7819588801687298</v>
      </c>
      <c r="D19" s="676">
        <f>transport!C54</f>
        <v>0</v>
      </c>
      <c r="E19" s="676">
        <f>transport!D54</f>
        <v>0</v>
      </c>
      <c r="F19" s="676">
        <f>transport!E54</f>
        <v>0</v>
      </c>
      <c r="G19" s="676">
        <f>transport!F54</f>
        <v>0</v>
      </c>
      <c r="H19" s="676">
        <f>transport!G54</f>
        <v>541.49254149739329</v>
      </c>
      <c r="I19" s="676">
        <f>transport!H54</f>
        <v>0</v>
      </c>
      <c r="J19" s="676">
        <f>transport!I54</f>
        <v>0</v>
      </c>
      <c r="K19" s="676">
        <f>transport!J54</f>
        <v>0</v>
      </c>
      <c r="L19" s="676">
        <f>transport!K54</f>
        <v>0</v>
      </c>
      <c r="M19" s="676">
        <f>transport!L54</f>
        <v>0</v>
      </c>
      <c r="N19" s="676">
        <f>transport!M54</f>
        <v>24.28098054984245</v>
      </c>
      <c r="O19" s="676">
        <f>transport!N54</f>
        <v>0</v>
      </c>
      <c r="P19" s="676">
        <f>transport!O54</f>
        <v>0</v>
      </c>
      <c r="Q19" s="677">
        <f>transport!P54</f>
        <v>0</v>
      </c>
      <c r="R19" s="679">
        <f>SUM(C19:Q19)</f>
        <v>568.55548092740446</v>
      </c>
      <c r="S19" s="67"/>
    </row>
    <row r="20" spans="1:19" s="444" customFormat="1">
      <c r="A20" s="791" t="s">
        <v>296</v>
      </c>
      <c r="B20" s="796"/>
      <c r="C20" s="676">
        <f>transport!B14</f>
        <v>5.2701148989364413</v>
      </c>
      <c r="D20" s="676">
        <f>transport!C14</f>
        <v>0</v>
      </c>
      <c r="E20" s="676">
        <f>transport!D14</f>
        <v>6.0985510427679825</v>
      </c>
      <c r="F20" s="676">
        <f>transport!E14</f>
        <v>212.38924836874912</v>
      </c>
      <c r="G20" s="676">
        <f>transport!F14</f>
        <v>0</v>
      </c>
      <c r="H20" s="676">
        <f>transport!G14</f>
        <v>58415.17397408875</v>
      </c>
      <c r="I20" s="676">
        <f>transport!H14</f>
        <v>10264.599425979832</v>
      </c>
      <c r="J20" s="676">
        <f>transport!I14</f>
        <v>0</v>
      </c>
      <c r="K20" s="676">
        <f>transport!J14</f>
        <v>0</v>
      </c>
      <c r="L20" s="676">
        <f>transport!K14</f>
        <v>0</v>
      </c>
      <c r="M20" s="676">
        <f>transport!L14</f>
        <v>0</v>
      </c>
      <c r="N20" s="676">
        <f>transport!M14</f>
        <v>3105.4130707750678</v>
      </c>
      <c r="O20" s="676">
        <f>transport!N14</f>
        <v>0</v>
      </c>
      <c r="P20" s="676">
        <f>transport!O14</f>
        <v>0</v>
      </c>
      <c r="Q20" s="677">
        <f>transport!P14</f>
        <v>0</v>
      </c>
      <c r="R20" s="679">
        <f>SUM(C20:Q20)</f>
        <v>72008.944385154115</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8.0520737791051715</v>
      </c>
      <c r="D22" s="794">
        <f t="shared" ref="D22:R22" si="1">SUM(D18:D21)</f>
        <v>0</v>
      </c>
      <c r="E22" s="794">
        <f t="shared" si="1"/>
        <v>6.0985510427679825</v>
      </c>
      <c r="F22" s="794">
        <f t="shared" si="1"/>
        <v>212.38924836874912</v>
      </c>
      <c r="G22" s="794">
        <f t="shared" si="1"/>
        <v>0</v>
      </c>
      <c r="H22" s="794">
        <f t="shared" si="1"/>
        <v>58956.666515586141</v>
      </c>
      <c r="I22" s="794">
        <f t="shared" si="1"/>
        <v>10264.599425979832</v>
      </c>
      <c r="J22" s="794">
        <f t="shared" si="1"/>
        <v>0</v>
      </c>
      <c r="K22" s="794">
        <f t="shared" si="1"/>
        <v>0</v>
      </c>
      <c r="L22" s="794">
        <f t="shared" si="1"/>
        <v>0</v>
      </c>
      <c r="M22" s="794">
        <f t="shared" si="1"/>
        <v>0</v>
      </c>
      <c r="N22" s="794">
        <f t="shared" si="1"/>
        <v>3129.6940513249101</v>
      </c>
      <c r="O22" s="794">
        <f t="shared" si="1"/>
        <v>0</v>
      </c>
      <c r="P22" s="794">
        <f t="shared" si="1"/>
        <v>0</v>
      </c>
      <c r="Q22" s="794">
        <f t="shared" si="1"/>
        <v>0</v>
      </c>
      <c r="R22" s="794">
        <f t="shared" si="1"/>
        <v>72577.499866081518</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4564.9186460826068</v>
      </c>
      <c r="D24" s="676">
        <f>+landbouw!C8</f>
        <v>0</v>
      </c>
      <c r="E24" s="676">
        <f>+landbouw!D8</f>
        <v>516.73971705848771</v>
      </c>
      <c r="F24" s="676">
        <f>+landbouw!E8</f>
        <v>57.523855751546854</v>
      </c>
      <c r="G24" s="676">
        <f>+landbouw!F8</f>
        <v>15750.112909437572</v>
      </c>
      <c r="H24" s="676">
        <f>+landbouw!G8</f>
        <v>0</v>
      </c>
      <c r="I24" s="676">
        <f>+landbouw!H8</f>
        <v>0</v>
      </c>
      <c r="J24" s="676">
        <f>+landbouw!I8</f>
        <v>0</v>
      </c>
      <c r="K24" s="676">
        <f>+landbouw!J8</f>
        <v>686.51187220710028</v>
      </c>
      <c r="L24" s="676">
        <f>+landbouw!K8</f>
        <v>0</v>
      </c>
      <c r="M24" s="676">
        <f>+landbouw!L8</f>
        <v>0</v>
      </c>
      <c r="N24" s="676">
        <f>+landbouw!M8</f>
        <v>0</v>
      </c>
      <c r="O24" s="676">
        <f>+landbouw!N8</f>
        <v>0</v>
      </c>
      <c r="P24" s="676">
        <f>+landbouw!O8</f>
        <v>0</v>
      </c>
      <c r="Q24" s="677">
        <f>+landbouw!P8</f>
        <v>0</v>
      </c>
      <c r="R24" s="679">
        <f>SUM(C24:Q24)</f>
        <v>21575.807000537316</v>
      </c>
      <c r="S24" s="67"/>
    </row>
    <row r="25" spans="1:19" s="444" customFormat="1" ht="15" thickBot="1">
      <c r="A25" s="813" t="s">
        <v>833</v>
      </c>
      <c r="B25" s="977"/>
      <c r="C25" s="978">
        <f>IF(Onbekend_ele_kWh="---",0,Onbekend_ele_kWh)/1000+IF(REST_rest_ele_kWh="---",0,REST_rest_ele_kWh)/1000</f>
        <v>307.642</v>
      </c>
      <c r="D25" s="978"/>
      <c r="E25" s="978">
        <f>IF(onbekend_gas_kWh="---",0,onbekend_gas_kWh)/1000+IF(REST_rest_gas_kWh="---",0,REST_rest_gas_kWh)/1000</f>
        <v>1170.4404537016201</v>
      </c>
      <c r="F25" s="978"/>
      <c r="G25" s="978"/>
      <c r="H25" s="978"/>
      <c r="I25" s="978"/>
      <c r="J25" s="978"/>
      <c r="K25" s="978"/>
      <c r="L25" s="978"/>
      <c r="M25" s="978"/>
      <c r="N25" s="978"/>
      <c r="O25" s="978"/>
      <c r="P25" s="978"/>
      <c r="Q25" s="979"/>
      <c r="R25" s="679">
        <f>SUM(C25:Q25)</f>
        <v>1478.0824537016201</v>
      </c>
      <c r="S25" s="67"/>
    </row>
    <row r="26" spans="1:19" s="444" customFormat="1" ht="15.75" thickBot="1">
      <c r="A26" s="684" t="s">
        <v>834</v>
      </c>
      <c r="B26" s="799"/>
      <c r="C26" s="794">
        <f>SUM(C24:C25)</f>
        <v>4872.5606460826066</v>
      </c>
      <c r="D26" s="794">
        <f t="shared" ref="D26:R26" si="2">SUM(D24:D25)</f>
        <v>0</v>
      </c>
      <c r="E26" s="794">
        <f t="shared" si="2"/>
        <v>1687.1801707601078</v>
      </c>
      <c r="F26" s="794">
        <f t="shared" si="2"/>
        <v>57.523855751546854</v>
      </c>
      <c r="G26" s="794">
        <f t="shared" si="2"/>
        <v>15750.112909437572</v>
      </c>
      <c r="H26" s="794">
        <f t="shared" si="2"/>
        <v>0</v>
      </c>
      <c r="I26" s="794">
        <f t="shared" si="2"/>
        <v>0</v>
      </c>
      <c r="J26" s="794">
        <f t="shared" si="2"/>
        <v>0</v>
      </c>
      <c r="K26" s="794">
        <f t="shared" si="2"/>
        <v>686.51187220710028</v>
      </c>
      <c r="L26" s="794">
        <f t="shared" si="2"/>
        <v>0</v>
      </c>
      <c r="M26" s="794">
        <f t="shared" si="2"/>
        <v>0</v>
      </c>
      <c r="N26" s="794">
        <f t="shared" si="2"/>
        <v>0</v>
      </c>
      <c r="O26" s="794">
        <f t="shared" si="2"/>
        <v>0</v>
      </c>
      <c r="P26" s="794">
        <f t="shared" si="2"/>
        <v>0</v>
      </c>
      <c r="Q26" s="794">
        <f t="shared" si="2"/>
        <v>0</v>
      </c>
      <c r="R26" s="794">
        <f t="shared" si="2"/>
        <v>23053.889454238935</v>
      </c>
      <c r="S26" s="67"/>
    </row>
    <row r="27" spans="1:19" s="444" customFormat="1" ht="17.25" thickTop="1" thickBot="1">
      <c r="A27" s="685" t="s">
        <v>109</v>
      </c>
      <c r="B27" s="786"/>
      <c r="C27" s="686">
        <f ca="1">C22+C16+C26</f>
        <v>73728.30930694782</v>
      </c>
      <c r="D27" s="686">
        <f t="shared" ref="D27:R27" ca="1" si="3">D22+D16+D26</f>
        <v>0</v>
      </c>
      <c r="E27" s="686">
        <f t="shared" ca="1" si="3"/>
        <v>199778.57069733081</v>
      </c>
      <c r="F27" s="686">
        <f t="shared" si="3"/>
        <v>3793.5214211722946</v>
      </c>
      <c r="G27" s="686">
        <f t="shared" ca="1" si="3"/>
        <v>84381.611644573772</v>
      </c>
      <c r="H27" s="686">
        <f t="shared" si="3"/>
        <v>58956.666515586141</v>
      </c>
      <c r="I27" s="686">
        <f t="shared" si="3"/>
        <v>10264.599425979832</v>
      </c>
      <c r="J27" s="686">
        <f t="shared" si="3"/>
        <v>0</v>
      </c>
      <c r="K27" s="686">
        <f t="shared" si="3"/>
        <v>1506.0264286596735</v>
      </c>
      <c r="L27" s="686">
        <f t="shared" si="3"/>
        <v>0</v>
      </c>
      <c r="M27" s="686">
        <f t="shared" ca="1" si="3"/>
        <v>0</v>
      </c>
      <c r="N27" s="686">
        <f t="shared" si="3"/>
        <v>3129.6940513249101</v>
      </c>
      <c r="O27" s="686">
        <f t="shared" ca="1" si="3"/>
        <v>13979.97235148755</v>
      </c>
      <c r="P27" s="686">
        <f t="shared" si="3"/>
        <v>200.10666666666668</v>
      </c>
      <c r="Q27" s="686">
        <f t="shared" si="3"/>
        <v>228.8</v>
      </c>
      <c r="R27" s="686">
        <f t="shared" ca="1" si="3"/>
        <v>449947.87850972946</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3720.0775081414326</v>
      </c>
      <c r="D40" s="676">
        <f ca="1">tertiair!C20</f>
        <v>0</v>
      </c>
      <c r="E40" s="676">
        <f ca="1">tertiair!D20</f>
        <v>3254.2294202857806</v>
      </c>
      <c r="F40" s="676">
        <f>tertiair!E20</f>
        <v>52.408683150045334</v>
      </c>
      <c r="G40" s="676">
        <f ca="1">tertiair!F20</f>
        <v>919.3767792880642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7946.0923908653231</v>
      </c>
    </row>
    <row r="41" spans="1:18">
      <c r="A41" s="804" t="s">
        <v>214</v>
      </c>
      <c r="B41" s="811"/>
      <c r="C41" s="676">
        <f ca="1">huishoudens!B12</f>
        <v>4777.3209326299593</v>
      </c>
      <c r="D41" s="676">
        <f ca="1">huishoudens!C12</f>
        <v>0</v>
      </c>
      <c r="E41" s="676">
        <f>huishoudens!D12</f>
        <v>9343.3583956537259</v>
      </c>
      <c r="F41" s="676">
        <f>huishoudens!E12</f>
        <v>301.69843959312681</v>
      </c>
      <c r="G41" s="676">
        <f>huishoudens!F12</f>
        <v>10874.888018087158</v>
      </c>
      <c r="H41" s="676">
        <f>huishoudens!G12</f>
        <v>0</v>
      </c>
      <c r="I41" s="676">
        <f>huishoudens!H12</f>
        <v>0</v>
      </c>
      <c r="J41" s="676">
        <f>huishoudens!I12</f>
        <v>0</v>
      </c>
      <c r="K41" s="676">
        <f>huishoudens!J12</f>
        <v>273.05561327148564</v>
      </c>
      <c r="L41" s="676">
        <f>huishoudens!K12</f>
        <v>0</v>
      </c>
      <c r="M41" s="676">
        <f>huishoudens!L12</f>
        <v>0</v>
      </c>
      <c r="N41" s="676">
        <f>huishoudens!M12</f>
        <v>0</v>
      </c>
      <c r="O41" s="676">
        <f>huishoudens!N12</f>
        <v>0</v>
      </c>
      <c r="P41" s="676">
        <f>huishoudens!O12</f>
        <v>0</v>
      </c>
      <c r="Q41" s="753">
        <f>huishoudens!P12</f>
        <v>0</v>
      </c>
      <c r="R41" s="832">
        <f t="shared" ca="1" si="4"/>
        <v>25570.321399235454</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5718.5425230028932</v>
      </c>
      <c r="D43" s="676">
        <f ca="1">industrie!C22</f>
        <v>0</v>
      </c>
      <c r="E43" s="676">
        <f>industrie!D22</f>
        <v>27415.641163117143</v>
      </c>
      <c r="F43" s="676">
        <f>industrie!E22</f>
        <v>445.75196522763162</v>
      </c>
      <c r="G43" s="676">
        <f>industrie!F22</f>
        <v>6530.3453649061412</v>
      </c>
      <c r="H43" s="676">
        <f>industrie!G22</f>
        <v>0</v>
      </c>
      <c r="I43" s="676">
        <f>industrie!H22</f>
        <v>0</v>
      </c>
      <c r="J43" s="676">
        <f>industrie!I22</f>
        <v>0</v>
      </c>
      <c r="K43" s="676">
        <f>industrie!J22</f>
        <v>17.052539712725178</v>
      </c>
      <c r="L43" s="676">
        <f>industrie!K22</f>
        <v>0</v>
      </c>
      <c r="M43" s="676">
        <f>industrie!L22</f>
        <v>0</v>
      </c>
      <c r="N43" s="676">
        <f>industrie!M22</f>
        <v>0</v>
      </c>
      <c r="O43" s="676">
        <f>industrie!N22</f>
        <v>0</v>
      </c>
      <c r="P43" s="676">
        <f>industrie!O22</f>
        <v>0</v>
      </c>
      <c r="Q43" s="753">
        <f>industrie!P22</f>
        <v>0</v>
      </c>
      <c r="R43" s="831">
        <f t="shared" ca="1" si="4"/>
        <v>40127.333555966536</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14215.940963774287</v>
      </c>
      <c r="D46" s="711">
        <f t="shared" ref="D46:Q46" ca="1" si="5">SUM(D39:D45)</f>
        <v>0</v>
      </c>
      <c r="E46" s="711">
        <f t="shared" ca="1" si="5"/>
        <v>40013.22897905665</v>
      </c>
      <c r="F46" s="711">
        <f t="shared" si="5"/>
        <v>799.85908797080378</v>
      </c>
      <c r="G46" s="711">
        <f t="shared" ca="1" si="5"/>
        <v>18324.610162281366</v>
      </c>
      <c r="H46" s="711">
        <f t="shared" si="5"/>
        <v>0</v>
      </c>
      <c r="I46" s="711">
        <f t="shared" si="5"/>
        <v>0</v>
      </c>
      <c r="J46" s="711">
        <f t="shared" si="5"/>
        <v>0</v>
      </c>
      <c r="K46" s="711">
        <f t="shared" si="5"/>
        <v>290.10815298421085</v>
      </c>
      <c r="L46" s="711">
        <f t="shared" si="5"/>
        <v>0</v>
      </c>
      <c r="M46" s="711">
        <f t="shared" ca="1" si="5"/>
        <v>0</v>
      </c>
      <c r="N46" s="711">
        <f t="shared" si="5"/>
        <v>0</v>
      </c>
      <c r="O46" s="711">
        <f t="shared" ca="1" si="5"/>
        <v>0</v>
      </c>
      <c r="P46" s="711">
        <f t="shared" si="5"/>
        <v>0</v>
      </c>
      <c r="Q46" s="711">
        <f t="shared" si="5"/>
        <v>0</v>
      </c>
      <c r="R46" s="711">
        <f ca="1">SUM(R39:R45)</f>
        <v>73643.747346067306</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0.57442972190219088</v>
      </c>
      <c r="D49" s="676">
        <f ca="1">transport!C58</f>
        <v>0</v>
      </c>
      <c r="E49" s="676">
        <f>transport!D58</f>
        <v>0</v>
      </c>
      <c r="F49" s="676">
        <f>transport!E58</f>
        <v>0</v>
      </c>
      <c r="G49" s="676">
        <f>transport!F58</f>
        <v>0</v>
      </c>
      <c r="H49" s="676">
        <f>transport!G58</f>
        <v>144.57850857980401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145.1529383017062</v>
      </c>
    </row>
    <row r="50" spans="1:18">
      <c r="A50" s="807" t="s">
        <v>296</v>
      </c>
      <c r="B50" s="817"/>
      <c r="C50" s="682">
        <f ca="1">transport!B18</f>
        <v>1.0881938828675433</v>
      </c>
      <c r="D50" s="682">
        <f>transport!C18</f>
        <v>0</v>
      </c>
      <c r="E50" s="682">
        <f>transport!D18</f>
        <v>1.2319073106391325</v>
      </c>
      <c r="F50" s="682">
        <f>transport!E18</f>
        <v>48.212359379706051</v>
      </c>
      <c r="G50" s="682">
        <f>transport!F18</f>
        <v>0</v>
      </c>
      <c r="H50" s="682">
        <f>transport!G18</f>
        <v>15596.851451081697</v>
      </c>
      <c r="I50" s="682">
        <f>transport!H18</f>
        <v>2555.8852570689783</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18203.269168723888</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1.6626236047697343</v>
      </c>
      <c r="D52" s="711">
        <f t="shared" ref="D52:Q52" ca="1" si="6">SUM(D48:D51)</f>
        <v>0</v>
      </c>
      <c r="E52" s="711">
        <f t="shared" si="6"/>
        <v>1.2319073106391325</v>
      </c>
      <c r="F52" s="711">
        <f t="shared" si="6"/>
        <v>48.212359379706051</v>
      </c>
      <c r="G52" s="711">
        <f t="shared" si="6"/>
        <v>0</v>
      </c>
      <c r="H52" s="711">
        <f t="shared" si="6"/>
        <v>15741.4299596615</v>
      </c>
      <c r="I52" s="711">
        <f t="shared" si="6"/>
        <v>2555.8852570689783</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18348.422107025595</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942.58220963219844</v>
      </c>
      <c r="D54" s="682">
        <f ca="1">+landbouw!C12</f>
        <v>0</v>
      </c>
      <c r="E54" s="682">
        <f>+landbouw!D12</f>
        <v>104.38142284581453</v>
      </c>
      <c r="F54" s="682">
        <f>+landbouw!E12</f>
        <v>13.057915255601136</v>
      </c>
      <c r="G54" s="682">
        <f>+landbouw!F12</f>
        <v>4205.2801468198322</v>
      </c>
      <c r="H54" s="682">
        <f>+landbouw!G12</f>
        <v>0</v>
      </c>
      <c r="I54" s="682">
        <f>+landbouw!H12</f>
        <v>0</v>
      </c>
      <c r="J54" s="682">
        <f>+landbouw!I12</f>
        <v>0</v>
      </c>
      <c r="K54" s="682">
        <f>+landbouw!J12</f>
        <v>243.02520276131349</v>
      </c>
      <c r="L54" s="682">
        <f>+landbouw!K12</f>
        <v>0</v>
      </c>
      <c r="M54" s="682">
        <f>+landbouw!L12</f>
        <v>0</v>
      </c>
      <c r="N54" s="682">
        <f>+landbouw!M12</f>
        <v>0</v>
      </c>
      <c r="O54" s="682">
        <f>+landbouw!N12</f>
        <v>0</v>
      </c>
      <c r="P54" s="682">
        <f>+landbouw!O12</f>
        <v>0</v>
      </c>
      <c r="Q54" s="683">
        <f>+landbouw!P12</f>
        <v>0</v>
      </c>
      <c r="R54" s="710">
        <f ca="1">SUM(C54:Q54)</f>
        <v>5508.3268973147597</v>
      </c>
    </row>
    <row r="55" spans="1:18" ht="15" thickBot="1">
      <c r="A55" s="807" t="s">
        <v>833</v>
      </c>
      <c r="B55" s="817"/>
      <c r="C55" s="682">
        <f ca="1">C25*'EF ele_warmte'!B12</f>
        <v>63.5231202607551</v>
      </c>
      <c r="D55" s="682"/>
      <c r="E55" s="682">
        <f>E25*EF_CO2_aardgas</f>
        <v>236.42897164772728</v>
      </c>
      <c r="F55" s="682"/>
      <c r="G55" s="682"/>
      <c r="H55" s="682"/>
      <c r="I55" s="682"/>
      <c r="J55" s="682"/>
      <c r="K55" s="682"/>
      <c r="L55" s="682"/>
      <c r="M55" s="682"/>
      <c r="N55" s="682"/>
      <c r="O55" s="682"/>
      <c r="P55" s="682"/>
      <c r="Q55" s="683"/>
      <c r="R55" s="710">
        <f ca="1">SUM(C55:Q55)</f>
        <v>299.95209190848237</v>
      </c>
    </row>
    <row r="56" spans="1:18" ht="15.75" thickBot="1">
      <c r="A56" s="805" t="s">
        <v>834</v>
      </c>
      <c r="B56" s="818"/>
      <c r="C56" s="711">
        <f ca="1">SUM(C54:C55)</f>
        <v>1006.1053298929536</v>
      </c>
      <c r="D56" s="711">
        <f t="shared" ref="D56:Q56" ca="1" si="7">SUM(D54:D55)</f>
        <v>0</v>
      </c>
      <c r="E56" s="711">
        <f t="shared" si="7"/>
        <v>340.81039449354182</v>
      </c>
      <c r="F56" s="711">
        <f t="shared" si="7"/>
        <v>13.057915255601136</v>
      </c>
      <c r="G56" s="711">
        <f t="shared" si="7"/>
        <v>4205.2801468198322</v>
      </c>
      <c r="H56" s="711">
        <f t="shared" si="7"/>
        <v>0</v>
      </c>
      <c r="I56" s="711">
        <f t="shared" si="7"/>
        <v>0</v>
      </c>
      <c r="J56" s="711">
        <f t="shared" si="7"/>
        <v>0</v>
      </c>
      <c r="K56" s="711">
        <f t="shared" si="7"/>
        <v>243.02520276131349</v>
      </c>
      <c r="L56" s="711">
        <f t="shared" si="7"/>
        <v>0</v>
      </c>
      <c r="M56" s="711">
        <f t="shared" si="7"/>
        <v>0</v>
      </c>
      <c r="N56" s="711">
        <f t="shared" si="7"/>
        <v>0</v>
      </c>
      <c r="O56" s="711">
        <f t="shared" si="7"/>
        <v>0</v>
      </c>
      <c r="P56" s="711">
        <f t="shared" si="7"/>
        <v>0</v>
      </c>
      <c r="Q56" s="712">
        <f t="shared" si="7"/>
        <v>0</v>
      </c>
      <c r="R56" s="713">
        <f ca="1">SUM(R54:R55)</f>
        <v>5808.2789892232422</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15223.70891727201</v>
      </c>
      <c r="D61" s="719">
        <f t="shared" ref="D61:Q61" ca="1" si="8">D46+D52+D56</f>
        <v>0</v>
      </c>
      <c r="E61" s="719">
        <f t="shared" ca="1" si="8"/>
        <v>40355.271280860834</v>
      </c>
      <c r="F61" s="719">
        <f t="shared" si="8"/>
        <v>861.12936260611104</v>
      </c>
      <c r="G61" s="719">
        <f t="shared" ca="1" si="8"/>
        <v>22529.890309101196</v>
      </c>
      <c r="H61" s="719">
        <f t="shared" si="8"/>
        <v>15741.4299596615</v>
      </c>
      <c r="I61" s="719">
        <f t="shared" si="8"/>
        <v>2555.8852570689783</v>
      </c>
      <c r="J61" s="719">
        <f t="shared" si="8"/>
        <v>0</v>
      </c>
      <c r="K61" s="719">
        <f t="shared" si="8"/>
        <v>533.13335574552434</v>
      </c>
      <c r="L61" s="719">
        <f t="shared" si="8"/>
        <v>0</v>
      </c>
      <c r="M61" s="719">
        <f t="shared" ca="1" si="8"/>
        <v>0</v>
      </c>
      <c r="N61" s="719">
        <f t="shared" si="8"/>
        <v>0</v>
      </c>
      <c r="O61" s="719">
        <f t="shared" ca="1" si="8"/>
        <v>0</v>
      </c>
      <c r="P61" s="719">
        <f t="shared" si="8"/>
        <v>0</v>
      </c>
      <c r="Q61" s="719">
        <f t="shared" si="8"/>
        <v>0</v>
      </c>
      <c r="R61" s="719">
        <f ca="1">R46+R52+R56</f>
        <v>97800.448442316148</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0.2064839009652619</v>
      </c>
      <c r="D63" s="762">
        <f t="shared" ca="1" si="9"/>
        <v>0</v>
      </c>
      <c r="E63" s="984">
        <f t="shared" ca="1" si="9"/>
        <v>0.20200000000000004</v>
      </c>
      <c r="F63" s="762">
        <f t="shared" si="9"/>
        <v>0.22700000000000004</v>
      </c>
      <c r="G63" s="762">
        <f t="shared" ca="1" si="9"/>
        <v>0.26700000000000002</v>
      </c>
      <c r="H63" s="762">
        <f t="shared" si="9"/>
        <v>0.26700000000000002</v>
      </c>
      <c r="I63" s="762">
        <f t="shared" si="9"/>
        <v>0.24900000000000003</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4842.7485953097639</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4842.7485953097639</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23136.52982289248</v>
      </c>
      <c r="C4" s="448">
        <f>huishoudens!C8</f>
        <v>0</v>
      </c>
      <c r="D4" s="448">
        <f>huishoudens!D8</f>
        <v>46254.249483434287</v>
      </c>
      <c r="E4" s="448">
        <f>huishoudens!E8</f>
        <v>1329.0680158287523</v>
      </c>
      <c r="F4" s="448">
        <f>huishoudens!F8</f>
        <v>40729.917670738418</v>
      </c>
      <c r="G4" s="448">
        <f>huishoudens!G8</f>
        <v>0</v>
      </c>
      <c r="H4" s="448">
        <f>huishoudens!H8</f>
        <v>0</v>
      </c>
      <c r="I4" s="448">
        <f>huishoudens!I8</f>
        <v>0</v>
      </c>
      <c r="J4" s="448">
        <f>huishoudens!J8</f>
        <v>771.34354031493126</v>
      </c>
      <c r="K4" s="448">
        <f>huishoudens!K8</f>
        <v>0</v>
      </c>
      <c r="L4" s="448">
        <f>huishoudens!L8</f>
        <v>0</v>
      </c>
      <c r="M4" s="448">
        <f>huishoudens!M8</f>
        <v>0</v>
      </c>
      <c r="N4" s="448">
        <f>huishoudens!N8</f>
        <v>7984.1012687178027</v>
      </c>
      <c r="O4" s="448">
        <f>huishoudens!O8</f>
        <v>192.29000000000002</v>
      </c>
      <c r="P4" s="449">
        <f>huishoudens!P8</f>
        <v>209.73333333333335</v>
      </c>
      <c r="Q4" s="450">
        <f>SUM(B4:P4)</f>
        <v>120607.23313526</v>
      </c>
    </row>
    <row r="5" spans="1:17">
      <c r="A5" s="447" t="s">
        <v>149</v>
      </c>
      <c r="B5" s="448">
        <f ca="1">tertiair!B16</f>
        <v>17178.386764193612</v>
      </c>
      <c r="C5" s="448">
        <f ca="1">tertiair!C16</f>
        <v>0</v>
      </c>
      <c r="D5" s="448">
        <f ca="1">tertiair!D16</f>
        <v>16110.046635078121</v>
      </c>
      <c r="E5" s="448">
        <f>tertiair!E16</f>
        <v>230.87525616760058</v>
      </c>
      <c r="F5" s="448">
        <f ca="1">tertiair!F16</f>
        <v>3443.3587239253338</v>
      </c>
      <c r="G5" s="448">
        <f>tertiair!G16</f>
        <v>0</v>
      </c>
      <c r="H5" s="448">
        <f>tertiair!H16</f>
        <v>0</v>
      </c>
      <c r="I5" s="448">
        <f>tertiair!I16</f>
        <v>0</v>
      </c>
      <c r="J5" s="448">
        <f>tertiair!J16</f>
        <v>0</v>
      </c>
      <c r="K5" s="448">
        <f>tertiair!K16</f>
        <v>0</v>
      </c>
      <c r="L5" s="448">
        <f ca="1">tertiair!L16</f>
        <v>0</v>
      </c>
      <c r="M5" s="448">
        <f>tertiair!M16</f>
        <v>0</v>
      </c>
      <c r="N5" s="448">
        <f ca="1">tertiair!N16</f>
        <v>1819.1861809610664</v>
      </c>
      <c r="O5" s="448">
        <f>tertiair!O16</f>
        <v>7.8166666666666664</v>
      </c>
      <c r="P5" s="449">
        <f>tertiair!P16</f>
        <v>19.066666666666666</v>
      </c>
      <c r="Q5" s="447">
        <f t="shared" ref="Q5:Q14" ca="1" si="0">SUM(B5:P5)</f>
        <v>38808.736893659057</v>
      </c>
    </row>
    <row r="6" spans="1:17">
      <c r="A6" s="447" t="s">
        <v>187</v>
      </c>
      <c r="B6" s="448">
        <f>'openbare verlichting'!B8</f>
        <v>837.92100000000005</v>
      </c>
      <c r="C6" s="448"/>
      <c r="D6" s="448"/>
      <c r="E6" s="448"/>
      <c r="F6" s="448"/>
      <c r="G6" s="448"/>
      <c r="H6" s="448"/>
      <c r="I6" s="448"/>
      <c r="J6" s="448"/>
      <c r="K6" s="448"/>
      <c r="L6" s="448"/>
      <c r="M6" s="448"/>
      <c r="N6" s="448"/>
      <c r="O6" s="448"/>
      <c r="P6" s="449"/>
      <c r="Q6" s="447">
        <f t="shared" si="0"/>
        <v>837.92100000000005</v>
      </c>
    </row>
    <row r="7" spans="1:17">
      <c r="A7" s="447" t="s">
        <v>105</v>
      </c>
      <c r="B7" s="448">
        <f>landbouw!B8</f>
        <v>4564.9186460826068</v>
      </c>
      <c r="C7" s="448">
        <f>landbouw!C8</f>
        <v>0</v>
      </c>
      <c r="D7" s="448">
        <f>landbouw!D8</f>
        <v>516.73971705848771</v>
      </c>
      <c r="E7" s="448">
        <f>landbouw!E8</f>
        <v>57.523855751546854</v>
      </c>
      <c r="F7" s="448">
        <f>landbouw!F8</f>
        <v>15750.112909437572</v>
      </c>
      <c r="G7" s="448">
        <f>landbouw!G8</f>
        <v>0</v>
      </c>
      <c r="H7" s="448">
        <f>landbouw!H8</f>
        <v>0</v>
      </c>
      <c r="I7" s="448">
        <f>landbouw!I8</f>
        <v>0</v>
      </c>
      <c r="J7" s="448">
        <f>landbouw!J8</f>
        <v>686.51187220710028</v>
      </c>
      <c r="K7" s="448">
        <f>landbouw!K8</f>
        <v>0</v>
      </c>
      <c r="L7" s="448">
        <f>landbouw!L8</f>
        <v>0</v>
      </c>
      <c r="M7" s="448">
        <f>landbouw!M8</f>
        <v>0</v>
      </c>
      <c r="N7" s="448">
        <f>landbouw!N8</f>
        <v>0</v>
      </c>
      <c r="O7" s="448">
        <f>landbouw!O8</f>
        <v>0</v>
      </c>
      <c r="P7" s="449">
        <f>landbouw!P8</f>
        <v>0</v>
      </c>
      <c r="Q7" s="447">
        <f t="shared" si="0"/>
        <v>21575.807000537316</v>
      </c>
    </row>
    <row r="8" spans="1:17">
      <c r="A8" s="447" t="s">
        <v>639</v>
      </c>
      <c r="B8" s="448">
        <f>industrie!B18</f>
        <v>27694.859000000004</v>
      </c>
      <c r="C8" s="448">
        <f>industrie!C18</f>
        <v>0</v>
      </c>
      <c r="D8" s="448">
        <f>industrie!D18</f>
        <v>135720.99585701554</v>
      </c>
      <c r="E8" s="448">
        <f>industrie!E18</f>
        <v>1963.6650450556458</v>
      </c>
      <c r="F8" s="448">
        <f>industrie!F18</f>
        <v>24458.222340472439</v>
      </c>
      <c r="G8" s="448">
        <f>industrie!G18</f>
        <v>0</v>
      </c>
      <c r="H8" s="448">
        <f>industrie!H18</f>
        <v>0</v>
      </c>
      <c r="I8" s="448">
        <f>industrie!I18</f>
        <v>0</v>
      </c>
      <c r="J8" s="448">
        <f>industrie!J18</f>
        <v>48.171016137641743</v>
      </c>
      <c r="K8" s="448">
        <f>industrie!K18</f>
        <v>0</v>
      </c>
      <c r="L8" s="448">
        <f>industrie!L18</f>
        <v>0</v>
      </c>
      <c r="M8" s="448">
        <f>industrie!M18</f>
        <v>0</v>
      </c>
      <c r="N8" s="448">
        <f>industrie!N18</f>
        <v>4176.6849018086814</v>
      </c>
      <c r="O8" s="448">
        <f>industrie!O18</f>
        <v>0</v>
      </c>
      <c r="P8" s="449">
        <f>industrie!P18</f>
        <v>0</v>
      </c>
      <c r="Q8" s="447">
        <f t="shared" si="0"/>
        <v>194062.59816048996</v>
      </c>
    </row>
    <row r="9" spans="1:17" s="453" customFormat="1">
      <c r="A9" s="451" t="s">
        <v>557</v>
      </c>
      <c r="B9" s="452">
        <f>transport!B14</f>
        <v>5.2701148989364413</v>
      </c>
      <c r="C9" s="452">
        <f>transport!C14</f>
        <v>0</v>
      </c>
      <c r="D9" s="452">
        <f>transport!D14</f>
        <v>6.0985510427679825</v>
      </c>
      <c r="E9" s="452">
        <f>transport!E14</f>
        <v>212.38924836874912</v>
      </c>
      <c r="F9" s="452">
        <f>transport!F14</f>
        <v>0</v>
      </c>
      <c r="G9" s="452">
        <f>transport!G14</f>
        <v>58415.17397408875</v>
      </c>
      <c r="H9" s="452">
        <f>transport!H14</f>
        <v>10264.599425979832</v>
      </c>
      <c r="I9" s="452">
        <f>transport!I14</f>
        <v>0</v>
      </c>
      <c r="J9" s="452">
        <f>transport!J14</f>
        <v>0</v>
      </c>
      <c r="K9" s="452">
        <f>transport!K14</f>
        <v>0</v>
      </c>
      <c r="L9" s="452">
        <f>transport!L14</f>
        <v>0</v>
      </c>
      <c r="M9" s="452">
        <f>transport!M14</f>
        <v>3105.4130707750678</v>
      </c>
      <c r="N9" s="452">
        <f>transport!N14</f>
        <v>0</v>
      </c>
      <c r="O9" s="452">
        <f>transport!O14</f>
        <v>0</v>
      </c>
      <c r="P9" s="452">
        <f>transport!P14</f>
        <v>0</v>
      </c>
      <c r="Q9" s="451">
        <f>SUM(B9:P9)</f>
        <v>72008.944385154115</v>
      </c>
    </row>
    <row r="10" spans="1:17">
      <c r="A10" s="447" t="s">
        <v>547</v>
      </c>
      <c r="B10" s="448">
        <f>transport!B54</f>
        <v>2.7819588801687298</v>
      </c>
      <c r="C10" s="448">
        <f>transport!C54</f>
        <v>0</v>
      </c>
      <c r="D10" s="448">
        <f>transport!D54</f>
        <v>0</v>
      </c>
      <c r="E10" s="448">
        <f>transport!E54</f>
        <v>0</v>
      </c>
      <c r="F10" s="448">
        <f>transport!F54</f>
        <v>0</v>
      </c>
      <c r="G10" s="448">
        <f>transport!G54</f>
        <v>541.49254149739329</v>
      </c>
      <c r="H10" s="448">
        <f>transport!H54</f>
        <v>0</v>
      </c>
      <c r="I10" s="448">
        <f>transport!I54</f>
        <v>0</v>
      </c>
      <c r="J10" s="448">
        <f>transport!J54</f>
        <v>0</v>
      </c>
      <c r="K10" s="448">
        <f>transport!K54</f>
        <v>0</v>
      </c>
      <c r="L10" s="448">
        <f>transport!L54</f>
        <v>0</v>
      </c>
      <c r="M10" s="448">
        <f>transport!M54</f>
        <v>24.28098054984245</v>
      </c>
      <c r="N10" s="448">
        <f>transport!N54</f>
        <v>0</v>
      </c>
      <c r="O10" s="448">
        <f>transport!O54</f>
        <v>0</v>
      </c>
      <c r="P10" s="449">
        <f>transport!P54</f>
        <v>0</v>
      </c>
      <c r="Q10" s="447">
        <f t="shared" si="0"/>
        <v>568.55548092740446</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307.642</v>
      </c>
      <c r="C14" s="455"/>
      <c r="D14" s="455">
        <f>'SEAP template'!E25</f>
        <v>1170.4404537016201</v>
      </c>
      <c r="E14" s="455"/>
      <c r="F14" s="455"/>
      <c r="G14" s="455"/>
      <c r="H14" s="455"/>
      <c r="I14" s="455"/>
      <c r="J14" s="455"/>
      <c r="K14" s="455"/>
      <c r="L14" s="455"/>
      <c r="M14" s="455"/>
      <c r="N14" s="455"/>
      <c r="O14" s="455"/>
      <c r="P14" s="456"/>
      <c r="Q14" s="447">
        <f t="shared" si="0"/>
        <v>1478.0824537016201</v>
      </c>
    </row>
    <row r="15" spans="1:17" s="460" customFormat="1">
      <c r="A15" s="457" t="s">
        <v>551</v>
      </c>
      <c r="B15" s="458">
        <f ca="1">SUM(B4:B14)</f>
        <v>73728.30930694782</v>
      </c>
      <c r="C15" s="458">
        <f t="shared" ref="C15:Q15" ca="1" si="1">SUM(C4:C14)</f>
        <v>0</v>
      </c>
      <c r="D15" s="458">
        <f t="shared" ca="1" si="1"/>
        <v>199778.57069733081</v>
      </c>
      <c r="E15" s="458">
        <f t="shared" si="1"/>
        <v>3793.5214211722946</v>
      </c>
      <c r="F15" s="458">
        <f t="shared" ca="1" si="1"/>
        <v>84381.611644573757</v>
      </c>
      <c r="G15" s="458">
        <f t="shared" si="1"/>
        <v>58956.666515586141</v>
      </c>
      <c r="H15" s="458">
        <f t="shared" si="1"/>
        <v>10264.599425979832</v>
      </c>
      <c r="I15" s="458">
        <f t="shared" si="1"/>
        <v>0</v>
      </c>
      <c r="J15" s="458">
        <f t="shared" si="1"/>
        <v>1506.0264286596735</v>
      </c>
      <c r="K15" s="458">
        <f t="shared" si="1"/>
        <v>0</v>
      </c>
      <c r="L15" s="458">
        <f t="shared" ca="1" si="1"/>
        <v>0</v>
      </c>
      <c r="M15" s="458">
        <f t="shared" si="1"/>
        <v>3129.6940513249101</v>
      </c>
      <c r="N15" s="458">
        <f t="shared" ca="1" si="1"/>
        <v>13979.97235148755</v>
      </c>
      <c r="O15" s="458">
        <f t="shared" si="1"/>
        <v>200.10666666666668</v>
      </c>
      <c r="P15" s="458">
        <f t="shared" si="1"/>
        <v>228.8</v>
      </c>
      <c r="Q15" s="458">
        <f t="shared" ca="1" si="1"/>
        <v>449947.87850972952</v>
      </c>
    </row>
    <row r="17" spans="1:17">
      <c r="A17" s="461" t="s">
        <v>552</v>
      </c>
      <c r="B17" s="767">
        <f ca="1">huishoudens!B10</f>
        <v>0.2064839009652619</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4777.3209326299593</v>
      </c>
      <c r="C22" s="448">
        <f t="shared" ref="C22:C32" ca="1" si="3">C4*$C$17</f>
        <v>0</v>
      </c>
      <c r="D22" s="448">
        <f t="shared" ref="D22:D32" si="4">D4*$D$17</f>
        <v>9343.3583956537259</v>
      </c>
      <c r="E22" s="448">
        <f t="shared" ref="E22:E32" si="5">E4*$E$17</f>
        <v>301.69843959312681</v>
      </c>
      <c r="F22" s="448">
        <f t="shared" ref="F22:F32" si="6">F4*$F$17</f>
        <v>10874.888018087158</v>
      </c>
      <c r="G22" s="448">
        <f t="shared" ref="G22:G32" si="7">G4*$G$17</f>
        <v>0</v>
      </c>
      <c r="H22" s="448">
        <f t="shared" ref="H22:H32" si="8">H4*$H$17</f>
        <v>0</v>
      </c>
      <c r="I22" s="448">
        <f t="shared" ref="I22:I32" si="9">I4*$I$17</f>
        <v>0</v>
      </c>
      <c r="J22" s="448">
        <f t="shared" ref="J22:J32" si="10">J4*$J$17</f>
        <v>273.05561327148564</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25570.321399235454</v>
      </c>
    </row>
    <row r="23" spans="1:17">
      <c r="A23" s="447" t="s">
        <v>149</v>
      </c>
      <c r="B23" s="448">
        <f t="shared" ca="1" si="2"/>
        <v>3547.0603113607194</v>
      </c>
      <c r="C23" s="448">
        <f t="shared" ca="1" si="3"/>
        <v>0</v>
      </c>
      <c r="D23" s="448">
        <f t="shared" ca="1" si="4"/>
        <v>3254.2294202857806</v>
      </c>
      <c r="E23" s="448">
        <f t="shared" si="5"/>
        <v>52.408683150045334</v>
      </c>
      <c r="F23" s="448">
        <f t="shared" ca="1" si="6"/>
        <v>919.3767792880642</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7773.0751940846103</v>
      </c>
    </row>
    <row r="24" spans="1:17">
      <c r="A24" s="447" t="s">
        <v>187</v>
      </c>
      <c r="B24" s="448">
        <f t="shared" ca="1" si="2"/>
        <v>173.01719678071322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173.01719678071322</v>
      </c>
    </row>
    <row r="25" spans="1:17">
      <c r="A25" s="447" t="s">
        <v>105</v>
      </c>
      <c r="B25" s="448">
        <f t="shared" ca="1" si="2"/>
        <v>942.58220963219844</v>
      </c>
      <c r="C25" s="448">
        <f t="shared" ca="1" si="3"/>
        <v>0</v>
      </c>
      <c r="D25" s="448">
        <f t="shared" si="4"/>
        <v>104.38142284581453</v>
      </c>
      <c r="E25" s="448">
        <f t="shared" si="5"/>
        <v>13.057915255601136</v>
      </c>
      <c r="F25" s="448">
        <f t="shared" si="6"/>
        <v>4205.2801468198322</v>
      </c>
      <c r="G25" s="448">
        <f t="shared" si="7"/>
        <v>0</v>
      </c>
      <c r="H25" s="448">
        <f t="shared" si="8"/>
        <v>0</v>
      </c>
      <c r="I25" s="448">
        <f t="shared" si="9"/>
        <v>0</v>
      </c>
      <c r="J25" s="448">
        <f t="shared" si="10"/>
        <v>243.02520276131349</v>
      </c>
      <c r="K25" s="448">
        <f t="shared" si="11"/>
        <v>0</v>
      </c>
      <c r="L25" s="448">
        <f t="shared" si="12"/>
        <v>0</v>
      </c>
      <c r="M25" s="448">
        <f t="shared" si="13"/>
        <v>0</v>
      </c>
      <c r="N25" s="448">
        <f t="shared" si="14"/>
        <v>0</v>
      </c>
      <c r="O25" s="448">
        <f t="shared" si="15"/>
        <v>0</v>
      </c>
      <c r="P25" s="449">
        <f t="shared" si="16"/>
        <v>0</v>
      </c>
      <c r="Q25" s="447">
        <f t="shared" ca="1" si="17"/>
        <v>5508.3268973147597</v>
      </c>
    </row>
    <row r="26" spans="1:17">
      <c r="A26" s="447" t="s">
        <v>639</v>
      </c>
      <c r="B26" s="448">
        <f t="shared" ca="1" si="2"/>
        <v>5718.5425230028932</v>
      </c>
      <c r="C26" s="448">
        <f t="shared" ca="1" si="3"/>
        <v>0</v>
      </c>
      <c r="D26" s="448">
        <f t="shared" si="4"/>
        <v>27415.641163117143</v>
      </c>
      <c r="E26" s="448">
        <f t="shared" si="5"/>
        <v>445.75196522763162</v>
      </c>
      <c r="F26" s="448">
        <f t="shared" si="6"/>
        <v>6530.3453649061412</v>
      </c>
      <c r="G26" s="448">
        <f t="shared" si="7"/>
        <v>0</v>
      </c>
      <c r="H26" s="448">
        <f t="shared" si="8"/>
        <v>0</v>
      </c>
      <c r="I26" s="448">
        <f t="shared" si="9"/>
        <v>0</v>
      </c>
      <c r="J26" s="448">
        <f t="shared" si="10"/>
        <v>17.052539712725178</v>
      </c>
      <c r="K26" s="448">
        <f t="shared" si="11"/>
        <v>0</v>
      </c>
      <c r="L26" s="448">
        <f t="shared" si="12"/>
        <v>0</v>
      </c>
      <c r="M26" s="448">
        <f t="shared" si="13"/>
        <v>0</v>
      </c>
      <c r="N26" s="448">
        <f t="shared" si="14"/>
        <v>0</v>
      </c>
      <c r="O26" s="448">
        <f t="shared" si="15"/>
        <v>0</v>
      </c>
      <c r="P26" s="449">
        <f t="shared" si="16"/>
        <v>0</v>
      </c>
      <c r="Q26" s="447">
        <f t="shared" ca="1" si="17"/>
        <v>40127.333555966536</v>
      </c>
    </row>
    <row r="27" spans="1:17" s="453" customFormat="1">
      <c r="A27" s="451" t="s">
        <v>557</v>
      </c>
      <c r="B27" s="761">
        <f t="shared" ca="1" si="2"/>
        <v>1.0881938828675433</v>
      </c>
      <c r="C27" s="452">
        <f t="shared" ca="1" si="3"/>
        <v>0</v>
      </c>
      <c r="D27" s="452">
        <f t="shared" si="4"/>
        <v>1.2319073106391325</v>
      </c>
      <c r="E27" s="452">
        <f t="shared" si="5"/>
        <v>48.212359379706051</v>
      </c>
      <c r="F27" s="452">
        <f t="shared" si="6"/>
        <v>0</v>
      </c>
      <c r="G27" s="452">
        <f t="shared" si="7"/>
        <v>15596.851451081697</v>
      </c>
      <c r="H27" s="452">
        <f t="shared" si="8"/>
        <v>2555.8852570689783</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18203.269168723888</v>
      </c>
    </row>
    <row r="28" spans="1:17">
      <c r="A28" s="447" t="s">
        <v>547</v>
      </c>
      <c r="B28" s="448">
        <f t="shared" ca="1" si="2"/>
        <v>0.57442972190219088</v>
      </c>
      <c r="C28" s="448">
        <f t="shared" ca="1" si="3"/>
        <v>0</v>
      </c>
      <c r="D28" s="448">
        <f t="shared" si="4"/>
        <v>0</v>
      </c>
      <c r="E28" s="448">
        <f t="shared" si="5"/>
        <v>0</v>
      </c>
      <c r="F28" s="448">
        <f t="shared" si="6"/>
        <v>0</v>
      </c>
      <c r="G28" s="448">
        <f t="shared" si="7"/>
        <v>144.57850857980401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145.1529383017062</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63.5231202607551</v>
      </c>
      <c r="C32" s="448">
        <f t="shared" ca="1" si="3"/>
        <v>0</v>
      </c>
      <c r="D32" s="448">
        <f t="shared" si="4"/>
        <v>236.42897164772728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299.95209190848237</v>
      </c>
    </row>
    <row r="33" spans="1:17" s="460" customFormat="1">
      <c r="A33" s="457" t="s">
        <v>551</v>
      </c>
      <c r="B33" s="458">
        <f ca="1">SUM(B22:B32)</f>
        <v>15223.70891727201</v>
      </c>
      <c r="C33" s="458">
        <f t="shared" ref="C33:Q33" ca="1" si="18">SUM(C22:C32)</f>
        <v>0</v>
      </c>
      <c r="D33" s="458">
        <f t="shared" ca="1" si="18"/>
        <v>40355.271280860834</v>
      </c>
      <c r="E33" s="458">
        <f t="shared" si="18"/>
        <v>861.12936260611093</v>
      </c>
      <c r="F33" s="458">
        <f t="shared" ca="1" si="18"/>
        <v>22529.890309101196</v>
      </c>
      <c r="G33" s="458">
        <f t="shared" si="18"/>
        <v>15741.4299596615</v>
      </c>
      <c r="H33" s="458">
        <f t="shared" si="18"/>
        <v>2555.8852570689783</v>
      </c>
      <c r="I33" s="458">
        <f t="shared" si="18"/>
        <v>0</v>
      </c>
      <c r="J33" s="458">
        <f t="shared" si="18"/>
        <v>533.13335574552434</v>
      </c>
      <c r="K33" s="458">
        <f t="shared" si="18"/>
        <v>0</v>
      </c>
      <c r="L33" s="458">
        <f t="shared" ca="1" si="18"/>
        <v>0</v>
      </c>
      <c r="M33" s="458">
        <f t="shared" si="18"/>
        <v>0</v>
      </c>
      <c r="N33" s="458">
        <f t="shared" ca="1" si="18"/>
        <v>0</v>
      </c>
      <c r="O33" s="458">
        <f t="shared" si="18"/>
        <v>0</v>
      </c>
      <c r="P33" s="458">
        <f t="shared" si="18"/>
        <v>0</v>
      </c>
      <c r="Q33" s="458">
        <f t="shared" ca="1" si="18"/>
        <v>97800.448442316134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4842.7485953097639</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4842.7485953097639</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0.2064839009652619</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0.2064839009652619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0.2064839009652619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0.2064839009652619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4995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4036</v>
      </c>
      <c r="C14" s="327"/>
      <c r="D14" s="327"/>
      <c r="E14" s="327"/>
      <c r="F14" s="327"/>
    </row>
    <row r="15" spans="1:6">
      <c r="A15" s="1296" t="s">
        <v>177</v>
      </c>
      <c r="B15" s="1297">
        <v>647</v>
      </c>
      <c r="C15" s="327"/>
      <c r="D15" s="327"/>
      <c r="E15" s="327"/>
      <c r="F15" s="327"/>
    </row>
    <row r="16" spans="1:6">
      <c r="A16" s="1296" t="s">
        <v>6</v>
      </c>
      <c r="B16" s="1297">
        <v>1077</v>
      </c>
      <c r="C16" s="327"/>
      <c r="D16" s="327"/>
      <c r="E16" s="327"/>
      <c r="F16" s="327"/>
    </row>
    <row r="17" spans="1:6">
      <c r="A17" s="1296" t="s">
        <v>7</v>
      </c>
      <c r="B17" s="1297">
        <v>1166</v>
      </c>
      <c r="C17" s="327"/>
      <c r="D17" s="327"/>
      <c r="E17" s="327"/>
      <c r="F17" s="327"/>
    </row>
    <row r="18" spans="1:6">
      <c r="A18" s="1296" t="s">
        <v>8</v>
      </c>
      <c r="B18" s="1297">
        <v>1880</v>
      </c>
      <c r="C18" s="327"/>
      <c r="D18" s="327"/>
      <c r="E18" s="327"/>
      <c r="F18" s="327"/>
    </row>
    <row r="19" spans="1:6">
      <c r="A19" s="1296" t="s">
        <v>9</v>
      </c>
      <c r="B19" s="1297">
        <v>1794</v>
      </c>
      <c r="C19" s="327"/>
      <c r="D19" s="327"/>
      <c r="E19" s="327"/>
      <c r="F19" s="327"/>
    </row>
    <row r="20" spans="1:6">
      <c r="A20" s="1296" t="s">
        <v>10</v>
      </c>
      <c r="B20" s="1297">
        <v>899</v>
      </c>
      <c r="C20" s="327"/>
      <c r="D20" s="327"/>
      <c r="E20" s="327"/>
      <c r="F20" s="327"/>
    </row>
    <row r="21" spans="1:6">
      <c r="A21" s="1296" t="s">
        <v>11</v>
      </c>
      <c r="B21" s="1297">
        <v>28178</v>
      </c>
      <c r="C21" s="327"/>
      <c r="D21" s="327"/>
      <c r="E21" s="327"/>
      <c r="F21" s="327"/>
    </row>
    <row r="22" spans="1:6">
      <c r="A22" s="1296" t="s">
        <v>12</v>
      </c>
      <c r="B22" s="1297">
        <v>72934</v>
      </c>
      <c r="C22" s="327"/>
      <c r="D22" s="327"/>
      <c r="E22" s="327"/>
      <c r="F22" s="327"/>
    </row>
    <row r="23" spans="1:6">
      <c r="A23" s="1296" t="s">
        <v>13</v>
      </c>
      <c r="B23" s="1297">
        <v>1447</v>
      </c>
      <c r="C23" s="327"/>
      <c r="D23" s="327"/>
      <c r="E23" s="327"/>
      <c r="F23" s="327"/>
    </row>
    <row r="24" spans="1:6">
      <c r="A24" s="1296" t="s">
        <v>14</v>
      </c>
      <c r="B24" s="1297">
        <v>65</v>
      </c>
      <c r="C24" s="327"/>
      <c r="D24" s="327"/>
      <c r="E24" s="327"/>
      <c r="F24" s="327"/>
    </row>
    <row r="25" spans="1:6">
      <c r="A25" s="1296" t="s">
        <v>15</v>
      </c>
      <c r="B25" s="1297">
        <v>6683</v>
      </c>
      <c r="C25" s="327"/>
      <c r="D25" s="327"/>
      <c r="E25" s="327"/>
      <c r="F25" s="327"/>
    </row>
    <row r="26" spans="1:6">
      <c r="A26" s="1296" t="s">
        <v>16</v>
      </c>
      <c r="B26" s="1297">
        <v>454</v>
      </c>
      <c r="C26" s="327"/>
      <c r="D26" s="327"/>
      <c r="E26" s="327"/>
      <c r="F26" s="327"/>
    </row>
    <row r="27" spans="1:6">
      <c r="A27" s="1296" t="s">
        <v>17</v>
      </c>
      <c r="B27" s="1297">
        <v>7</v>
      </c>
      <c r="C27" s="327"/>
      <c r="D27" s="327"/>
      <c r="E27" s="327"/>
      <c r="F27" s="327"/>
    </row>
    <row r="28" spans="1:6">
      <c r="A28" s="1296" t="s">
        <v>18</v>
      </c>
      <c r="B28" s="1298">
        <v>108139</v>
      </c>
      <c r="C28" s="327"/>
      <c r="D28" s="327"/>
      <c r="E28" s="327"/>
      <c r="F28" s="327"/>
    </row>
    <row r="29" spans="1:6">
      <c r="A29" s="1296" t="s">
        <v>922</v>
      </c>
      <c r="B29" s="1298">
        <v>197</v>
      </c>
      <c r="C29" s="327"/>
      <c r="D29" s="327"/>
      <c r="E29" s="327"/>
      <c r="F29" s="327"/>
    </row>
    <row r="30" spans="1:6">
      <c r="A30" s="1291" t="s">
        <v>923</v>
      </c>
      <c r="B30" s="1299">
        <v>12</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3</v>
      </c>
      <c r="D36" s="1297">
        <v>123122.253259337</v>
      </c>
      <c r="E36" s="1297">
        <v>9</v>
      </c>
      <c r="F36" s="1297">
        <v>41672</v>
      </c>
    </row>
    <row r="37" spans="1:6">
      <c r="A37" s="1296" t="s">
        <v>24</v>
      </c>
      <c r="B37" s="1296" t="s">
        <v>27</v>
      </c>
      <c r="C37" s="1297">
        <v>0</v>
      </c>
      <c r="D37" s="1297">
        <v>0</v>
      </c>
      <c r="E37" s="1297">
        <v>0</v>
      </c>
      <c r="F37" s="1297">
        <v>0</v>
      </c>
    </row>
    <row r="38" spans="1:6">
      <c r="A38" s="1296" t="s">
        <v>24</v>
      </c>
      <c r="B38" s="1296" t="s">
        <v>28</v>
      </c>
      <c r="C38" s="1297">
        <v>2</v>
      </c>
      <c r="D38" s="1297">
        <v>210350.84780709201</v>
      </c>
      <c r="E38" s="1297">
        <v>1</v>
      </c>
      <c r="F38" s="1297">
        <v>1814</v>
      </c>
    </row>
    <row r="39" spans="1:6">
      <c r="A39" s="1296" t="s">
        <v>29</v>
      </c>
      <c r="B39" s="1296" t="s">
        <v>30</v>
      </c>
      <c r="C39" s="1297">
        <v>2810</v>
      </c>
      <c r="D39" s="1297">
        <v>51279655.746601202</v>
      </c>
      <c r="E39" s="1297">
        <v>4743</v>
      </c>
      <c r="F39" s="1297">
        <v>20280160.02813898</v>
      </c>
    </row>
    <row r="40" spans="1:6">
      <c r="A40" s="1296" t="s">
        <v>29</v>
      </c>
      <c r="B40" s="1296" t="s">
        <v>28</v>
      </c>
      <c r="C40" s="1297">
        <v>0</v>
      </c>
      <c r="D40" s="1297">
        <v>0</v>
      </c>
      <c r="E40" s="1297">
        <v>0</v>
      </c>
      <c r="F40" s="1297">
        <v>0</v>
      </c>
    </row>
    <row r="41" spans="1:6">
      <c r="A41" s="1296" t="s">
        <v>31</v>
      </c>
      <c r="B41" s="1296" t="s">
        <v>32</v>
      </c>
      <c r="C41" s="1297">
        <v>44</v>
      </c>
      <c r="D41" s="1297">
        <v>890537.02332222601</v>
      </c>
      <c r="E41" s="1297">
        <v>147</v>
      </c>
      <c r="F41" s="1297">
        <v>2924234</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15</v>
      </c>
      <c r="D44" s="1297">
        <v>1395354.4100962901</v>
      </c>
      <c r="E44" s="1297">
        <v>39</v>
      </c>
      <c r="F44" s="1297">
        <v>2384992</v>
      </c>
    </row>
    <row r="45" spans="1:6">
      <c r="A45" s="1296" t="s">
        <v>31</v>
      </c>
      <c r="B45" s="1296" t="s">
        <v>36</v>
      </c>
      <c r="C45" s="1297">
        <v>0</v>
      </c>
      <c r="D45" s="1297">
        <v>0</v>
      </c>
      <c r="E45" s="1297">
        <v>4</v>
      </c>
      <c r="F45" s="1297">
        <v>8627148</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1127132</v>
      </c>
    </row>
    <row r="48" spans="1:6">
      <c r="A48" s="1296" t="s">
        <v>31</v>
      </c>
      <c r="B48" s="1296" t="s">
        <v>28</v>
      </c>
      <c r="C48" s="1297">
        <v>20</v>
      </c>
      <c r="D48" s="1297">
        <v>99649796.108073995</v>
      </c>
      <c r="E48" s="1297">
        <v>3</v>
      </c>
      <c r="F48" s="1297">
        <v>217802</v>
      </c>
    </row>
    <row r="49" spans="1:6">
      <c r="A49" s="1296" t="s">
        <v>31</v>
      </c>
      <c r="B49" s="1296" t="s">
        <v>39</v>
      </c>
      <c r="C49" s="1297">
        <v>0</v>
      </c>
      <c r="D49" s="1297">
        <v>0</v>
      </c>
      <c r="E49" s="1297">
        <v>0</v>
      </c>
      <c r="F49" s="1297">
        <v>0</v>
      </c>
    </row>
    <row r="50" spans="1:6">
      <c r="A50" s="1296" t="s">
        <v>31</v>
      </c>
      <c r="B50" s="1296" t="s">
        <v>40</v>
      </c>
      <c r="C50" s="1297">
        <v>13</v>
      </c>
      <c r="D50" s="1297">
        <v>48531048.441895001</v>
      </c>
      <c r="E50" s="1297">
        <v>22</v>
      </c>
      <c r="F50" s="1297">
        <v>12413551</v>
      </c>
    </row>
    <row r="51" spans="1:6">
      <c r="A51" s="1296" t="s">
        <v>41</v>
      </c>
      <c r="B51" s="1296" t="s">
        <v>42</v>
      </c>
      <c r="C51" s="1297">
        <v>16</v>
      </c>
      <c r="D51" s="1297">
        <v>475547.79582129902</v>
      </c>
      <c r="E51" s="1297">
        <v>229</v>
      </c>
      <c r="F51" s="1297">
        <v>4560732</v>
      </c>
    </row>
    <row r="52" spans="1:6">
      <c r="A52" s="1296" t="s">
        <v>41</v>
      </c>
      <c r="B52" s="1296" t="s">
        <v>28</v>
      </c>
      <c r="C52" s="1297">
        <v>5</v>
      </c>
      <c r="D52" s="1297">
        <v>97334.373866603099</v>
      </c>
      <c r="E52" s="1297">
        <v>1</v>
      </c>
      <c r="F52" s="1297">
        <v>4186.6460826067996</v>
      </c>
    </row>
    <row r="53" spans="1:6">
      <c r="A53" s="1296" t="s">
        <v>43</v>
      </c>
      <c r="B53" s="1296" t="s">
        <v>44</v>
      </c>
      <c r="C53" s="1297">
        <v>59</v>
      </c>
      <c r="D53" s="1297">
        <v>1170440.45370162</v>
      </c>
      <c r="E53" s="1297">
        <v>0</v>
      </c>
      <c r="F53" s="1297">
        <v>0</v>
      </c>
    </row>
    <row r="54" spans="1:6">
      <c r="A54" s="1296" t="s">
        <v>45</v>
      </c>
      <c r="B54" s="1296" t="s">
        <v>46</v>
      </c>
      <c r="C54" s="1297">
        <v>0</v>
      </c>
      <c r="D54" s="1297">
        <v>0</v>
      </c>
      <c r="E54" s="1297">
        <v>31</v>
      </c>
      <c r="F54" s="1297">
        <v>837921</v>
      </c>
    </row>
    <row r="55" spans="1:6">
      <c r="A55" s="1296" t="s">
        <v>45</v>
      </c>
      <c r="B55" s="1296" t="s">
        <v>28</v>
      </c>
      <c r="C55" s="1297">
        <v>0</v>
      </c>
      <c r="D55" s="1297">
        <v>0</v>
      </c>
      <c r="E55" s="1297">
        <v>0</v>
      </c>
      <c r="F55" s="1297">
        <v>0</v>
      </c>
    </row>
    <row r="56" spans="1:6">
      <c r="A56" s="1296" t="s">
        <v>47</v>
      </c>
      <c r="B56" s="1296" t="s">
        <v>28</v>
      </c>
      <c r="C56" s="1297">
        <v>0</v>
      </c>
      <c r="D56" s="1297">
        <v>0</v>
      </c>
      <c r="E56" s="1297">
        <v>71</v>
      </c>
      <c r="F56" s="1297">
        <v>307642</v>
      </c>
    </row>
    <row r="57" spans="1:6">
      <c r="A57" s="1296" t="s">
        <v>48</v>
      </c>
      <c r="B57" s="1296" t="s">
        <v>49</v>
      </c>
      <c r="C57" s="1297">
        <v>17</v>
      </c>
      <c r="D57" s="1297">
        <v>468965.06450268498</v>
      </c>
      <c r="E57" s="1297">
        <v>106</v>
      </c>
      <c r="F57" s="1297">
        <v>2554203</v>
      </c>
    </row>
    <row r="58" spans="1:6">
      <c r="A58" s="1296" t="s">
        <v>48</v>
      </c>
      <c r="B58" s="1296" t="s">
        <v>50</v>
      </c>
      <c r="C58" s="1297">
        <v>10</v>
      </c>
      <c r="D58" s="1297">
        <v>175451.77232672001</v>
      </c>
      <c r="E58" s="1297">
        <v>13</v>
      </c>
      <c r="F58" s="1297">
        <v>564872</v>
      </c>
    </row>
    <row r="59" spans="1:6">
      <c r="A59" s="1296" t="s">
        <v>48</v>
      </c>
      <c r="B59" s="1296" t="s">
        <v>51</v>
      </c>
      <c r="C59" s="1297">
        <v>38</v>
      </c>
      <c r="D59" s="1297">
        <v>1662901.46070503</v>
      </c>
      <c r="E59" s="1297">
        <v>173</v>
      </c>
      <c r="F59" s="1297">
        <v>11326239</v>
      </c>
    </row>
    <row r="60" spans="1:6">
      <c r="A60" s="1296" t="s">
        <v>48</v>
      </c>
      <c r="B60" s="1296" t="s">
        <v>52</v>
      </c>
      <c r="C60" s="1297">
        <v>34</v>
      </c>
      <c r="D60" s="1297">
        <v>6388965.7168712299</v>
      </c>
      <c r="E60" s="1297">
        <v>45</v>
      </c>
      <c r="F60" s="1297">
        <v>873984</v>
      </c>
    </row>
    <row r="61" spans="1:6">
      <c r="A61" s="1296" t="s">
        <v>48</v>
      </c>
      <c r="B61" s="1296" t="s">
        <v>53</v>
      </c>
      <c r="C61" s="1297">
        <v>73</v>
      </c>
      <c r="D61" s="1297">
        <v>5977638.2788364897</v>
      </c>
      <c r="E61" s="1297">
        <v>173</v>
      </c>
      <c r="F61" s="1297">
        <v>1436197</v>
      </c>
    </row>
    <row r="62" spans="1:6">
      <c r="A62" s="1296" t="s">
        <v>48</v>
      </c>
      <c r="B62" s="1296" t="s">
        <v>54</v>
      </c>
      <c r="C62" s="1297">
        <v>0</v>
      </c>
      <c r="D62" s="1297">
        <v>0</v>
      </c>
      <c r="E62" s="1297">
        <v>9</v>
      </c>
      <c r="F62" s="1297">
        <v>416470</v>
      </c>
    </row>
    <row r="63" spans="1:6">
      <c r="A63" s="1296" t="s">
        <v>48</v>
      </c>
      <c r="B63" s="1296" t="s">
        <v>28</v>
      </c>
      <c r="C63" s="1297">
        <v>81</v>
      </c>
      <c r="D63" s="1297">
        <v>3186439.8299043202</v>
      </c>
      <c r="E63" s="1297">
        <v>1</v>
      </c>
      <c r="F63" s="1297">
        <v>6421.7641936137998</v>
      </c>
    </row>
    <row r="64" spans="1:6">
      <c r="A64" s="1296" t="s">
        <v>55</v>
      </c>
      <c r="B64" s="1296" t="s">
        <v>56</v>
      </c>
      <c r="C64" s="1297">
        <v>0</v>
      </c>
      <c r="D64" s="1297">
        <v>0</v>
      </c>
      <c r="E64" s="1297">
        <v>0</v>
      </c>
      <c r="F64" s="1297">
        <v>0</v>
      </c>
    </row>
    <row r="65" spans="1:6">
      <c r="A65" s="1296" t="s">
        <v>55</v>
      </c>
      <c r="B65" s="1296" t="s">
        <v>28</v>
      </c>
      <c r="C65" s="1297">
        <v>1</v>
      </c>
      <c r="D65" s="1297">
        <v>7561.3487629507999</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3</v>
      </c>
      <c r="D68" s="1299">
        <v>66590.781663063201</v>
      </c>
      <c r="E68" s="1299">
        <v>25</v>
      </c>
      <c r="F68" s="1299">
        <v>334411</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31105504</v>
      </c>
      <c r="E73" s="446"/>
      <c r="F73" s="327"/>
    </row>
    <row r="74" spans="1:6">
      <c r="A74" s="1296" t="s">
        <v>63</v>
      </c>
      <c r="B74" s="1296" t="s">
        <v>706</v>
      </c>
      <c r="C74" s="1309" t="s">
        <v>707</v>
      </c>
      <c r="D74" s="1297">
        <v>3417007.0909913243</v>
      </c>
      <c r="E74" s="446"/>
      <c r="F74" s="327"/>
    </row>
    <row r="75" spans="1:6">
      <c r="A75" s="1296" t="s">
        <v>64</v>
      </c>
      <c r="B75" s="1296" t="s">
        <v>704</v>
      </c>
      <c r="C75" s="1309" t="s">
        <v>708</v>
      </c>
      <c r="D75" s="1297">
        <v>37191681</v>
      </c>
      <c r="E75" s="446"/>
      <c r="F75" s="327"/>
    </row>
    <row r="76" spans="1:6">
      <c r="A76" s="1296" t="s">
        <v>64</v>
      </c>
      <c r="B76" s="1296" t="s">
        <v>706</v>
      </c>
      <c r="C76" s="1309" t="s">
        <v>709</v>
      </c>
      <c r="D76" s="1297">
        <v>2803635.0909913243</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150479.81801735121</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2856.3697947535015</v>
      </c>
      <c r="C91" s="327"/>
      <c r="D91" s="327"/>
      <c r="E91" s="327"/>
      <c r="F91" s="327"/>
    </row>
    <row r="92" spans="1:6">
      <c r="A92" s="1291" t="s">
        <v>68</v>
      </c>
      <c r="B92" s="1292">
        <v>1986.3788005562628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1808</v>
      </c>
      <c r="C97" s="327"/>
      <c r="D97" s="327"/>
      <c r="E97" s="327"/>
      <c r="F97" s="327"/>
    </row>
    <row r="98" spans="1:6">
      <c r="A98" s="1296" t="s">
        <v>71</v>
      </c>
      <c r="B98" s="1297">
        <v>0</v>
      </c>
      <c r="C98" s="327"/>
      <c r="D98" s="327"/>
      <c r="E98" s="327"/>
      <c r="F98" s="327"/>
    </row>
    <row r="99" spans="1:6">
      <c r="A99" s="1296" t="s">
        <v>72</v>
      </c>
      <c r="B99" s="1297">
        <v>168</v>
      </c>
      <c r="C99" s="327"/>
      <c r="D99" s="327"/>
      <c r="E99" s="327"/>
      <c r="F99" s="327"/>
    </row>
    <row r="100" spans="1:6">
      <c r="A100" s="1296" t="s">
        <v>73</v>
      </c>
      <c r="B100" s="1297">
        <v>328</v>
      </c>
      <c r="C100" s="327"/>
      <c r="D100" s="327"/>
      <c r="E100" s="327"/>
      <c r="F100" s="327"/>
    </row>
    <row r="101" spans="1:6">
      <c r="A101" s="1296" t="s">
        <v>74</v>
      </c>
      <c r="B101" s="1297">
        <v>134</v>
      </c>
      <c r="C101" s="327"/>
      <c r="D101" s="327"/>
      <c r="E101" s="327"/>
      <c r="F101" s="327"/>
    </row>
    <row r="102" spans="1:6">
      <c r="A102" s="1296" t="s">
        <v>75</v>
      </c>
      <c r="B102" s="1297">
        <v>74</v>
      </c>
      <c r="C102" s="327"/>
      <c r="D102" s="327"/>
      <c r="E102" s="327"/>
      <c r="F102" s="327"/>
    </row>
    <row r="103" spans="1:6">
      <c r="A103" s="1296" t="s">
        <v>76</v>
      </c>
      <c r="B103" s="1297">
        <v>170</v>
      </c>
      <c r="C103" s="327"/>
      <c r="D103" s="327"/>
      <c r="E103" s="327"/>
      <c r="F103" s="327"/>
    </row>
    <row r="104" spans="1:6">
      <c r="A104" s="1296" t="s">
        <v>77</v>
      </c>
      <c r="B104" s="1297">
        <v>1855</v>
      </c>
      <c r="C104" s="327"/>
      <c r="D104" s="327"/>
      <c r="E104" s="327"/>
      <c r="F104" s="327"/>
    </row>
    <row r="105" spans="1:6">
      <c r="A105" s="1291"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7</v>
      </c>
      <c r="C123" s="1297">
        <v>3</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120</v>
      </c>
      <c r="C129" s="327"/>
      <c r="D129" s="327"/>
      <c r="E129" s="327"/>
      <c r="F129" s="327"/>
    </row>
    <row r="130" spans="1:6">
      <c r="A130" s="1296" t="s">
        <v>284</v>
      </c>
      <c r="B130" s="1297">
        <v>5</v>
      </c>
      <c r="C130" s="327"/>
      <c r="D130" s="327"/>
      <c r="E130" s="327"/>
      <c r="F130" s="327"/>
    </row>
    <row r="131" spans="1:6">
      <c r="A131" s="1296" t="s">
        <v>285</v>
      </c>
      <c r="B131" s="1297">
        <v>1</v>
      </c>
      <c r="C131" s="327"/>
      <c r="D131" s="327"/>
      <c r="E131" s="327"/>
      <c r="F131" s="327"/>
    </row>
    <row r="132" spans="1:6">
      <c r="A132" s="1291" t="s">
        <v>286</v>
      </c>
      <c r="B132" s="1292">
        <v>4</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73728.30930694782</v>
      </c>
      <c r="C3" s="43" t="s">
        <v>163</v>
      </c>
      <c r="D3" s="43"/>
      <c r="E3" s="156"/>
      <c r="F3" s="43"/>
      <c r="G3" s="43"/>
      <c r="H3" s="43"/>
      <c r="I3" s="43"/>
      <c r="J3" s="43"/>
      <c r="K3" s="96"/>
    </row>
    <row r="4" spans="1:11">
      <c r="A4" s="353" t="s">
        <v>164</v>
      </c>
      <c r="B4" s="49">
        <f>IF(ISERROR('SEAP template'!B78+'SEAP template'!C78),0,'SEAP template'!B78+'SEAP template'!C78)</f>
        <v>4842.7485953097639</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0.2064839009652619</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837.92100000000005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837.92100000000005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0.2064839009652619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173.01719678071322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20280.16002813898</v>
      </c>
      <c r="C5" s="17">
        <f>IF(ISERROR('Eigen informatie GS &amp; warmtenet'!B57),0,'Eigen informatie GS &amp; warmtenet'!B57)</f>
        <v>0</v>
      </c>
      <c r="D5" s="30">
        <f>(SUM(HH_hh_gas_kWh,HH_rest_gas_kWh)/1000)*0.902</f>
        <v>46254.249483434287</v>
      </c>
      <c r="E5" s="17">
        <f>B32*B41</f>
        <v>1329.0680158287523</v>
      </c>
      <c r="F5" s="17">
        <f>B36*B45</f>
        <v>40729.917670738418</v>
      </c>
      <c r="G5" s="18"/>
      <c r="H5" s="17"/>
      <c r="I5" s="17"/>
      <c r="J5" s="17">
        <f>B35*B44+C35*C44</f>
        <v>771.34354031493126</v>
      </c>
      <c r="K5" s="17"/>
      <c r="L5" s="17"/>
      <c r="M5" s="17"/>
      <c r="N5" s="17">
        <f>B34*B43+C34*C43</f>
        <v>7984.1012687178027</v>
      </c>
      <c r="O5" s="17">
        <f>B52*B53*B54</f>
        <v>192.29000000000002</v>
      </c>
      <c r="P5" s="17">
        <f>B60*B61*B62/1000-B60*B61*B62/1000/B63</f>
        <v>209.73333333333335</v>
      </c>
    </row>
    <row r="6" spans="1:16">
      <c r="A6" s="16" t="s">
        <v>617</v>
      </c>
      <c r="B6" s="769">
        <f>kWh_PV_kleiner_dan_10kW</f>
        <v>2856.3697947535015</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23136.52982289248</v>
      </c>
      <c r="C8" s="21">
        <f>C5</f>
        <v>0</v>
      </c>
      <c r="D8" s="21">
        <f>D5</f>
        <v>46254.249483434287</v>
      </c>
      <c r="E8" s="21">
        <f>E5</f>
        <v>1329.0680158287523</v>
      </c>
      <c r="F8" s="21">
        <f>F5</f>
        <v>40729.917670738418</v>
      </c>
      <c r="G8" s="21"/>
      <c r="H8" s="21"/>
      <c r="I8" s="21"/>
      <c r="J8" s="21">
        <f>J5</f>
        <v>771.34354031493126</v>
      </c>
      <c r="K8" s="21"/>
      <c r="L8" s="21">
        <f>L5</f>
        <v>0</v>
      </c>
      <c r="M8" s="21">
        <f>M5</f>
        <v>0</v>
      </c>
      <c r="N8" s="21">
        <f>N5</f>
        <v>7984.1012687178027</v>
      </c>
      <c r="O8" s="21">
        <f>O5</f>
        <v>192.29000000000002</v>
      </c>
      <c r="P8" s="21">
        <f>P5</f>
        <v>209.73333333333335</v>
      </c>
    </row>
    <row r="9" spans="1:16">
      <c r="B9" s="19"/>
      <c r="C9" s="19"/>
      <c r="D9" s="257"/>
      <c r="E9" s="19"/>
      <c r="F9" s="19"/>
      <c r="G9" s="19"/>
      <c r="H9" s="19"/>
      <c r="I9" s="19"/>
      <c r="J9" s="19"/>
      <c r="K9" s="19"/>
      <c r="L9" s="19"/>
      <c r="M9" s="19"/>
      <c r="N9" s="19"/>
      <c r="O9" s="19"/>
      <c r="P9" s="19"/>
    </row>
    <row r="10" spans="1:16">
      <c r="A10" s="24" t="s">
        <v>207</v>
      </c>
      <c r="B10" s="25">
        <f ca="1">'EF ele_warmte'!B12</f>
        <v>0.2064839009652619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4777.3209326299593</v>
      </c>
      <c r="C12" s="23">
        <f ca="1">C10*C8</f>
        <v>0</v>
      </c>
      <c r="D12" s="23">
        <f>D8*D10</f>
        <v>9343.3583956537259</v>
      </c>
      <c r="E12" s="23">
        <f>E10*E8</f>
        <v>301.69843959312681</v>
      </c>
      <c r="F12" s="23">
        <f>F10*F8</f>
        <v>10874.888018087158</v>
      </c>
      <c r="G12" s="23"/>
      <c r="H12" s="23"/>
      <c r="I12" s="23"/>
      <c r="J12" s="23">
        <f>J10*J8</f>
        <v>273.05561327148564</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4995</v>
      </c>
      <c r="C26" s="36"/>
      <c r="D26" s="227"/>
    </row>
    <row r="27" spans="1:5" s="15" customFormat="1">
      <c r="A27" s="229" t="s">
        <v>722</v>
      </c>
      <c r="B27" s="37">
        <f>SUM(HH_hh_gas_aantal,HH_rest_gas_aantal)</f>
        <v>2810</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2669.5</v>
      </c>
      <c r="C31" s="34" t="s">
        <v>104</v>
      </c>
      <c r="D31" s="173"/>
    </row>
    <row r="32" spans="1:5">
      <c r="A32" s="170" t="s">
        <v>72</v>
      </c>
      <c r="B32" s="33">
        <f>IF((B21*($B$26-($B$27-0.05*$B$27)-$B$60))&lt;0,0,B21*($B$26-($B$27-0.05*$B$27)-$B$60))</f>
        <v>57.95869538001692</v>
      </c>
      <c r="C32" s="34" t="s">
        <v>104</v>
      </c>
      <c r="D32" s="173"/>
    </row>
    <row r="33" spans="1:6">
      <c r="A33" s="170" t="s">
        <v>73</v>
      </c>
      <c r="B33" s="33">
        <f>IF((B22*($B$26-($B$27-0.05*$B$27)-$B$60))&lt;0,0,B22*($B$26-($B$27-0.05*$B$27)-$B$60))</f>
        <v>390.12999615518186</v>
      </c>
      <c r="C33" s="34" t="s">
        <v>104</v>
      </c>
      <c r="D33" s="173"/>
    </row>
    <row r="34" spans="1:6">
      <c r="A34" s="170" t="s">
        <v>74</v>
      </c>
      <c r="B34" s="33">
        <f>IF((B24*($B$26-($B$27-0.05*$B$27)-$B$60))&lt;0,0,B24*($B$26-($B$27-0.05*$B$27)-$B$60))</f>
        <v>98.981268048559215</v>
      </c>
      <c r="C34" s="33">
        <f>B26*C24</f>
        <v>1021.7775378057505</v>
      </c>
      <c r="D34" s="232"/>
    </row>
    <row r="35" spans="1:6">
      <c r="A35" s="170" t="s">
        <v>76</v>
      </c>
      <c r="B35" s="33">
        <f>IF((B19*($B$26-($B$27-0.05*$B$27)-$B$60))&lt;0,0,B19*($B$26-($B$27-0.05*$B$27)-$B$60))</f>
        <v>36.784690514333782</v>
      </c>
      <c r="C35" s="33">
        <f>B35/2</f>
        <v>18.392345257166891</v>
      </c>
      <c r="D35" s="232"/>
    </row>
    <row r="36" spans="1:6">
      <c r="A36" s="170" t="s">
        <v>77</v>
      </c>
      <c r="B36" s="33">
        <f>IF((B18*($B$26-($B$27-0.05*$B$27)-$B$60))&lt;0,0,B18*($B$26-($B$27-0.05*$B$27)-$B$60))</f>
        <v>1730.6453499019083</v>
      </c>
      <c r="C36" s="34" t="s">
        <v>104</v>
      </c>
      <c r="D36" s="173"/>
    </row>
    <row r="37" spans="1:6">
      <c r="A37" s="170" t="s">
        <v>78</v>
      </c>
      <c r="B37" s="33">
        <f>B60</f>
        <v>11</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123</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11</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17178.386764193612</v>
      </c>
      <c r="C5" s="17">
        <f>IF(ISERROR('Eigen informatie GS &amp; warmtenet'!B58),0,'Eigen informatie GS &amp; warmtenet'!B58)</f>
        <v>0</v>
      </c>
      <c r="D5" s="30">
        <f>SUM(D6:D12)</f>
        <v>16110.046635078121</v>
      </c>
      <c r="E5" s="17">
        <f>SUM(E6:E12)</f>
        <v>230.87525616760058</v>
      </c>
      <c r="F5" s="17">
        <f>SUM(F6:F12)</f>
        <v>3443.3587239253338</v>
      </c>
      <c r="G5" s="18"/>
      <c r="H5" s="17"/>
      <c r="I5" s="17"/>
      <c r="J5" s="17">
        <f>SUM(J6:J12)</f>
        <v>0</v>
      </c>
      <c r="K5" s="17"/>
      <c r="L5" s="17"/>
      <c r="M5" s="17"/>
      <c r="N5" s="17">
        <f>SUM(N6:N12)</f>
        <v>1819.1861809610664</v>
      </c>
      <c r="O5" s="17">
        <f>B38*B39*B40</f>
        <v>7.8166666666666664</v>
      </c>
      <c r="P5" s="17">
        <f>B46*B47*B48/1000-B46*B47*B48/1000/B49</f>
        <v>19.066666666666666</v>
      </c>
      <c r="R5" s="32"/>
    </row>
    <row r="6" spans="1:18">
      <c r="A6" s="32" t="s">
        <v>53</v>
      </c>
      <c r="B6" s="37">
        <f>B26</f>
        <v>1436.1969999999999</v>
      </c>
      <c r="C6" s="33"/>
      <c r="D6" s="37">
        <f>IF(ISERROR(TER_kantoor_gas_kWh/1000),0,TER_kantoor_gas_kWh/1000)*0.902</f>
        <v>5391.8297275105142</v>
      </c>
      <c r="E6" s="33">
        <f>$C$26*'E Balans VL '!I12/100/3.6*1000000</f>
        <v>5.579929405620943</v>
      </c>
      <c r="F6" s="33">
        <f>$C$26*('E Balans VL '!L12+'E Balans VL '!N12)/100/3.6*1000000</f>
        <v>218.43249534919931</v>
      </c>
      <c r="G6" s="34"/>
      <c r="H6" s="33"/>
      <c r="I6" s="33"/>
      <c r="J6" s="33">
        <f>$C$26*('E Balans VL '!D12+'E Balans VL '!E12)/100/3.6*1000000</f>
        <v>0</v>
      </c>
      <c r="K6" s="33"/>
      <c r="L6" s="33"/>
      <c r="M6" s="33"/>
      <c r="N6" s="33">
        <f>$C$26*'E Balans VL '!Y12/100/3.6*1000000</f>
        <v>0.79151659916348105</v>
      </c>
      <c r="O6" s="33"/>
      <c r="P6" s="33"/>
      <c r="R6" s="32"/>
    </row>
    <row r="7" spans="1:18">
      <c r="A7" s="32" t="s">
        <v>52</v>
      </c>
      <c r="B7" s="37">
        <f t="shared" ref="B7:B12" si="0">B27</f>
        <v>873.98400000000004</v>
      </c>
      <c r="C7" s="33"/>
      <c r="D7" s="37">
        <f>IF(ISERROR(TER_horeca_gas_kWh/1000),0,TER_horeca_gas_kWh/1000)*0.902</f>
        <v>5762.8470766178498</v>
      </c>
      <c r="E7" s="33">
        <f>$C$27*'E Balans VL '!I9/100/3.6*1000000</f>
        <v>49.231752384607468</v>
      </c>
      <c r="F7" s="33">
        <f>$C$27*('E Balans VL '!L9+'E Balans VL '!N9)/100/3.6*1000000</f>
        <v>252.00466124606919</v>
      </c>
      <c r="G7" s="34"/>
      <c r="H7" s="33"/>
      <c r="I7" s="33"/>
      <c r="J7" s="33">
        <f>$C$27*('E Balans VL '!D9+'E Balans VL '!E9)/100/3.6*1000000</f>
        <v>0</v>
      </c>
      <c r="K7" s="33"/>
      <c r="L7" s="33"/>
      <c r="M7" s="33"/>
      <c r="N7" s="33">
        <f>$C$27*'E Balans VL '!Y9/100/3.6*1000000</f>
        <v>0.24130244075182627</v>
      </c>
      <c r="O7" s="33"/>
      <c r="P7" s="33"/>
      <c r="R7" s="32"/>
    </row>
    <row r="8" spans="1:18">
      <c r="A8" s="6" t="s">
        <v>51</v>
      </c>
      <c r="B8" s="37">
        <f t="shared" si="0"/>
        <v>11326.239</v>
      </c>
      <c r="C8" s="33"/>
      <c r="D8" s="37">
        <f>IF(ISERROR(TER_handel_gas_kWh/1000),0,TER_handel_gas_kWh/1000)*0.902</f>
        <v>1499.9371175559372</v>
      </c>
      <c r="E8" s="33">
        <f>$C$28*'E Balans VL '!I13/100/3.6*1000000</f>
        <v>163.24953009646404</v>
      </c>
      <c r="F8" s="33">
        <f>$C$28*('E Balans VL '!L13+'E Balans VL '!N13)/100/3.6*1000000</f>
        <v>1967.6314846073919</v>
      </c>
      <c r="G8" s="34"/>
      <c r="H8" s="33"/>
      <c r="I8" s="33"/>
      <c r="J8" s="33">
        <f>$C$28*('E Balans VL '!D13+'E Balans VL '!E13)/100/3.6*1000000</f>
        <v>0</v>
      </c>
      <c r="K8" s="33"/>
      <c r="L8" s="33"/>
      <c r="M8" s="33"/>
      <c r="N8" s="33">
        <f>$C$28*'E Balans VL '!Y13/100/3.6*1000000</f>
        <v>33.934672906899443</v>
      </c>
      <c r="O8" s="33"/>
      <c r="P8" s="33"/>
      <c r="R8" s="32"/>
    </row>
    <row r="9" spans="1:18">
      <c r="A9" s="32" t="s">
        <v>50</v>
      </c>
      <c r="B9" s="37">
        <f t="shared" si="0"/>
        <v>564.87199999999996</v>
      </c>
      <c r="C9" s="33"/>
      <c r="D9" s="37">
        <f>IF(ISERROR(TER_gezond_gas_kWh/1000),0,TER_gezond_gas_kWh/1000)*0.902</f>
        <v>158.25749863870143</v>
      </c>
      <c r="E9" s="33">
        <f>$C$29*'E Balans VL '!I10/100/3.6*1000000</f>
        <v>0.60342970544568353</v>
      </c>
      <c r="F9" s="33">
        <f>$C$29*('E Balans VL '!L10+'E Balans VL '!N10)/100/3.6*1000000</f>
        <v>92.147790304279695</v>
      </c>
      <c r="G9" s="34"/>
      <c r="H9" s="33"/>
      <c r="I9" s="33"/>
      <c r="J9" s="33">
        <f>$C$29*('E Balans VL '!D10+'E Balans VL '!E10)/100/3.6*1000000</f>
        <v>0</v>
      </c>
      <c r="K9" s="33"/>
      <c r="L9" s="33"/>
      <c r="M9" s="33"/>
      <c r="N9" s="33">
        <f>$C$29*'E Balans VL '!Y10/100/3.6*1000000</f>
        <v>5.8150349304669744</v>
      </c>
      <c r="O9" s="33"/>
      <c r="P9" s="33"/>
      <c r="R9" s="32"/>
    </row>
    <row r="10" spans="1:18">
      <c r="A10" s="32" t="s">
        <v>49</v>
      </c>
      <c r="B10" s="37">
        <f t="shared" si="0"/>
        <v>2554.203</v>
      </c>
      <c r="C10" s="33"/>
      <c r="D10" s="37">
        <f>IF(ISERROR(TER_ander_gas_kWh/1000),0,TER_ander_gas_kWh/1000)*0.902</f>
        <v>423.00648818142184</v>
      </c>
      <c r="E10" s="33">
        <f>$C$30*'E Balans VL '!I14/100/3.6*1000000</f>
        <v>11.746391073882219</v>
      </c>
      <c r="F10" s="33">
        <f>$C$30*('E Balans VL '!L14+'E Balans VL '!N14)/100/3.6*1000000</f>
        <v>765.57520590382728</v>
      </c>
      <c r="G10" s="34"/>
      <c r="H10" s="33"/>
      <c r="I10" s="33"/>
      <c r="J10" s="33">
        <f>$C$30*('E Balans VL '!D14+'E Balans VL '!E14)/100/3.6*1000000</f>
        <v>0</v>
      </c>
      <c r="K10" s="33"/>
      <c r="L10" s="33"/>
      <c r="M10" s="33"/>
      <c r="N10" s="33">
        <f>$C$30*'E Balans VL '!Y14/100/3.6*1000000</f>
        <v>1777.8938929034091</v>
      </c>
      <c r="O10" s="33"/>
      <c r="P10" s="33"/>
      <c r="R10" s="32"/>
    </row>
    <row r="11" spans="1:18">
      <c r="A11" s="32" t="s">
        <v>54</v>
      </c>
      <c r="B11" s="37">
        <f t="shared" si="0"/>
        <v>416.47</v>
      </c>
      <c r="C11" s="33"/>
      <c r="D11" s="37">
        <f>IF(ISERROR(TER_onderwijs_gas_kWh/1000),0,TER_onderwijs_gas_kWh/1000)*0.902</f>
        <v>0</v>
      </c>
      <c r="E11" s="33">
        <f>$C$31*'E Balans VL '!I11/100/3.6*1000000</f>
        <v>0.38633069446086676</v>
      </c>
      <c r="F11" s="33">
        <f>$C$31*('E Balans VL '!L11+'E Balans VL '!N11)/100/3.6*1000000</f>
        <v>146.2963391252315</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6.4217641936138001</v>
      </c>
      <c r="C12" s="33"/>
      <c r="D12" s="37">
        <f>IF(ISERROR(TER_rest_gas_kWh/1000),0,TER_rest_gas_kWh/1000)*0.902</f>
        <v>2874.1687265736969</v>
      </c>
      <c r="E12" s="33">
        <f>$C$32*'E Balans VL '!I8/100/3.6*1000000</f>
        <v>7.7892807119355853E-2</v>
      </c>
      <c r="F12" s="33">
        <f>$C$32*('E Balans VL '!L8+'E Balans VL '!N8)/100/3.6*1000000</f>
        <v>1.2707473893349561</v>
      </c>
      <c r="G12" s="34"/>
      <c r="H12" s="33"/>
      <c r="I12" s="33"/>
      <c r="J12" s="33">
        <f>$C$32*('E Balans VL '!D8+'E Balans VL '!E8)/100/3.6*1000000</f>
        <v>0</v>
      </c>
      <c r="K12" s="33"/>
      <c r="L12" s="33"/>
      <c r="M12" s="33"/>
      <c r="N12" s="33">
        <f>$C$32*'E Balans VL '!Y8/100/3.6*1000000</f>
        <v>0.50976118037563667</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17178.386764193612</v>
      </c>
      <c r="C16" s="21">
        <f t="shared" ca="1" si="1"/>
        <v>0</v>
      </c>
      <c r="D16" s="21">
        <f t="shared" ca="1" si="1"/>
        <v>16110.046635078121</v>
      </c>
      <c r="E16" s="21">
        <f t="shared" si="1"/>
        <v>230.87525616760058</v>
      </c>
      <c r="F16" s="21">
        <f t="shared" ca="1" si="1"/>
        <v>3443.3587239253338</v>
      </c>
      <c r="G16" s="21">
        <f t="shared" si="1"/>
        <v>0</v>
      </c>
      <c r="H16" s="21">
        <f t="shared" si="1"/>
        <v>0</v>
      </c>
      <c r="I16" s="21">
        <f t="shared" si="1"/>
        <v>0</v>
      </c>
      <c r="J16" s="21">
        <f t="shared" si="1"/>
        <v>0</v>
      </c>
      <c r="K16" s="21">
        <f t="shared" si="1"/>
        <v>0</v>
      </c>
      <c r="L16" s="21">
        <f t="shared" ca="1" si="1"/>
        <v>0</v>
      </c>
      <c r="M16" s="21">
        <f t="shared" si="1"/>
        <v>0</v>
      </c>
      <c r="N16" s="21">
        <f t="shared" ca="1" si="1"/>
        <v>1819.1861809610664</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0.2064839009652619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3547.0603113607194</v>
      </c>
      <c r="C20" s="23">
        <f t="shared" ref="C20:P20" ca="1" si="2">C16*C18</f>
        <v>0</v>
      </c>
      <c r="D20" s="23">
        <f t="shared" ca="1" si="2"/>
        <v>3254.2294202857806</v>
      </c>
      <c r="E20" s="23">
        <f t="shared" si="2"/>
        <v>52.408683150045334</v>
      </c>
      <c r="F20" s="23">
        <f t="shared" ca="1" si="2"/>
        <v>919.3767792880642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1436.1969999999999</v>
      </c>
      <c r="C26" s="39">
        <f>IF(ISERROR(B26*3.6/1000000/'E Balans VL '!Z12*100),0,B26*3.6/1000000/'E Balans VL '!Z12*100)</f>
        <v>3.0505535679513123E-2</v>
      </c>
      <c r="D26" s="235" t="s">
        <v>672</v>
      </c>
      <c r="F26" s="6"/>
    </row>
    <row r="27" spans="1:18">
      <c r="A27" s="230" t="s">
        <v>52</v>
      </c>
      <c r="B27" s="33">
        <f>IF(ISERROR(TER_horeca_ele_kWh/1000),0,TER_horeca_ele_kWh/1000)</f>
        <v>873.98400000000004</v>
      </c>
      <c r="C27" s="39">
        <f>IF(ISERROR(B27*3.6/1000000/'E Balans VL '!Z9*100),0,B27*3.6/1000000/'E Balans VL '!Z9*100)</f>
        <v>6.7957578630989265E-2</v>
      </c>
      <c r="D27" s="235" t="s">
        <v>672</v>
      </c>
      <c r="F27" s="6"/>
    </row>
    <row r="28" spans="1:18">
      <c r="A28" s="170" t="s">
        <v>51</v>
      </c>
      <c r="B28" s="33">
        <f>IF(ISERROR(TER_handel_ele_kWh/1000),0,TER_handel_ele_kWh/1000)</f>
        <v>11326.239</v>
      </c>
      <c r="C28" s="39">
        <f>IF(ISERROR(B28*3.6/1000000/'E Balans VL '!Z13*100),0,B28*3.6/1000000/'E Balans VL '!Z13*100)</f>
        <v>0.32405702743987036</v>
      </c>
      <c r="D28" s="235" t="s">
        <v>672</v>
      </c>
      <c r="F28" s="6"/>
    </row>
    <row r="29" spans="1:18">
      <c r="A29" s="230" t="s">
        <v>50</v>
      </c>
      <c r="B29" s="33">
        <f>IF(ISERROR(TER_gezond_ele_kWh/1000),0,TER_gezond_ele_kWh/1000)</f>
        <v>564.87199999999996</v>
      </c>
      <c r="C29" s="39">
        <f>IF(ISERROR(B29*3.6/1000000/'E Balans VL '!Z10*100),0,B29*3.6/1000000/'E Balans VL '!Z10*100)</f>
        <v>6.1584174051048733E-2</v>
      </c>
      <c r="D29" s="235" t="s">
        <v>672</v>
      </c>
      <c r="F29" s="6"/>
    </row>
    <row r="30" spans="1:18">
      <c r="A30" s="230" t="s">
        <v>49</v>
      </c>
      <c r="B30" s="33">
        <f>IF(ISERROR(TER_ander_ele_kWh/1000),0,TER_ander_ele_kWh/1000)</f>
        <v>2554.203</v>
      </c>
      <c r="C30" s="39">
        <f>IF(ISERROR(B30*3.6/1000000/'E Balans VL '!Z14*100),0,B30*3.6/1000000/'E Balans VL '!Z14*100)</f>
        <v>0.18691078146784559</v>
      </c>
      <c r="D30" s="235" t="s">
        <v>672</v>
      </c>
      <c r="F30" s="6"/>
    </row>
    <row r="31" spans="1:18">
      <c r="A31" s="230" t="s">
        <v>54</v>
      </c>
      <c r="B31" s="33">
        <f>IF(ISERROR(TER_onderwijs_ele_kWh/1000),0,TER_onderwijs_ele_kWh/1000)</f>
        <v>416.47</v>
      </c>
      <c r="C31" s="39">
        <f>IF(ISERROR(B31*3.6/1000000/'E Balans VL '!Z11*100),0,B31*3.6/1000000/'E Balans VL '!Z11*100)</f>
        <v>8.3648308762094128E-2</v>
      </c>
      <c r="D31" s="235" t="s">
        <v>672</v>
      </c>
    </row>
    <row r="32" spans="1:18">
      <c r="A32" s="230" t="s">
        <v>249</v>
      </c>
      <c r="B32" s="33">
        <f>IF(ISERROR(TER_rest_ele_kWh/1000),0,TER_rest_ele_kWh/1000)</f>
        <v>6.4217641936138001</v>
      </c>
      <c r="C32" s="39">
        <f>IF(ISERROR(B32*3.6/1000000/'E Balans VL '!Z8*100),0,B32*3.6/1000000/'E Balans VL '!Z8*100)</f>
        <v>5.2333481007275462E-5</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5</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27694.859000000004</v>
      </c>
      <c r="C5" s="17">
        <f>IF(ISERROR('Eigen informatie GS &amp; warmtenet'!B59),0,'Eigen informatie GS &amp; warmtenet'!B59)</f>
        <v>0</v>
      </c>
      <c r="D5" s="30">
        <f>SUM(D6:D15)</f>
        <v>135720.99585701554</v>
      </c>
      <c r="E5" s="17">
        <f>SUM(E6:E15)</f>
        <v>1963.6650450556458</v>
      </c>
      <c r="F5" s="17">
        <f>SUM(F6:F15)</f>
        <v>24458.222340472439</v>
      </c>
      <c r="G5" s="18"/>
      <c r="H5" s="17"/>
      <c r="I5" s="17"/>
      <c r="J5" s="17">
        <f>SUM(J6:J15)</f>
        <v>48.171016137641743</v>
      </c>
      <c r="K5" s="17"/>
      <c r="L5" s="17"/>
      <c r="M5" s="17"/>
      <c r="N5" s="17">
        <f>SUM(N6:N15)</f>
        <v>4176.6849018086814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2384.9920000000002</v>
      </c>
      <c r="C8" s="33"/>
      <c r="D8" s="37">
        <f>IF( ISERROR(IND_metaal_Gas_kWH/1000),0,IND_metaal_Gas_kWH/1000)*0.902</f>
        <v>1258.6096779068537</v>
      </c>
      <c r="E8" s="33">
        <f>C30*'E Balans VL '!I18/100/3.6*1000000</f>
        <v>68.505922401729734</v>
      </c>
      <c r="F8" s="33">
        <f>C30*'E Balans VL '!L18/100/3.6*1000000+C30*'E Balans VL '!N18/100/3.6*1000000</f>
        <v>611.70457801180532</v>
      </c>
      <c r="G8" s="34"/>
      <c r="H8" s="33"/>
      <c r="I8" s="33"/>
      <c r="J8" s="40">
        <f>C30*'E Balans VL '!D18/100/3.6*1000000+C30*'E Balans VL '!E18/100/3.6*1000000</f>
        <v>0</v>
      </c>
      <c r="K8" s="33"/>
      <c r="L8" s="33"/>
      <c r="M8" s="33"/>
      <c r="N8" s="33">
        <f>C30*'E Balans VL '!Y18/100/3.6*1000000</f>
        <v>64.75740125842411</v>
      </c>
      <c r="O8" s="33"/>
      <c r="P8" s="33"/>
      <c r="R8" s="32"/>
    </row>
    <row r="9" spans="1:18">
      <c r="A9" s="6" t="s">
        <v>32</v>
      </c>
      <c r="B9" s="37">
        <f t="shared" si="0"/>
        <v>2924.2339999999999</v>
      </c>
      <c r="C9" s="33"/>
      <c r="D9" s="37">
        <f>IF( ISERROR(IND_andere_gas_kWh/1000),0,IND_andere_gas_kWh/1000)*0.902</f>
        <v>803.2643950366479</v>
      </c>
      <c r="E9" s="33">
        <f>C31*'E Balans VL '!I19/100/3.6*1000000</f>
        <v>791.51824554036898</v>
      </c>
      <c r="F9" s="33">
        <f>C31*'E Balans VL '!L19/100/3.6*1000000+C31*'E Balans VL '!N19/100/3.6*1000000</f>
        <v>1947.8492925979947</v>
      </c>
      <c r="G9" s="34"/>
      <c r="H9" s="33"/>
      <c r="I9" s="33"/>
      <c r="J9" s="40">
        <f>C31*'E Balans VL '!D19/100/3.6*1000000+C31*'E Balans VL '!E19/100/3.6*1000000</f>
        <v>0</v>
      </c>
      <c r="K9" s="33"/>
      <c r="L9" s="33"/>
      <c r="M9" s="33"/>
      <c r="N9" s="33">
        <f>C31*'E Balans VL '!Y19/100/3.6*1000000</f>
        <v>247.22461386177915</v>
      </c>
      <c r="O9" s="33"/>
      <c r="P9" s="33"/>
      <c r="R9" s="32"/>
    </row>
    <row r="10" spans="1:18">
      <c r="A10" s="6" t="s">
        <v>40</v>
      </c>
      <c r="B10" s="37">
        <f t="shared" si="0"/>
        <v>12413.550999999999</v>
      </c>
      <c r="C10" s="33"/>
      <c r="D10" s="37">
        <f>IF( ISERROR(IND_voed_gas_kWh/1000),0,IND_voed_gas_kWh/1000)*0.902</f>
        <v>43775.005694589294</v>
      </c>
      <c r="E10" s="33">
        <f>C32*'E Balans VL '!I20/100/3.6*1000000</f>
        <v>1012.4777389513093</v>
      </c>
      <c r="F10" s="33">
        <f>C32*'E Balans VL '!L20/100/3.6*1000000+C32*'E Balans VL '!N20/100/3.6*1000000</f>
        <v>18509.73079703073</v>
      </c>
      <c r="G10" s="34"/>
      <c r="H10" s="33"/>
      <c r="I10" s="33"/>
      <c r="J10" s="40">
        <f>C32*'E Balans VL '!D20/100/3.6*1000000+C32*'E Balans VL '!E20/100/3.6*1000000</f>
        <v>0.1642162117004714</v>
      </c>
      <c r="K10" s="33"/>
      <c r="L10" s="33"/>
      <c r="M10" s="33"/>
      <c r="N10" s="33">
        <f>C32*'E Balans VL '!Y20/100/3.6*1000000</f>
        <v>3646.663256816722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8627.1479999999992</v>
      </c>
      <c r="C12" s="33"/>
      <c r="D12" s="37">
        <f>IF( ISERROR(IND_min_gas_kWh/1000),0,IND_min_gas_kWh/1000)*0.902</f>
        <v>0</v>
      </c>
      <c r="E12" s="33">
        <f>C34*'E Balans VL '!I22/100/3.6*1000000</f>
        <v>67.203603144464466</v>
      </c>
      <c r="F12" s="33">
        <f>C34*'E Balans VL '!L22/100/3.6*1000000+C34*'E Balans VL '!N22/100/3.6*1000000</f>
        <v>3253.6300711632939</v>
      </c>
      <c r="G12" s="34"/>
      <c r="H12" s="33"/>
      <c r="I12" s="33"/>
      <c r="J12" s="40">
        <f>C34*'E Balans VL '!D22/100/3.6*1000000+C34*'E Balans VL '!E22/100/3.6*1000000</f>
        <v>47.448559703194945</v>
      </c>
      <c r="K12" s="33"/>
      <c r="L12" s="33"/>
      <c r="M12" s="33"/>
      <c r="N12" s="33">
        <f>C34*'E Balans VL '!Y22/100/3.6*1000000</f>
        <v>0</v>
      </c>
      <c r="O12" s="33"/>
      <c r="P12" s="33"/>
      <c r="R12" s="32"/>
    </row>
    <row r="13" spans="1:18">
      <c r="A13" s="6" t="s">
        <v>38</v>
      </c>
      <c r="B13" s="37">
        <f t="shared" si="0"/>
        <v>1127.1320000000001</v>
      </c>
      <c r="C13" s="33"/>
      <c r="D13" s="37">
        <f>IF( ISERROR(IND_papier_gas_kWh/1000),0,IND_papier_gas_kWh/1000)*0.902</f>
        <v>0</v>
      </c>
      <c r="E13" s="33">
        <f>C35*'E Balans VL '!I23/100/3.6*1000000</f>
        <v>11.808761083908507</v>
      </c>
      <c r="F13" s="33">
        <f>C35*'E Balans VL '!L23/100/3.6*1000000+C35*'E Balans VL '!N23/100/3.6*1000000</f>
        <v>84.106789619675666</v>
      </c>
      <c r="G13" s="34"/>
      <c r="H13" s="33"/>
      <c r="I13" s="33"/>
      <c r="J13" s="40">
        <f>C35*'E Balans VL '!D23/100/3.6*1000000+C35*'E Balans VL '!E23/100/3.6*1000000</f>
        <v>0</v>
      </c>
      <c r="K13" s="33"/>
      <c r="L13" s="33"/>
      <c r="M13" s="33"/>
      <c r="N13" s="33">
        <f>C35*'E Balans VL '!Y23/100/3.6*1000000</f>
        <v>207.93148260923007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217.80199999999999</v>
      </c>
      <c r="C15" s="33"/>
      <c r="D15" s="37">
        <f>IF( ISERROR(IND_rest_gas_kWh/1000),0,IND_rest_gas_kWh/1000)*0.902</f>
        <v>89884.116089482748</v>
      </c>
      <c r="E15" s="33">
        <f>C37*'E Balans VL '!I15/100/3.6*1000000</f>
        <v>12.150773933864849</v>
      </c>
      <c r="F15" s="33">
        <f>C37*'E Balans VL '!L15/100/3.6*1000000+C37*'E Balans VL '!N15/100/3.6*1000000</f>
        <v>51.200812048936434</v>
      </c>
      <c r="G15" s="34"/>
      <c r="H15" s="33"/>
      <c r="I15" s="33"/>
      <c r="J15" s="40">
        <f>C37*'E Balans VL '!D15/100/3.6*1000000+C37*'E Balans VL '!E15/100/3.6*1000000</f>
        <v>0.55824022274632612</v>
      </c>
      <c r="K15" s="33"/>
      <c r="L15" s="33"/>
      <c r="M15" s="33"/>
      <c r="N15" s="33">
        <f>C37*'E Balans VL '!Y15/100/3.6*1000000</f>
        <v>10.108147262525902</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27694.859000000004</v>
      </c>
      <c r="C18" s="21">
        <f>C5+C16</f>
        <v>0</v>
      </c>
      <c r="D18" s="21">
        <f>MAX((D5+D16),0)</f>
        <v>135720.99585701554</v>
      </c>
      <c r="E18" s="21">
        <f>MAX((E5+E16),0)</f>
        <v>1963.6650450556458</v>
      </c>
      <c r="F18" s="21">
        <f>MAX((F5+F16),0)</f>
        <v>24458.222340472439</v>
      </c>
      <c r="G18" s="21"/>
      <c r="H18" s="21"/>
      <c r="I18" s="21"/>
      <c r="J18" s="21">
        <f>MAX((J5+J16),0)</f>
        <v>48.171016137641743</v>
      </c>
      <c r="K18" s="21"/>
      <c r="L18" s="21">
        <f>MAX((L5+L16),0)</f>
        <v>0</v>
      </c>
      <c r="M18" s="21"/>
      <c r="N18" s="21">
        <f>MAX((N5+N16),0)</f>
        <v>4176.6849018086814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0.2064839009652619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5718.5425230028932</v>
      </c>
      <c r="C22" s="23">
        <f ca="1">C18*C20</f>
        <v>0</v>
      </c>
      <c r="D22" s="23">
        <f>D18*D20</f>
        <v>27415.641163117143</v>
      </c>
      <c r="E22" s="23">
        <f>E18*E20</f>
        <v>445.75196522763162</v>
      </c>
      <c r="F22" s="23">
        <f>F18*F20</f>
        <v>6530.3453649061412</v>
      </c>
      <c r="G22" s="23"/>
      <c r="H22" s="23"/>
      <c r="I22" s="23"/>
      <c r="J22" s="23">
        <f>J18*J20</f>
        <v>17.052539712725178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2384.9920000000002</v>
      </c>
      <c r="C30" s="39">
        <f>IF(ISERROR(B30*3.6/1000000/'E Balans VL '!Z18*100),0,B30*3.6/1000000/'E Balans VL '!Z18*100)</f>
        <v>0.23467712456397374</v>
      </c>
      <c r="D30" s="235" t="s">
        <v>672</v>
      </c>
    </row>
    <row r="31" spans="1:18">
      <c r="A31" s="6" t="s">
        <v>32</v>
      </c>
      <c r="B31" s="37">
        <f>IF( ISERROR(IND_ander_ele_kWh/1000),0,IND_ander_ele_kWh/1000)</f>
        <v>2924.2339999999999</v>
      </c>
      <c r="C31" s="39">
        <f>IF(ISERROR(B31*3.6/1000000/'E Balans VL '!Z19*100),0,B31*3.6/1000000/'E Balans VL '!Z19*100)</f>
        <v>0.1273480580615162</v>
      </c>
      <c r="D31" s="235" t="s">
        <v>672</v>
      </c>
    </row>
    <row r="32" spans="1:18">
      <c r="A32" s="170" t="s">
        <v>40</v>
      </c>
      <c r="B32" s="37">
        <f>IF( ISERROR(IND_voed_ele_kWh/1000),0,IND_voed_ele_kWh/1000)</f>
        <v>12413.550999999999</v>
      </c>
      <c r="C32" s="39">
        <f>IF(ISERROR(B32*3.6/1000000/'E Balans VL '!Z20*100),0,B32*3.6/1000000/'E Balans VL '!Z20*100)</f>
        <v>2.3552922793692179</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8627.1479999999992</v>
      </c>
      <c r="C34" s="39">
        <f>IF(ISERROR(B34*3.6/1000000/'E Balans VL '!Z22*100),0,B34*3.6/1000000/'E Balans VL '!Z22*100)</f>
        <v>1.2130636399199559</v>
      </c>
      <c r="D34" s="235" t="s">
        <v>672</v>
      </c>
    </row>
    <row r="35" spans="1:5">
      <c r="A35" s="170" t="s">
        <v>38</v>
      </c>
      <c r="B35" s="37">
        <f>IF( ISERROR(IND_papier_ele_kWh/1000),0,IND_papier_ele_kWh/1000)</f>
        <v>1127.1320000000001</v>
      </c>
      <c r="C35" s="39">
        <f>IF(ISERROR(B35*3.6/1000000/'E Balans VL '!Z22*100),0,B35*3.6/1000000/'E Balans VL '!Z22*100)</f>
        <v>0.15848607750675656</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217.80199999999999</v>
      </c>
      <c r="C37" s="39">
        <f>IF(ISERROR(B37*3.6/1000000/'E Balans VL '!Z15*100),0,B37*3.6/1000000/'E Balans VL '!Z15*100)</f>
        <v>1.678431925998684E-3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4564.9186460826068</v>
      </c>
      <c r="C5" s="17">
        <f>'Eigen informatie GS &amp; warmtenet'!B60</f>
        <v>0</v>
      </c>
      <c r="D5" s="30">
        <f>IF(ISERROR(SUM(LB_lb_gas_kWh,LB_rest_gas_kWh)/1000),0,SUM(LB_lb_gas_kWh,LB_rest_gas_kWh)/1000)*0.902</f>
        <v>516.73971705848771</v>
      </c>
      <c r="E5" s="17">
        <f>B17*'E Balans VL '!I25/3.6*1000000/100</f>
        <v>57.523855751546854</v>
      </c>
      <c r="F5" s="17">
        <f>B17*('E Balans VL '!L25/3.6*1000000+'E Balans VL '!N25/3.6*1000000)/100</f>
        <v>15750.112909437572</v>
      </c>
      <c r="G5" s="18"/>
      <c r="H5" s="17"/>
      <c r="I5" s="17"/>
      <c r="J5" s="17">
        <f>('E Balans VL '!D25+'E Balans VL '!E25)/3.6*1000000*landbouw!B17/100</f>
        <v>686.51187220710028</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4564.9186460826068</v>
      </c>
      <c r="C8" s="21">
        <f>C5+C6</f>
        <v>0</v>
      </c>
      <c r="D8" s="21">
        <f>MAX((D5+D6),0)</f>
        <v>516.73971705848771</v>
      </c>
      <c r="E8" s="21">
        <f>MAX((E5+E6),0)</f>
        <v>57.523855751546854</v>
      </c>
      <c r="F8" s="21">
        <f>MAX((F5+F6),0)</f>
        <v>15750.112909437572</v>
      </c>
      <c r="G8" s="21"/>
      <c r="H8" s="21"/>
      <c r="I8" s="21"/>
      <c r="J8" s="21">
        <f>MAX((J5+J6),0)</f>
        <v>686.51187220710028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0.2064839009652619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942.58220963219844</v>
      </c>
      <c r="C12" s="23">
        <f ca="1">C8*C10</f>
        <v>0</v>
      </c>
      <c r="D12" s="23">
        <f>D8*D10</f>
        <v>104.38142284581453</v>
      </c>
      <c r="E12" s="23">
        <f>E8*E10</f>
        <v>13.057915255601136</v>
      </c>
      <c r="F12" s="23">
        <f>F8*F10</f>
        <v>4205.2801468198322</v>
      </c>
      <c r="G12" s="23"/>
      <c r="H12" s="23"/>
      <c r="I12" s="23"/>
      <c r="J12" s="23">
        <f>J8*J10</f>
        <v>243.02520276131349</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0.63666227324437796</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569.15513506991726</v>
      </c>
      <c r="C26" s="245">
        <f>B26*'GWP N2O_CH4'!B5</f>
        <v>11952.257836468263</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543.58098125258027</v>
      </c>
      <c r="C27" s="245">
        <f>B27*'GWP N2O_CH4'!B5</f>
        <v>11415.200606304186</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10.597106823085294</v>
      </c>
      <c r="C28" s="245">
        <f>B28*'GWP N2O_CH4'!B4</f>
        <v>3285.1031151564412</v>
      </c>
      <c r="D28" s="50"/>
    </row>
    <row r="29" spans="1:4">
      <c r="A29" s="41" t="s">
        <v>266</v>
      </c>
      <c r="B29" s="245">
        <f>B34*'ha_N2O bodem landbouw'!B4</f>
        <v>24.040935092318378</v>
      </c>
      <c r="C29" s="245">
        <f>B29*'GWP N2O_CH4'!B4</f>
        <v>7452.6898786186975</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6.0027812688237614E-3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1.897241363617119E-5</v>
      </c>
      <c r="C5" s="434" t="s">
        <v>204</v>
      </c>
      <c r="D5" s="419">
        <f>SUM(D6:D11)</f>
        <v>2.1954783753964737E-5</v>
      </c>
      <c r="E5" s="419">
        <f>SUM(E6:E11)</f>
        <v>7.6460129412749683E-4</v>
      </c>
      <c r="F5" s="432" t="s">
        <v>204</v>
      </c>
      <c r="G5" s="419">
        <f>SUM(G6:G11)</f>
        <v>0.21029462630671952</v>
      </c>
      <c r="H5" s="419">
        <f>SUM(H6:H11)</f>
        <v>3.6952557933527398E-2</v>
      </c>
      <c r="I5" s="434" t="s">
        <v>204</v>
      </c>
      <c r="J5" s="434" t="s">
        <v>204</v>
      </c>
      <c r="K5" s="434" t="s">
        <v>204</v>
      </c>
      <c r="L5" s="434" t="s">
        <v>204</v>
      </c>
      <c r="M5" s="419">
        <f>SUM(M6:M11)</f>
        <v>1.1179487054790244E-2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8.1097084358109331E-6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7.2247878468945236E-6</v>
      </c>
      <c r="E6" s="873">
        <f>vkm_GW_PW*SUMIFS(TableVerdeelsleutelVkm[LPG],TableVerdeelsleutelVkm[Voertuigtype],"Lichte voertuigen")*SUMIFS(TableECFTransport[EnergieConsumptieFactor (PJ per km)],TableECFTransport[Index],CONCATENATE($A6,"_LPG_LPG"))</f>
        <v>2.6003697164017251E-4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5.0968650207274174E-2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1.2495391650418729E-2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2.8708952957569372E-3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2.0667004997237657E-7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3.2340966864059267E-2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7.372036626480332E-7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1.4602444858382068E-3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1.0486463537297848E-5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1.4729995907070215E-5</v>
      </c>
      <c r="E8" s="422">
        <f>vkm_NGW_PW*SUMIFS(TableVerdeelsleutelVkm[LPG],TableVerdeelsleutelVkm[Voertuigtype],"Lichte voertuigen")*SUMIFS(TableECFTransport[EnergieConsumptieFactor (PJ per km)],TableECFTransport[Index],CONCATENATE($A8,"_LPG_LPG"))</f>
        <v>5.0456432248732438E-4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9.2899588661634336E-2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2.4455698984171485E-2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5.3093401512747732E-3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1.6957161309003458E-7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3.408542057375176E-2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7.3009527453667818E-7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1.5390071219203265E-3</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5.2701148989364413</v>
      </c>
      <c r="C14" s="21"/>
      <c r="D14" s="21">
        <f t="shared" ref="D14:M14" si="0">((D5)*10^9/3600)+D12</f>
        <v>6.0985510427679825</v>
      </c>
      <c r="E14" s="21">
        <f t="shared" si="0"/>
        <v>212.38924836874912</v>
      </c>
      <c r="F14" s="21"/>
      <c r="G14" s="21">
        <f t="shared" si="0"/>
        <v>58415.17397408875</v>
      </c>
      <c r="H14" s="21">
        <f t="shared" si="0"/>
        <v>10264.599425979832</v>
      </c>
      <c r="I14" s="21"/>
      <c r="J14" s="21"/>
      <c r="K14" s="21"/>
      <c r="L14" s="21"/>
      <c r="M14" s="21">
        <f t="shared" si="0"/>
        <v>3105.4130707750678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0.2064839009652619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1.0881938828675433</v>
      </c>
      <c r="C18" s="23"/>
      <c r="D18" s="23">
        <f t="shared" ref="D18:M18" si="1">D14*D16</f>
        <v>1.2319073106391325</v>
      </c>
      <c r="E18" s="23">
        <f t="shared" si="1"/>
        <v>48.212359379706051</v>
      </c>
      <c r="F18" s="23"/>
      <c r="G18" s="23">
        <f t="shared" si="1"/>
        <v>15596.851451081697</v>
      </c>
      <c r="H18" s="23">
        <f t="shared" si="1"/>
        <v>2555.8852570689783</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1.0015051968607428E-5</v>
      </c>
      <c r="C50" s="316">
        <f t="shared" ref="C50:P50" si="2">SUM(C51:C52)</f>
        <v>0</v>
      </c>
      <c r="D50" s="316">
        <f t="shared" si="2"/>
        <v>0</v>
      </c>
      <c r="E50" s="316">
        <f t="shared" si="2"/>
        <v>0</v>
      </c>
      <c r="F50" s="316">
        <f t="shared" si="2"/>
        <v>0</v>
      </c>
      <c r="G50" s="316">
        <f t="shared" si="2"/>
        <v>1.9493731493906157E-3</v>
      </c>
      <c r="H50" s="316">
        <f t="shared" si="2"/>
        <v>0</v>
      </c>
      <c r="I50" s="316">
        <f t="shared" si="2"/>
        <v>0</v>
      </c>
      <c r="J50" s="316">
        <f t="shared" si="2"/>
        <v>0</v>
      </c>
      <c r="K50" s="316">
        <f t="shared" si="2"/>
        <v>0</v>
      </c>
      <c r="L50" s="316">
        <f t="shared" si="2"/>
        <v>0</v>
      </c>
      <c r="M50" s="316">
        <f t="shared" si="2"/>
        <v>8.741152997943281E-5</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1.0015051968607428E-5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1.9493731493906157E-3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8.741152997943281E-5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2.7819588801687298</v>
      </c>
      <c r="C54" s="21">
        <f t="shared" ref="C54:P54" si="3">(C50)*10^9/3600</f>
        <v>0</v>
      </c>
      <c r="D54" s="21">
        <f t="shared" si="3"/>
        <v>0</v>
      </c>
      <c r="E54" s="21">
        <f t="shared" si="3"/>
        <v>0</v>
      </c>
      <c r="F54" s="21">
        <f t="shared" si="3"/>
        <v>0</v>
      </c>
      <c r="G54" s="21">
        <f t="shared" si="3"/>
        <v>541.49254149739329</v>
      </c>
      <c r="H54" s="21">
        <f t="shared" si="3"/>
        <v>0</v>
      </c>
      <c r="I54" s="21">
        <f t="shared" si="3"/>
        <v>0</v>
      </c>
      <c r="J54" s="21">
        <f t="shared" si="3"/>
        <v>0</v>
      </c>
      <c r="K54" s="21">
        <f t="shared" si="3"/>
        <v>0</v>
      </c>
      <c r="L54" s="21">
        <f t="shared" si="3"/>
        <v>0</v>
      </c>
      <c r="M54" s="21">
        <f t="shared" si="3"/>
        <v>24.28098054984245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0.2064839009652619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0.57442972190219088</v>
      </c>
      <c r="C58" s="23">
        <f t="shared" ref="C58:P58" ca="1" si="4">C54*C56</f>
        <v>0</v>
      </c>
      <c r="D58" s="23">
        <f t="shared" si="4"/>
        <v>0</v>
      </c>
      <c r="E58" s="23">
        <f t="shared" si="4"/>
        <v>0</v>
      </c>
      <c r="F58" s="23">
        <f t="shared" si="4"/>
        <v>0</v>
      </c>
      <c r="G58" s="23">
        <f t="shared" si="4"/>
        <v>144.57850857980401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4842.7485953097639</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4842.7485953097639</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2021-11-11T13:23:01Z</dcterms:modified>
</cp:coreProperties>
</file>