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0265C4A3-BC9B-4266-9B02-62A9D9F68191}"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B8" i="18" s="1"/>
  <c r="M29" i="18"/>
  <c r="G22" i="18"/>
  <c r="F22" i="18"/>
  <c r="E22" i="18"/>
  <c r="D22" i="18"/>
  <c r="C22" i="18"/>
  <c r="L20" i="18"/>
  <c r="D20" i="18"/>
  <c r="G12" i="18"/>
  <c r="F12" i="18"/>
  <c r="E12" i="18"/>
  <c r="D12" i="18"/>
  <c r="C12" i="18"/>
  <c r="L10" i="18"/>
  <c r="K10" i="18"/>
  <c r="G10" i="18"/>
  <c r="D10" i="18"/>
  <c r="B6" i="18"/>
  <c r="B5" i="18"/>
  <c r="B4" i="18"/>
  <c r="J9" i="18" l="1"/>
  <c r="F20" i="18"/>
  <c r="B17" i="18"/>
  <c r="B20" i="18" s="1"/>
  <c r="I49" i="18"/>
  <c r="H17" i="18" s="1"/>
  <c r="G49" i="18"/>
  <c r="F49" i="18"/>
  <c r="C49" i="18"/>
  <c r="B49" i="18"/>
  <c r="C17" i="18" s="1"/>
  <c r="C20" i="18" s="1"/>
  <c r="C45" i="18"/>
  <c r="O18" i="18"/>
  <c r="H20" i="18"/>
  <c r="G20" i="18"/>
  <c r="K20" i="18"/>
  <c r="B10" i="18"/>
  <c r="O19" i="18"/>
  <c r="O9" i="18"/>
  <c r="D49" i="18"/>
  <c r="H49" i="18"/>
  <c r="E48" i="18"/>
  <c r="E8" i="18" s="1"/>
  <c r="E10" i="18" s="1"/>
  <c r="E49" i="18"/>
  <c r="E17" i="18" s="1"/>
  <c r="E20" i="18" s="1"/>
  <c r="N6" i="17"/>
  <c r="I17" i="18" l="1"/>
  <c r="I20" i="18" s="1"/>
  <c r="I48" i="18"/>
  <c r="H8" i="18" s="1"/>
  <c r="H10" i="18" s="1"/>
  <c r="G48" i="18"/>
  <c r="I8" i="18" s="1"/>
  <c r="I10" i="18" s="1"/>
  <c r="F48" i="18"/>
  <c r="D48" i="18"/>
  <c r="C48" i="18"/>
  <c r="B48" i="18"/>
  <c r="C8" i="18" s="1"/>
  <c r="C10" i="18" s="1"/>
  <c r="H48" i="18"/>
  <c r="J8" i="18" s="1"/>
  <c r="J10" i="18" s="1"/>
  <c r="J17" i="18"/>
  <c r="J20" i="18" s="1"/>
  <c r="L6" i="17"/>
  <c r="F6" i="17"/>
  <c r="D6" i="17"/>
  <c r="C6" i="17"/>
  <c r="N16" i="16"/>
  <c r="L16" i="16"/>
  <c r="F16" i="16"/>
  <c r="D16" i="16"/>
  <c r="C16" i="16"/>
  <c r="B16" i="16"/>
  <c r="B13" i="15"/>
  <c r="O8" i="18" l="1"/>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Q56" i="14"/>
  <c r="I56" i="14"/>
  <c r="R44" i="14"/>
  <c r="Q26" i="14"/>
  <c r="I26" i="14"/>
  <c r="E25" i="14"/>
  <c r="E55" i="14" s="1"/>
  <c r="C25" i="14"/>
  <c r="B14" i="48" s="1"/>
  <c r="P26" i="14"/>
  <c r="N26" i="14"/>
  <c r="L26" i="14"/>
  <c r="J26" i="14"/>
  <c r="H26" i="14"/>
  <c r="P25" i="48" l="1"/>
  <c r="H20" i="59"/>
  <c r="O25" i="48"/>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6" i="13" l="1"/>
  <c r="B33" i="13"/>
  <c r="B32" i="13"/>
  <c r="B35" i="13"/>
  <c r="C35" i="13" s="1"/>
  <c r="B34" i="13"/>
  <c r="C34" i="13"/>
  <c r="B67" i="22"/>
  <c r="P5" i="13"/>
  <c r="P8" i="13" s="1"/>
  <c r="B37"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Q16" i="14" s="1"/>
  <c r="Q27" i="14" s="1"/>
  <c r="R9" i="14"/>
  <c r="Q11" i="48"/>
  <c r="E29" i="48"/>
  <c r="L10" i="14"/>
  <c r="K5" i="48"/>
  <c r="I5" i="48"/>
  <c r="J10" i="14"/>
  <c r="J16" i="14" s="1"/>
  <c r="J27" i="14" s="1"/>
  <c r="L16" i="14"/>
  <c r="L27" i="14" s="1"/>
  <c r="L46" i="14"/>
  <c r="L61" i="14" s="1"/>
  <c r="K24" i="14"/>
  <c r="K26" i="14" s="1"/>
  <c r="J7" i="48"/>
  <c r="J25" i="48" s="1"/>
  <c r="P23"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G14" i="22" l="1"/>
  <c r="H20" i="14" s="1"/>
  <c r="P15" i="48"/>
  <c r="Q63" i="14"/>
  <c r="L63" i="14"/>
  <c r="P33" i="48"/>
  <c r="P13" i="14"/>
  <c r="O8" i="48"/>
  <c r="O26" i="48" s="1"/>
  <c r="P16" i="14"/>
  <c r="P27" i="14" s="1"/>
  <c r="J63" i="14"/>
  <c r="I23" i="48"/>
  <c r="I33" i="48" s="1"/>
  <c r="I15" i="48"/>
  <c r="K15" i="48"/>
  <c r="K23" i="48"/>
  <c r="K33" i="48" s="1"/>
  <c r="F24" i="14"/>
  <c r="F26" i="14" s="1"/>
  <c r="E7" i="48"/>
  <c r="E25" i="48" s="1"/>
  <c r="O23" i="48"/>
  <c r="O15" i="48"/>
  <c r="E12" i="13"/>
  <c r="F41" i="14" s="1"/>
  <c r="F11" i="14"/>
  <c r="E4" i="48"/>
  <c r="K11" i="14"/>
  <c r="J4" i="48"/>
  <c r="N4" i="48"/>
  <c r="N22" i="48" s="1"/>
  <c r="O11" i="14"/>
  <c r="R18" i="14"/>
  <c r="M14" i="22"/>
  <c r="N20" i="14" s="1"/>
  <c r="M10" i="48"/>
  <c r="M28" i="48" s="1"/>
  <c r="N19" i="14"/>
  <c r="G10" i="48"/>
  <c r="H19" i="14"/>
  <c r="Q13" i="48"/>
  <c r="G31" i="48"/>
  <c r="G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J20" i="15" s="1"/>
  <c r="K40" i="14" s="1"/>
  <c r="M58" i="22"/>
  <c r="N49" i="14" s="1"/>
  <c r="D18" i="22"/>
  <c r="E50" i="14" s="1"/>
  <c r="E52" i="14" s="1"/>
  <c r="E18" i="22"/>
  <c r="F50" i="14" s="1"/>
  <c r="F52" i="14" s="1"/>
  <c r="G58" i="22"/>
  <c r="H49" i="14" s="1"/>
  <c r="N20" i="15"/>
  <c r="O40" i="14" s="1"/>
  <c r="F20" i="15"/>
  <c r="G40" i="14" s="1"/>
  <c r="N5" i="16"/>
  <c r="E5" i="16"/>
  <c r="J5" i="16"/>
  <c r="F5" i="16"/>
  <c r="N12" i="13"/>
  <c r="O41" i="14" s="1"/>
  <c r="J12" i="13"/>
  <c r="K41" i="14" s="1"/>
  <c r="L20" i="15"/>
  <c r="M40" i="14" s="1"/>
  <c r="M46" i="14" s="1"/>
  <c r="O33" i="48" l="1"/>
  <c r="H22" i="14"/>
  <c r="H27" i="14" s="1"/>
  <c r="M9" i="48"/>
  <c r="M15" i="48" s="1"/>
  <c r="M18" i="22"/>
  <c r="N50" i="14" s="1"/>
  <c r="N52" i="14" s="1"/>
  <c r="N61" i="14" s="1"/>
  <c r="E20" i="15"/>
  <c r="F40" i="14" s="1"/>
  <c r="F10" i="14"/>
  <c r="E5" i="48"/>
  <c r="E23" i="48" s="1"/>
  <c r="K10" i="14"/>
  <c r="J5" i="48"/>
  <c r="J23" i="48" s="1"/>
  <c r="E22" i="48"/>
  <c r="Q4" i="48"/>
  <c r="R11" i="14"/>
  <c r="J22" i="48"/>
  <c r="N22" i="14"/>
  <c r="N27" i="14" s="1"/>
  <c r="N63" i="14" s="1"/>
  <c r="E61" i="14"/>
  <c r="R19" i="14"/>
  <c r="Q10" i="48"/>
  <c r="G28" i="48"/>
  <c r="H9" i="48"/>
  <c r="I20" i="14"/>
  <c r="M27" i="48"/>
  <c r="M33" i="48" s="1"/>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R10" i="14"/>
  <c r="E63" i="14"/>
  <c r="J22" i="16"/>
  <c r="K43" i="14" s="1"/>
  <c r="K46" i="14" s="1"/>
  <c r="K61" i="14" s="1"/>
  <c r="K13" i="14"/>
  <c r="K16" i="14" s="1"/>
  <c r="K27" i="14" s="1"/>
  <c r="J8" i="48"/>
  <c r="J26" i="48" s="1"/>
  <c r="J33" i="48" s="1"/>
  <c r="E8" i="48"/>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26" i="48" l="1"/>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<sst xmlns="http://schemas.openxmlformats.org/spreadsheetml/2006/main" count="2511" uniqueCount="926">
  <si>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</si>
  <si>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</si>
  <si>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</si>
  <si>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</si>
  <si>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</si>
  <si>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</si>
  <si>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</si>
  <si>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</si>
  <si>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</si>
  <si>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</si>
  <si>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</si>
  <si>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</si>
  <si>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</si>
  <si>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</si>
  <si>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</si>
  <si>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</si>
  <si>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</si>
  <si>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</si>
  <si>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</si>
  <si>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</si>
  <si>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</si>
  <si>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</si>
  <si>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</si>
  <si>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</si>
  <si>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</si>
  <si>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</si>
  <si>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</si>
  <si>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</si>
  <si>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</si>
  <si>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</si>
  <si>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</si>
  <si>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</si>
  <si>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</si>
  <si>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</si>
  <si>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</si>
  <si>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</si>
  <si>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</si>
  <si>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</si>
  <si>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</si>
  <si>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</si>
  <si>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</si>
  <si>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</si>
  <si>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</si>
  <si>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</si>
  <si>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</si>
  <si>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</si>
  <si>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</si>
  <si>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</si>
  <si>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</si>
  <si>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</si>
  <si>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</si>
  <si>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</si>
  <si>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</si>
  <si>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</si>
  <si>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</si>
  <si>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</si>
  <si>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</si>
  <si>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</si>
  <si>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</si>
  <si>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</si>
  <si>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</si>
  <si>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</si>
  <si>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</si>
  <si>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</si>
  <si>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</si>
  <si>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</si>
  <si>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</si>
  <si>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</si>
  <si>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</si>
  <si>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</si>
  <si>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</si>
  <si>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</si>
  <si>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</si>
  <si>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</si>
  <si>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</si>
  <si>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</si>
  <si>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</si>
  <si>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</si>
  <si>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</si>
  <si>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</si>
  <si>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</si>
  <si>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</si>
  <si>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</si>
  <si>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</si>
  <si>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</si>
  <si>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</si>
  <si>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</si>
  <si>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</si>
  <si>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</si>
  <si>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</si>
  <si>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</si>
  <si>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</si>
  <si>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</si>
  <si>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</si>
  <si>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</si>
  <si>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</si>
  <si>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</si>
  <si>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</si>
  <si>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</si>
  <si>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</si>
  <si>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</si>
  <si>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</si>
  <si>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</si>
  <si>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</si>
  <si>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</si>
  <si>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</si>
  <si>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</si>
  <si>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</si>
  <si>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</si>
  <si>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</si>
  <si>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</si>
  <si>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</si>
  <si>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</si>
  <si>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</si>
  <si>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</si>
  <si>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</si>
  <si>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</si>
  <si>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</si>
  <si>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</si>
  <si>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</si>
  <si>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</si>
  <si>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</si>
  <si>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</si>
  <si>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</si>
  <si>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</si>
  <si>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</si>
  <si>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</si>
  <si>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</si>
  <si>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</si>
  <si>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</si>
  <si>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</si>
  <si>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</si>
  <si>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</si>
  <si>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</si>
  <si>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</si>
  <si>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</si>
  <si>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</si>
  <si>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</si>
  <si>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</si>
  <si>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</si>
  <si>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</si>
  <si>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</si>
  <si>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</si>
  <si>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</si>
  <si>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</si>
  <si>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</si>
  <si>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</si>
  <si>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</si>
  <si>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</si>
  <si>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</si>
  <si>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</si>
  <si>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</si>
  <si>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</si>
  <si>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</si>
  <si>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</si>
  <si>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</si>
  <si>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</si>
  <si>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</si>
  <si>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</si>
  <si>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</si>
  <si>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</si>
  <si>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</si>
  <si>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</si>
  <si>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</si>
  <si>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</si>
  <si>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</si>
  <si>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</si>
  <si>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</si>
  <si>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</si>
  <si>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</si>
  <si>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</si>
  <si>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</si>
  <si>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</si>
  <si>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</si>
  <si>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</si>
  <si>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</si>
  <si>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</si>
  <si>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</si>
  <si>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</si>
  <si>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</si>
  <si>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</si>
  <si>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</si>
  <si>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</si>
  <si>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</si>
  <si>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</si>
  <si>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</si>
  <si>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</si>
  <si>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</si>
  <si>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</si>
  <si>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</si>
  <si>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</si>
  <si>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</si>
  <si>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</si>
  <si>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</si>
  <si>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</si>
  <si>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</si>
  <si>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</si>
  <si>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</si>
  <si>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</si>
  <si>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</si>
  <si>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</si>
  <si>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</si>
  <si>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</si>
  <si>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</si>
  <si>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</si>
  <si>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</si>
  <si>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</si>
  <si>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</si>
  <si>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</si>
  <si>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</si>
  <si>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</si>
  <si>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</si>
  <si>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</si>
  <si>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</si>
  <si>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</si>
  <si>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</si>
  <si>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</si>
  <si>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</si>
  <si>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</si>
  <si>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</si>
  <si>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</si>
  <si>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</si>
  <si>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</si>
  <si>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</si>
  <si>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</si>
  <si>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</si>
  <si>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</si>
  <si>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</si>
  <si>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</si>
  <si>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</si>
  <si>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</si>
  <si>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</si>
  <si>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</si>
  <si>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</si>
  <si>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</si>
  <si>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</si>
  <si>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</si>
  <si>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</si>
  <si>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</si>
  <si>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</si>
  <si>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</si>
  <si>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</si>
  <si>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</si>
  <si>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</si>
  <si>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</si>
  <si>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</si>
  <si>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</si>
  <si>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</si>
  <si>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</si>
  <si>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</si>
  <si>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</si>
  <si>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</si>
  <si>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</si>
  <si>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</si>
  <si>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</si>
  <si>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</si>
  <si>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</si>
  <si>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</si>
  <si>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</si>
  <si>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</si>
  <si>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</si>
  <si>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</si>
  <si>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</si>
  <si>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</si>
  <si>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</si>
  <si>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</si>
  <si>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</si>
  <si>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</si>
  <si>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</si>
  <si>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</si>
  <si>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</si>
  <si>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</si>
  <si>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</si>
  <si>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</si>
  <si>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</si>
  <si>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</si>
  <si>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</si>
  <si>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</si>
  <si>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</si>
  <si>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</si>
  <si>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</si>
  <si>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</si>
  <si>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</si>
  <si>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</si>
  <si>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</si>
  <si>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</si>
  <si>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</si>
  <si>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</si>
  <si>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</si>
  <si>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</si>
  <si>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</si>
  <si>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</si>
  <si>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</si>
  <si>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</si>
  <si>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</si>
  <si>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</si>
  <si>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</si>
  <si>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</si>
  <si>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</si>
  <si>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</si>
  <si>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</si>
  <si>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</si>
  <si>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</si>
  <si>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</si>
  <si>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</si>
  <si>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</si>
  <si>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</si>
  <si>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</si>
  <si>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</si>
  <si>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</si>
  <si>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</si>
  <si>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</si>
  <si>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</si>
  <si>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</si>
  <si>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</si>
  <si>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</si>
  <si>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</si>
  <si>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</si>
  <si>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</si>
  <si>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</si>
  <si>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</si>
  <si>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</si>
  <si>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</si>
  <si>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</si>
  <si>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</si>
  <si>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</si>
  <si>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</si>
  <si>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</si>
  <si>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</si>
  <si>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</si>
  <si>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</si>
  <si>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</si>
  <si>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</si>
  <si>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</si>
  <si>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</si>
  <si>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</si>
  <si>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</si>
  <si>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</si>
  <si>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</si>
  <si>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</si>
  <si>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</si>
  <si>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</si>
  <si>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</si>
  <si>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</si>
  <si>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</si>
  <si>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</si>
  <si>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</si>
  <si>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</si>
  <si>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</si>
  <si>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</si>
  <si>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</si>
  <si>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</si>
  <si>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</si>
  <si>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</si>
  <si>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</si>
  <si>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</si>
  <si>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</si>
  <si>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</si>
  <si>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</si>
  <si>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</si>
  <si>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</si>
  <si>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</si>
  <si>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</si>
  <si>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</si>
  <si>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</si>
  <si>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</si>
  <si>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</si>
  <si>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</si>
  <si>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</si>
  <si>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</si>
  <si>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</si>
  <si>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</si>
  <si>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</si>
  <si>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</si>
  <si>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</si>
  <si>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</si>
  <si>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</si>
  <si>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</si>
  <si>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</si>
  <si>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</si>
  <si>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</si>
  <si>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</si>
  <si>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</si>
  <si>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</si>
  <si>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</si>
  <si>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</si>
  <si>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</si>
  <si>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</si>
  <si>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</si>
  <si>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</si>
  <si>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</si>
  <si>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</si>
  <si>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</si>
  <si>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</si>
  <si>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</si>
  <si>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</si>
  <si>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</si>
  <si>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</si>
  <si>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</si>
  <si>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</si>
  <si>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</si>
  <si>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</si>
  <si>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</si>
  <si>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</si>
  <si>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</si>
  <si>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</si>
  <si>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</si>
  <si>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</si>
  <si>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</si>
  <si>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</si>
  <si>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</si>
  <si>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</si>
  <si>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</si>
  <si>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</si>
  <si>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</si>
  <si>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</si>
  <si>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</si>
  <si>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</si>
  <si>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</si>
  <si>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</si>
  <si>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</si>
  <si>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</si>
  <si>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</si>
  <si>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</si>
  <si>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</si>
  <si>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</si>
  <si>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</si>
  <si>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</si>
  <si>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</si>
  <si>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</si>
  <si>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</si>
  <si>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</si>
  <si>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</si>
  <si>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</si>
  <si>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</si>
  <si>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</si>
  <si>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</si>
  <si>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</si>
  <si>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</si>
  <si>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</si>
  <si>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</si>
  <si>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</si>
  <si>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</si>
  <si>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</si>
  <si>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</si>
  <si>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</si>
  <si>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</si>
  <si>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</si>
  <si>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</si>
  <si>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</si>
  <si>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</si>
  <si>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</si>
  <si>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</si>
  <si>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</si>
  <si>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</si>
  <si>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</si>
  <si>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</si>
  <si>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</si>
  <si>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</si>
  <si>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</si>
  <si>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</si>
  <si>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</si>
  <si>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</si>
  <si>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</si>
  <si>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</si>
  <si>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</si>
  <si>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</si>
  <si>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</si>
  <si>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</si>
  <si>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</si>
  <si>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</si>
  <si>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</si>
  <si>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</si>
  <si>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</si>
  <si>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</si>
  <si>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</si>
  <si>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</si>
  <si>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</si>
  <si>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</si>
  <si>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</si>
  <si>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</si>
  <si>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</si>
  <si>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</si>
  <si>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</si>
  <si>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</si>
  <si>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</si>
  <si>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</si>
  <si>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</si>
  <si>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</si>
  <si>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</si>
  <si>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</si>
  <si>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</si>
  <si>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</si>
  <si>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</si>
  <si>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</si>
  <si>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</si>
  <si>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</si>
  <si>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</si>
  <si>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</si>
  <si>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</si>
  <si>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</si>
  <si>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</si>
  <si>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</si>
  <si>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</si>
  <si>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</si>
  <si>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</si>
  <si>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</si>
  <si>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</si>
  <si>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</si>
  <si>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</si>
  <si>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</si>
  <si>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</si>
  <si>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</si>
  <si>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</si>
  <si>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</si>
  <si>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</si>
  <si>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</si>
  <si>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</si>
  <si>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</si>
  <si>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</si>
  <si>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</si>
  <si>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</si>
  <si>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</si>
  <si>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</si>
  <si>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</si>
  <si>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</si>
  <si>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</si>
  <si>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</si>
  <si>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</si>
  <si>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</si>
  <si>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</si>
  <si>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</si>
  <si>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</si>
  <si>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</si>
  <si>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</si>
  <si>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</si>
  <si>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</si>
  <si>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</si>
  <si>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</si>
  <si>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</si>
  <si>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</si>
  <si>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</si>
  <si>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</si>
  <si>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</si>
  <si>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</si>
  <si>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</si>
  <si>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</si>
  <si>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</si>
  <si>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</si>
  <si>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</si>
  <si>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</si>
  <si>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</si>
  <si>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</si>
  <si>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</si>
  <si>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</si>
  <si>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</si>
  <si>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</si>
  <si>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</si>
  <si>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</si>
  <si>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</si>
  <si>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</si>
  <si>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</si>
  <si>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</si>
  <si>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</si>
  <si>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</si>
  <si>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</si>
  <si>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</si>
  <si>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</si>
  <si>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</si>
  <si>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</si>
  <si>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</si>
  <si>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</si>
  <si>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</si>
  <si>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</si>
  <si>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</si>
  <si>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</si>
  <si>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</si>
  <si>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</si>
  <si>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</si>
  <si>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</si>
  <si>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</si>
  <si>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</si>
  <si>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</si>
  <si>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</si>
  <si>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</si>
  <si>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</si>
  <si>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</si>
  <si>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</si>
  <si>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</si>
  <si>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</si>
  <si>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</si>
  <si>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</si>
  <si>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</si>
  <si>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</si>
  <si>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</si>
  <si>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</si>
  <si>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</si>
  <si>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</si>
  <si>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</si>
  <si>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</si>
  <si>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</si>
  <si>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</si>
  <si>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</si>
  <si>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</si>
  <si>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</si>
  <si>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</si>
  <si>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</si>
  <si>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</si>
  <si>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</si>
  <si>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</si>
  <si>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</si>
  <si>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</si>
  <si>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</si>
  <si>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</si>
  <si>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</si>
  <si>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</si>
  <si>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</si>
  <si>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</si>
  <si>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</si>
  <si>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</si>
  <si>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</si>
  <si>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</si>
  <si>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</si>
  <si>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</si>
  <si>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</si>
  <si>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</si>
  <si>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</si>
  <si>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</si>
  <si>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</si>
  <si>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</si>
  <si>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</si>
  <si>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</si>
  <si>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</si>
  <si>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</si>
  <si>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</si>
  <si>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</si>
  <si>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</si>
  <si>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</si>
  <si>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</si>
  <si>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</si>
  <si>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</si>
  <si>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</si>
  <si>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</si>
  <si>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</si>
  <si>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</si>
  <si>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</si>
  <si>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</si>
  <si>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</si>
  <si>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</si>
  <si>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</si>
  <si>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</si>
  <si>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</si>
  <si>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</si>
  <si>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</si>
  <si>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</si>
  <si>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</si>
  <si>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</si>
  <si>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</si>
  <si>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</si>
  <si>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</si>
  <si>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</si>
  <si>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</si>
  <si>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</si>
  <si>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</si>
  <si>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</si>
  <si>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</si>
  <si>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</si>
  <si>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</si>
  <si>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</si>
  <si>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</si>
  <si>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</si>
  <si>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</si>
  <si>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</si>
  <si>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</si>
  <si>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</si>
  <si>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</si>
  <si>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</si>
  <si>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</si>
  <si>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</si>
  <si>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</si>
  <si>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</si>
  <si>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</si>
  <si>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</si>
  <si>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</si>
  <si>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</si>
  <si>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</si>
  <si>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</si>
  <si>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</si>
  <si>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</si>
  <si>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</si>
  <si>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</si>
  <si>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</si>
  <si>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</si>
  <si>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</si>
  <si>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</si>
  <si>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</si>
  <si>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</si>
  <si>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</si>
  <si>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</si>
  <si>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</si>
  <si>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</si>
  <si>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</si>
  <si>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</si>
  <si>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</si>
  <si>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</si>
  <si>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</si>
  <si>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</si>
  <si>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</si>
  <si>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</si>
  <si>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</si>
  <si>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</si>
  <si>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</si>
  <si>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</si>
  <si>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</si>
  <si>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</si>
  <si>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</si>
  <si>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</si>
  <si>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</si>
  <si>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</si>
  <si>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</si>
  <si>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</si>
  <si>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</si>
  <si>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</si>
  <si>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</si>
  <si>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</si>
  <si>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</si>
  <si>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</si>
  <si>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</si>
  <si>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</si>
  <si>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</si>
  <si>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</si>
  <si>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</si>
  <si>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</si>
  <si>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</si>
  <si>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</si>
  <si>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</si>
  <si>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</si>
  <si>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</si>
  <si>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</si>
  <si>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</si>
  <si>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</si>
  <si>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</si>
  <si>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</si>
  <si>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</si>
  <si>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</si>
  <si>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</si>
  <si>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</si>
  <si>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</si>
  <si>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</si>
  <si>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</si>
  <si>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</si>
  <si>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</si>
  <si>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</si>
  <si>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</si>
  <si>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</si>
  <si>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</si>
  <si>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</si>
  <si>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</si>
  <si>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</si>
  <si>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</si>
  <si>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</si>
  <si>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</si>
  <si>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</si>
  <si>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</si>
  <si>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</si>
  <si>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</si>
  <si>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</si>
  <si>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</si>
  <si>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</si>
  <si>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</si>
  <si>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</si>
  <si>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</si>
  <si>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</si>
  <si>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</si>
  <si>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</si>
  <si>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</si>
  <si>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</si>
  <si>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</si>
  <si>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</si>
  <si>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</si>
  <si>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</si>
  <si>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</si>
  <si>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</si>
  <si>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</si>
  <si>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</si>
  <si>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</si>
  <si>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</si>
  <si>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</si>
  <si>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</si>
  <si>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</si>
  <si>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</si>
  <si>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</si>
  <si>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</si>
  <si>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</si>
  <si>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</si>
  <si>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</si>
  <si>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</si>
  <si>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</si>
  <si>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</si>
  <si>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</si>
  <si>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</si>
  <si>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</si>
  <si>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</si>
  <si>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</si>
  <si>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</si>
  <si>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</si>
  <si>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</si>
  <si>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</si>
  <si>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</si>
  <si>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</si>
  <si>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</si>
  <si>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</si>
  <si>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</si>
  <si>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</si>
  <si>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</si>
  <si>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</si>
  <si>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</si>
  <si>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</si>
  <si>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</si>
  <si>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</si>
  <si>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</si>
  <si>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</si>
  <si>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</si>
  <si>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</si>
  <si>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</si>
  <si>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</si>
  <si>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</si>
  <si>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</si>
  <si>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</si>
  <si>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</si>
  <si>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</si>
  <si>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</si>
  <si>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</si>
  <si>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</si>
  <si>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</si>
  <si>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</si>
  <si>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</si>
  <si>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</si>
  <si>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</si>
  <si>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</si>
  <si>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</si>
  <si>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</si>
  <si>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</si>
  <si>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</si>
  <si>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</si>
  <si>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</si>
  <si>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</si>
  <si>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</si>
  <si>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</si>
  <si>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</si>
  <si>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</si>
  <si>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</si>
  <si>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</si>
  <si>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</si>
  <si>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</si>
  <si>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</si>
  <si>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</si>
  <si>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</si>
  <si>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</si>
  <si>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</si>
  <si>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</si>
  <si>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</si>
  <si>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</si>
  <si>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</si>
  <si>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</si>
  <si>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</si>
  <si>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</si>
  <si>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</si>
  <si>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</si>
  <si>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</si>
  <si>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</si>
  <si>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</si>
  <si>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</si>
  <si>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</si>
  <si>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</si>
  <si>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</si>
  <si>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</si>
  <si>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</si>
  <si>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</si>
  <si>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</si>
  <si>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</si>
  <si>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</si>
  <si>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</si>
  <si>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</si>
  <si>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</si>
  <si>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</si>
  <si>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</si>
  <si>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</si>
  <si>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</si>
  <si>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</si>
  <si>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</si>
  <si>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</si>
  <si>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</si>
  <si>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</si>
  <si>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</si>
  <si>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</si>
  <si>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</si>
  <si>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</si>
  <si>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</si>
  <si>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</si>
  <si>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</si>
  <si>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</si>
  <si>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</si>
  <si>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</si>
  <si>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</si>
  <si>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</si>
  <si>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</si>
  <si>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</si>
  <si>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</si>
  <si>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</si>
  <si>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</si>
  <si>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</si>
  <si>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</si>
  <si>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</si>
  <si>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</si>
  <si>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</si>
  <si>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</si>
  <si>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</si>
  <si>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</si>
  <si>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24007</t>
  </si>
  <si>
    <t>BEGIJNENDIJK</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</si>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</sst>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36919E50-4F02-4854-B990-459AFD3D390D}"/>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97803.297707065096</c:v>
                </c:pt>
                <c:pt idx="1">
                  <c:v>11935.545971369527</c:v>
                </c:pt>
                <c:pt idx="2">
                  <c:v>544.45399999999995</c:v>
                </c:pt>
                <c:pt idx="3">
                  <c:v>694.33771718116259</c:v>
                </c:pt>
                <c:pt idx="4">
                  <c:v>2250.4738452515821</c:v>
                </c:pt>
                <c:pt idx="5">
                  <c:v>59472.979482519528</c:v>
                </c:pt>
                <c:pt idx="6">
                  <c:v>302.3617076429577</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97803.297707065096</c:v>
                </c:pt>
                <c:pt idx="1">
                  <c:v>11935.545971369527</c:v>
                </c:pt>
                <c:pt idx="2">
                  <c:v>544.45399999999995</c:v>
                </c:pt>
                <c:pt idx="3">
                  <c:v>694.33771718116259</c:v>
                </c:pt>
                <c:pt idx="4">
                  <c:v>2250.4738452515821</c:v>
                </c:pt>
                <c:pt idx="5">
                  <c:v>59472.979482519528</c:v>
                </c:pt>
                <c:pt idx="6">
                  <c:v>302.3617076429577</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21661.456162253126</c:v>
                </c:pt>
                <c:pt idx="2">
                  <c:v>2368.5196612840991</c:v>
                </c:pt>
                <c:pt idx="3">
                  <c:v>107.06745613871742</c:v>
                </c:pt>
                <c:pt idx="4">
                  <c:v>175.65652498654114</c:v>
                </c:pt>
                <c:pt idx="5">
                  <c:v>474.59714059031967</c:v>
                </c:pt>
                <c:pt idx="6">
                  <c:v>15022.918819860519</c:v>
                </c:pt>
                <c:pt idx="7">
                  <c:v>77.178781657947468</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21661.456162253126</c:v>
                </c:pt>
                <c:pt idx="2">
                  <c:v>2368.5196612840991</c:v>
                </c:pt>
                <c:pt idx="3">
                  <c:v>107.06745613871742</c:v>
                </c:pt>
                <c:pt idx="4">
                  <c:v>175.65652498654114</c:v>
                </c:pt>
                <c:pt idx="5">
                  <c:v>474.59714059031967</c:v>
                </c:pt>
                <c:pt idx="6">
                  <c:v>15022.918819860519</c:v>
                </c:pt>
                <c:pt idx="7">
                  <c:v>77.178781657947468</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24007</v>
      </c>
      <c r="B6" s="385"/>
      <c r="C6" s="386"/>
    </row>
    <row r="7" spans="1:7" s="383" customFormat="1" ht="15.75" customHeight="1">
      <c r="A7" s="387" t="str">
        <f>txtMunicipality</f>
        <v>BEGIJNENDIJK</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7411.6189999999997</v>
      </c>
      <c r="D10" s="676">
        <f ca="1">tertiair!C16</f>
        <v>0</v>
      </c>
      <c r="E10" s="676">
        <f ca="1">tertiair!D16</f>
        <v>3139.1025160000004</v>
      </c>
      <c r="F10" s="676">
        <f>tertiair!E16</f>
        <v>109.47828582809306</v>
      </c>
      <c r="G10" s="676">
        <f ca="1">tertiair!F16</f>
        <v>1345.0715609178808</v>
      </c>
      <c r="H10" s="676">
        <f>tertiair!G16</f>
        <v>0</v>
      </c>
      <c r="I10" s="676">
        <f>tertiair!H16</f>
        <v>0</v>
      </c>
      <c r="J10" s="676">
        <f>tertiair!I16</f>
        <v>0</v>
      </c>
      <c r="K10" s="676">
        <f>tertiair!J16</f>
        <v>0</v>
      </c>
      <c r="L10" s="676">
        <f>tertiair!K16</f>
        <v>0</v>
      </c>
      <c r="M10" s="676">
        <f ca="1">tertiair!L16</f>
        <v>0</v>
      </c>
      <c r="N10" s="676">
        <f>tertiair!M16</f>
        <v>0</v>
      </c>
      <c r="O10" s="676">
        <f ca="1">tertiair!N16</f>
        <v>474.7286086235539</v>
      </c>
      <c r="P10" s="676">
        <f>tertiair!O16</f>
        <v>0</v>
      </c>
      <c r="Q10" s="677">
        <f>tertiair!P16</f>
        <v>0</v>
      </c>
      <c r="R10" s="679">
        <f ca="1">SUM(C10:Q10)</f>
        <v>12479.999971369527</v>
      </c>
      <c r="S10" s="67"/>
    </row>
    <row r="11" spans="1:19" s="444" customFormat="1">
      <c r="A11" s="791" t="s">
        <v>214</v>
      </c>
      <c r="B11" s="796"/>
      <c r="C11" s="676">
        <f>huishoudens!B8</f>
        <v>18612.628181369171</v>
      </c>
      <c r="D11" s="676">
        <f>huishoudens!C8</f>
        <v>0</v>
      </c>
      <c r="E11" s="676">
        <f>huishoudens!D8</f>
        <v>17226.892100000001</v>
      </c>
      <c r="F11" s="676">
        <f>huishoudens!E8</f>
        <v>1685.639536428823</v>
      </c>
      <c r="G11" s="676">
        <f>huishoudens!F8</f>
        <v>51657.220491064632</v>
      </c>
      <c r="H11" s="676">
        <f>huishoudens!G8</f>
        <v>0</v>
      </c>
      <c r="I11" s="676">
        <f>huishoudens!H8</f>
        <v>0</v>
      </c>
      <c r="J11" s="676">
        <f>huishoudens!I8</f>
        <v>0</v>
      </c>
      <c r="K11" s="676">
        <f>huishoudens!J8</f>
        <v>978.28489756641397</v>
      </c>
      <c r="L11" s="676">
        <f>huishoudens!K8</f>
        <v>0</v>
      </c>
      <c r="M11" s="676">
        <f>huishoudens!L8</f>
        <v>0</v>
      </c>
      <c r="N11" s="676">
        <f>huishoudens!M8</f>
        <v>0</v>
      </c>
      <c r="O11" s="676">
        <f>huishoudens!N8</f>
        <v>6919.9391673027303</v>
      </c>
      <c r="P11" s="676">
        <f>huishoudens!O8</f>
        <v>112.56000000000002</v>
      </c>
      <c r="Q11" s="677">
        <f>huishoudens!P8</f>
        <v>610.13333333333333</v>
      </c>
      <c r="R11" s="679">
        <f>SUM(C11:Q11)</f>
        <v>97803.297707065096</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949.101</v>
      </c>
      <c r="D13" s="676">
        <f>industrie!C18</f>
        <v>0</v>
      </c>
      <c r="E13" s="676">
        <f>industrie!D18</f>
        <v>446.98609999999996</v>
      </c>
      <c r="F13" s="676">
        <f>industrie!E18</f>
        <v>134.43099887807281</v>
      </c>
      <c r="G13" s="676">
        <f>industrie!F18</f>
        <v>625.65554577216267</v>
      </c>
      <c r="H13" s="676">
        <f>industrie!G18</f>
        <v>0</v>
      </c>
      <c r="I13" s="676">
        <f>industrie!H18</f>
        <v>0</v>
      </c>
      <c r="J13" s="676">
        <f>industrie!I18</f>
        <v>0</v>
      </c>
      <c r="K13" s="676">
        <f>industrie!J18</f>
        <v>0.27786262888246199</v>
      </c>
      <c r="L13" s="676">
        <f>industrie!K18</f>
        <v>0</v>
      </c>
      <c r="M13" s="676">
        <f>industrie!L18</f>
        <v>0</v>
      </c>
      <c r="N13" s="676">
        <f>industrie!M18</f>
        <v>0</v>
      </c>
      <c r="O13" s="676">
        <f>industrie!N18</f>
        <v>94.022337972464555</v>
      </c>
      <c r="P13" s="676">
        <f>industrie!O18</f>
        <v>0</v>
      </c>
      <c r="Q13" s="677">
        <f>industrie!P18</f>
        <v>0</v>
      </c>
      <c r="R13" s="679">
        <f>SUM(C13:Q13)</f>
        <v>2250.4738452515821</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26973.348181369169</v>
      </c>
      <c r="D16" s="711">
        <f t="shared" ref="D16:R16" ca="1" si="0">SUM(D9:D15)</f>
        <v>0</v>
      </c>
      <c r="E16" s="711">
        <f t="shared" ca="1" si="0"/>
        <v>20812.980715999998</v>
      </c>
      <c r="F16" s="711">
        <f t="shared" si="0"/>
        <v>1929.5488211349889</v>
      </c>
      <c r="G16" s="711">
        <f t="shared" ca="1" si="0"/>
        <v>53627.947597754675</v>
      </c>
      <c r="H16" s="711">
        <f t="shared" si="0"/>
        <v>0</v>
      </c>
      <c r="I16" s="711">
        <f t="shared" si="0"/>
        <v>0</v>
      </c>
      <c r="J16" s="711">
        <f t="shared" si="0"/>
        <v>0</v>
      </c>
      <c r="K16" s="711">
        <f t="shared" si="0"/>
        <v>978.56276019529639</v>
      </c>
      <c r="L16" s="711">
        <f t="shared" si="0"/>
        <v>0</v>
      </c>
      <c r="M16" s="711">
        <f t="shared" ca="1" si="0"/>
        <v>0</v>
      </c>
      <c r="N16" s="711">
        <f t="shared" si="0"/>
        <v>0</v>
      </c>
      <c r="O16" s="711">
        <f t="shared" ca="1" si="0"/>
        <v>7488.6901138987487</v>
      </c>
      <c r="P16" s="711">
        <f t="shared" si="0"/>
        <v>112.56000000000002</v>
      </c>
      <c r="Q16" s="711">
        <f t="shared" si="0"/>
        <v>610.13333333333333</v>
      </c>
      <c r="R16" s="711">
        <f t="shared" ca="1" si="0"/>
        <v>112533.77152368621</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1.4794648294098669</v>
      </c>
      <c r="D19" s="676">
        <f>transport!C54</f>
        <v>0</v>
      </c>
      <c r="E19" s="676">
        <f>transport!D54</f>
        <v>0</v>
      </c>
      <c r="F19" s="676">
        <f>transport!E54</f>
        <v>0</v>
      </c>
      <c r="G19" s="676">
        <f>transport!F54</f>
        <v>0</v>
      </c>
      <c r="H19" s="676">
        <f>transport!G54</f>
        <v>287.96945067878477</v>
      </c>
      <c r="I19" s="676">
        <f>transport!H54</f>
        <v>0</v>
      </c>
      <c r="J19" s="676">
        <f>transport!I54</f>
        <v>0</v>
      </c>
      <c r="K19" s="676">
        <f>transport!J54</f>
        <v>0</v>
      </c>
      <c r="L19" s="676">
        <f>transport!K54</f>
        <v>0</v>
      </c>
      <c r="M19" s="676">
        <f>transport!L54</f>
        <v>0</v>
      </c>
      <c r="N19" s="676">
        <f>transport!M54</f>
        <v>12.912792134763034</v>
      </c>
      <c r="O19" s="676">
        <f>transport!N54</f>
        <v>0</v>
      </c>
      <c r="P19" s="676">
        <f>transport!O54</f>
        <v>0</v>
      </c>
      <c r="Q19" s="677">
        <f>transport!P54</f>
        <v>0</v>
      </c>
      <c r="R19" s="679">
        <f>SUM(C19:Q19)</f>
        <v>302.3617076429577</v>
      </c>
      <c r="S19" s="67"/>
    </row>
    <row r="20" spans="1:19" s="444" customFormat="1">
      <c r="A20" s="791" t="s">
        <v>296</v>
      </c>
      <c r="B20" s="796"/>
      <c r="C20" s="676">
        <f>transport!B14</f>
        <v>5.0018660483768791</v>
      </c>
      <c r="D20" s="676">
        <f>transport!C14</f>
        <v>0</v>
      </c>
      <c r="E20" s="676">
        <f>transport!D14</f>
        <v>5.3551982082712675</v>
      </c>
      <c r="F20" s="676">
        <f>transport!E14</f>
        <v>188.16128787891785</v>
      </c>
      <c r="G20" s="676">
        <f>transport!F14</f>
        <v>0</v>
      </c>
      <c r="H20" s="676">
        <f>transport!G14</f>
        <v>47630.504522953721</v>
      </c>
      <c r="I20" s="676">
        <f>transport!H14</f>
        <v>9079.5025204243248</v>
      </c>
      <c r="J20" s="676">
        <f>transport!I14</f>
        <v>0</v>
      </c>
      <c r="K20" s="676">
        <f>transport!J14</f>
        <v>0</v>
      </c>
      <c r="L20" s="676">
        <f>transport!K14</f>
        <v>0</v>
      </c>
      <c r="M20" s="676">
        <f>transport!L14</f>
        <v>0</v>
      </c>
      <c r="N20" s="676">
        <f>transport!M14</f>
        <v>2564.4540870059136</v>
      </c>
      <c r="O20" s="676">
        <f>transport!N14</f>
        <v>0</v>
      </c>
      <c r="P20" s="676">
        <f>transport!O14</f>
        <v>0</v>
      </c>
      <c r="Q20" s="677">
        <f>transport!P14</f>
        <v>0</v>
      </c>
      <c r="R20" s="679">
        <f>SUM(C20:Q20)</f>
        <v>59472.979482519528</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6.4813308777867462</v>
      </c>
      <c r="D22" s="794">
        <f t="shared" ref="D22:R22" si="1">SUM(D18:D21)</f>
        <v>0</v>
      </c>
      <c r="E22" s="794">
        <f t="shared" si="1"/>
        <v>5.3551982082712675</v>
      </c>
      <c r="F22" s="794">
        <f t="shared" si="1"/>
        <v>188.16128787891785</v>
      </c>
      <c r="G22" s="794">
        <f t="shared" si="1"/>
        <v>0</v>
      </c>
      <c r="H22" s="794">
        <f t="shared" si="1"/>
        <v>47918.473973632506</v>
      </c>
      <c r="I22" s="794">
        <f t="shared" si="1"/>
        <v>9079.5025204243248</v>
      </c>
      <c r="J22" s="794">
        <f t="shared" si="1"/>
        <v>0</v>
      </c>
      <c r="K22" s="794">
        <f t="shared" si="1"/>
        <v>0</v>
      </c>
      <c r="L22" s="794">
        <f t="shared" si="1"/>
        <v>0</v>
      </c>
      <c r="M22" s="794">
        <f t="shared" si="1"/>
        <v>0</v>
      </c>
      <c r="N22" s="794">
        <f t="shared" si="1"/>
        <v>2577.3668791406767</v>
      </c>
      <c r="O22" s="794">
        <f t="shared" si="1"/>
        <v>0</v>
      </c>
      <c r="P22" s="794">
        <f t="shared" si="1"/>
        <v>0</v>
      </c>
      <c r="Q22" s="794">
        <f t="shared" si="1"/>
        <v>0</v>
      </c>
      <c r="R22" s="794">
        <f t="shared" si="1"/>
        <v>59775.341190162486</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146.227</v>
      </c>
      <c r="D24" s="676">
        <f>+landbouw!C8</f>
        <v>0</v>
      </c>
      <c r="E24" s="676">
        <f>+landbouw!D8</f>
        <v>19.757408000000002</v>
      </c>
      <c r="F24" s="676">
        <f>+landbouw!E8</f>
        <v>1.8426485786772617</v>
      </c>
      <c r="G24" s="676">
        <f>+landbouw!F8</f>
        <v>504.51978205235508</v>
      </c>
      <c r="H24" s="676">
        <f>+landbouw!G8</f>
        <v>0</v>
      </c>
      <c r="I24" s="676">
        <f>+landbouw!H8</f>
        <v>0</v>
      </c>
      <c r="J24" s="676">
        <f>+landbouw!I8</f>
        <v>0</v>
      </c>
      <c r="K24" s="676">
        <f>+landbouw!J8</f>
        <v>21.990878550130265</v>
      </c>
      <c r="L24" s="676">
        <f>+landbouw!K8</f>
        <v>0</v>
      </c>
      <c r="M24" s="676">
        <f>+landbouw!L8</f>
        <v>0</v>
      </c>
      <c r="N24" s="676">
        <f>+landbouw!M8</f>
        <v>0</v>
      </c>
      <c r="O24" s="676">
        <f>+landbouw!N8</f>
        <v>0</v>
      </c>
      <c r="P24" s="676">
        <f>+landbouw!O8</f>
        <v>0</v>
      </c>
      <c r="Q24" s="677">
        <f>+landbouw!P8</f>
        <v>0</v>
      </c>
      <c r="R24" s="679">
        <f>SUM(C24:Q24)</f>
        <v>694.33771718116259</v>
      </c>
      <c r="S24" s="67"/>
    </row>
    <row r="25" spans="1:19" s="444" customFormat="1" ht="15" thickBot="1">
      <c r="A25" s="813" t="s">
        <v>833</v>
      </c>
      <c r="B25" s="977"/>
      <c r="C25" s="978">
        <f>IF(Onbekend_ele_kWh="---",0,Onbekend_ele_kWh)/1000+IF(REST_rest_ele_kWh="---",0,REST_rest_ele_kWh)/1000</f>
        <v>471.93200000000002</v>
      </c>
      <c r="D25" s="978"/>
      <c r="E25" s="978">
        <f>IF(onbekend_gas_kWh="---",0,onbekend_gas_kWh)/1000+IF(REST_rest_gas_kWh="---",0,REST_rest_gas_kWh)/1000</f>
        <v>836.25099999999998</v>
      </c>
      <c r="F25" s="978"/>
      <c r="G25" s="978"/>
      <c r="H25" s="978"/>
      <c r="I25" s="978"/>
      <c r="J25" s="978"/>
      <c r="K25" s="978"/>
      <c r="L25" s="978"/>
      <c r="M25" s="978"/>
      <c r="N25" s="978"/>
      <c r="O25" s="978"/>
      <c r="P25" s="978"/>
      <c r="Q25" s="979"/>
      <c r="R25" s="679">
        <f>SUM(C25:Q25)</f>
        <v>1308.183</v>
      </c>
      <c r="S25" s="67"/>
    </row>
    <row r="26" spans="1:19" s="444" customFormat="1" ht="15.75" thickBot="1">
      <c r="A26" s="684" t="s">
        <v>834</v>
      </c>
      <c r="B26" s="799"/>
      <c r="C26" s="794">
        <f>SUM(C24:C25)</f>
        <v>618.15899999999999</v>
      </c>
      <c r="D26" s="794">
        <f t="shared" ref="D26:R26" si="2">SUM(D24:D25)</f>
        <v>0</v>
      </c>
      <c r="E26" s="794">
        <f t="shared" si="2"/>
        <v>856.00840800000003</v>
      </c>
      <c r="F26" s="794">
        <f t="shared" si="2"/>
        <v>1.8426485786772617</v>
      </c>
      <c r="G26" s="794">
        <f t="shared" si="2"/>
        <v>504.51978205235508</v>
      </c>
      <c r="H26" s="794">
        <f t="shared" si="2"/>
        <v>0</v>
      </c>
      <c r="I26" s="794">
        <f t="shared" si="2"/>
        <v>0</v>
      </c>
      <c r="J26" s="794">
        <f t="shared" si="2"/>
        <v>0</v>
      </c>
      <c r="K26" s="794">
        <f t="shared" si="2"/>
        <v>21.990878550130265</v>
      </c>
      <c r="L26" s="794">
        <f t="shared" si="2"/>
        <v>0</v>
      </c>
      <c r="M26" s="794">
        <f t="shared" si="2"/>
        <v>0</v>
      </c>
      <c r="N26" s="794">
        <f t="shared" si="2"/>
        <v>0</v>
      </c>
      <c r="O26" s="794">
        <f t="shared" si="2"/>
        <v>0</v>
      </c>
      <c r="P26" s="794">
        <f t="shared" si="2"/>
        <v>0</v>
      </c>
      <c r="Q26" s="794">
        <f t="shared" si="2"/>
        <v>0</v>
      </c>
      <c r="R26" s="794">
        <f t="shared" si="2"/>
        <v>2002.5207171811626</v>
      </c>
      <c r="S26" s="67"/>
    </row>
    <row r="27" spans="1:19" s="444" customFormat="1" ht="17.25" thickTop="1" thickBot="1">
      <c r="A27" s="685" t="s">
        <v>109</v>
      </c>
      <c r="B27" s="786"/>
      <c r="C27" s="686">
        <f ca="1">C22+C16+C26</f>
        <v>27597.988512246957</v>
      </c>
      <c r="D27" s="686">
        <f t="shared" ref="D27:R27" ca="1" si="3">D22+D16+D26</f>
        <v>0</v>
      </c>
      <c r="E27" s="686">
        <f t="shared" ca="1" si="3"/>
        <v>21674.344322208271</v>
      </c>
      <c r="F27" s="686">
        <f t="shared" si="3"/>
        <v>2119.5527575925839</v>
      </c>
      <c r="G27" s="686">
        <f t="shared" ca="1" si="3"/>
        <v>54132.467379807029</v>
      </c>
      <c r="H27" s="686">
        <f t="shared" si="3"/>
        <v>47918.473973632506</v>
      </c>
      <c r="I27" s="686">
        <f t="shared" si="3"/>
        <v>9079.5025204243248</v>
      </c>
      <c r="J27" s="686">
        <f t="shared" si="3"/>
        <v>0</v>
      </c>
      <c r="K27" s="686">
        <f t="shared" si="3"/>
        <v>1000.5536387454266</v>
      </c>
      <c r="L27" s="686">
        <f t="shared" si="3"/>
        <v>0</v>
      </c>
      <c r="M27" s="686">
        <f t="shared" ca="1" si="3"/>
        <v>0</v>
      </c>
      <c r="N27" s="686">
        <f t="shared" si="3"/>
        <v>2577.3668791406767</v>
      </c>
      <c r="O27" s="686">
        <f t="shared" ca="1" si="3"/>
        <v>7488.6901138987487</v>
      </c>
      <c r="P27" s="686">
        <f t="shared" si="3"/>
        <v>112.56000000000002</v>
      </c>
      <c r="Q27" s="686">
        <f t="shared" si="3"/>
        <v>610.13333333333333</v>
      </c>
      <c r="R27" s="686">
        <f t="shared" ca="1" si="3"/>
        <v>174311.63343102986</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1457.5027315427653</v>
      </c>
      <c r="D40" s="676">
        <f ca="1">tertiair!C20</f>
        <v>0</v>
      </c>
      <c r="E40" s="676">
        <f ca="1">tertiair!D20</f>
        <v>634.09870823200015</v>
      </c>
      <c r="F40" s="676">
        <f>tertiair!E20</f>
        <v>24.851570882977125</v>
      </c>
      <c r="G40" s="676">
        <f ca="1">tertiair!F20</f>
        <v>359.13410676507419</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2475.5871174228168</v>
      </c>
    </row>
    <row r="41" spans="1:18">
      <c r="A41" s="804" t="s">
        <v>214</v>
      </c>
      <c r="B41" s="811"/>
      <c r="C41" s="676">
        <f ca="1">huishoudens!B12</f>
        <v>3660.1930584310148</v>
      </c>
      <c r="D41" s="676">
        <f ca="1">huishoudens!C12</f>
        <v>0</v>
      </c>
      <c r="E41" s="676">
        <f>huishoudens!D12</f>
        <v>3479.8322042000004</v>
      </c>
      <c r="F41" s="676">
        <f>huishoudens!E12</f>
        <v>382.64017476934282</v>
      </c>
      <c r="G41" s="676">
        <f>huishoudens!F12</f>
        <v>13792.477871114257</v>
      </c>
      <c r="H41" s="676">
        <f>huishoudens!G12</f>
        <v>0</v>
      </c>
      <c r="I41" s="676">
        <f>huishoudens!H12</f>
        <v>0</v>
      </c>
      <c r="J41" s="676">
        <f>huishoudens!I12</f>
        <v>0</v>
      </c>
      <c r="K41" s="676">
        <f>huishoudens!J12</f>
        <v>346.31285373851051</v>
      </c>
      <c r="L41" s="676">
        <f>huishoudens!K12</f>
        <v>0</v>
      </c>
      <c r="M41" s="676">
        <f>huishoudens!L12</f>
        <v>0</v>
      </c>
      <c r="N41" s="676">
        <f>huishoudens!M12</f>
        <v>0</v>
      </c>
      <c r="O41" s="676">
        <f>huishoudens!N12</f>
        <v>0</v>
      </c>
      <c r="P41" s="676">
        <f>huishoudens!O12</f>
        <v>0</v>
      </c>
      <c r="Q41" s="753">
        <f>huishoudens!P12</f>
        <v>0</v>
      </c>
      <c r="R41" s="832">
        <f t="shared" ca="1" si="4"/>
        <v>21661.456162253126</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186.64171755320532</v>
      </c>
      <c r="D43" s="676">
        <f ca="1">industrie!C22</f>
        <v>0</v>
      </c>
      <c r="E43" s="676">
        <f>industrie!D22</f>
        <v>90.291192199999998</v>
      </c>
      <c r="F43" s="676">
        <f>industrie!E22</f>
        <v>30.515836745322531</v>
      </c>
      <c r="G43" s="676">
        <f>industrie!F22</f>
        <v>167.05003072116745</v>
      </c>
      <c r="H43" s="676">
        <f>industrie!G22</f>
        <v>0</v>
      </c>
      <c r="I43" s="676">
        <f>industrie!H22</f>
        <v>0</v>
      </c>
      <c r="J43" s="676">
        <f>industrie!I22</f>
        <v>0</v>
      </c>
      <c r="K43" s="676">
        <f>industrie!J22</f>
        <v>9.8363370624391544E-2</v>
      </c>
      <c r="L43" s="676">
        <f>industrie!K22</f>
        <v>0</v>
      </c>
      <c r="M43" s="676">
        <f>industrie!L22</f>
        <v>0</v>
      </c>
      <c r="N43" s="676">
        <f>industrie!M22</f>
        <v>0</v>
      </c>
      <c r="O43" s="676">
        <f>industrie!N22</f>
        <v>0</v>
      </c>
      <c r="P43" s="676">
        <f>industrie!O22</f>
        <v>0</v>
      </c>
      <c r="Q43" s="753">
        <f>industrie!P22</f>
        <v>0</v>
      </c>
      <c r="R43" s="831">
        <f t="shared" ca="1" si="4"/>
        <v>474.59714059031967</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5304.3375075269851</v>
      </c>
      <c r="D46" s="711">
        <f t="shared" ref="D46:Q46" ca="1" si="5">SUM(D39:D45)</f>
        <v>0</v>
      </c>
      <c r="E46" s="711">
        <f t="shared" ca="1" si="5"/>
        <v>4204.222104632001</v>
      </c>
      <c r="F46" s="711">
        <f t="shared" si="5"/>
        <v>438.00758239764247</v>
      </c>
      <c r="G46" s="711">
        <f t="shared" ca="1" si="5"/>
        <v>14318.662008600499</v>
      </c>
      <c r="H46" s="711">
        <f t="shared" si="5"/>
        <v>0</v>
      </c>
      <c r="I46" s="711">
        <f t="shared" si="5"/>
        <v>0</v>
      </c>
      <c r="J46" s="711">
        <f t="shared" si="5"/>
        <v>0</v>
      </c>
      <c r="K46" s="711">
        <f t="shared" si="5"/>
        <v>346.4112171091349</v>
      </c>
      <c r="L46" s="711">
        <f t="shared" si="5"/>
        <v>0</v>
      </c>
      <c r="M46" s="711">
        <f t="shared" ca="1" si="5"/>
        <v>0</v>
      </c>
      <c r="N46" s="711">
        <f t="shared" si="5"/>
        <v>0</v>
      </c>
      <c r="O46" s="711">
        <f t="shared" ca="1" si="5"/>
        <v>0</v>
      </c>
      <c r="P46" s="711">
        <f t="shared" si="5"/>
        <v>0</v>
      </c>
      <c r="Q46" s="711">
        <f t="shared" si="5"/>
        <v>0</v>
      </c>
      <c r="R46" s="711">
        <f ca="1">SUM(R39:R45)</f>
        <v>24611.64042026626</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0.29093832671192787</v>
      </c>
      <c r="D49" s="676">
        <f ca="1">transport!C58</f>
        <v>0</v>
      </c>
      <c r="E49" s="676">
        <f>transport!D58</f>
        <v>0</v>
      </c>
      <c r="F49" s="676">
        <f>transport!E58</f>
        <v>0</v>
      </c>
      <c r="G49" s="676">
        <f>transport!F58</f>
        <v>0</v>
      </c>
      <c r="H49" s="676">
        <f>transport!G58</f>
        <v>76.887843331235544</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77.178781657947468</v>
      </c>
    </row>
    <row r="50" spans="1:18">
      <c r="A50" s="807" t="s">
        <v>296</v>
      </c>
      <c r="B50" s="817"/>
      <c r="C50" s="682">
        <f ca="1">transport!B18</f>
        <v>0.98362225963319472</v>
      </c>
      <c r="D50" s="682">
        <f>transport!C18</f>
        <v>0</v>
      </c>
      <c r="E50" s="682">
        <f>transport!D18</f>
        <v>1.0817500380707961</v>
      </c>
      <c r="F50" s="682">
        <f>transport!E18</f>
        <v>42.712612348514355</v>
      </c>
      <c r="G50" s="682">
        <f>transport!F18</f>
        <v>0</v>
      </c>
      <c r="H50" s="682">
        <f>transport!G18</f>
        <v>12717.344707628645</v>
      </c>
      <c r="I50" s="682">
        <f>transport!H18</f>
        <v>2260.7961275856569</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15022.918819860519</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1.2745605863451226</v>
      </c>
      <c r="D52" s="711">
        <f t="shared" ref="D52:Q52" ca="1" si="6">SUM(D48:D51)</f>
        <v>0</v>
      </c>
      <c r="E52" s="711">
        <f t="shared" si="6"/>
        <v>1.0817500380707961</v>
      </c>
      <c r="F52" s="711">
        <f t="shared" si="6"/>
        <v>42.712612348514355</v>
      </c>
      <c r="G52" s="711">
        <f t="shared" si="6"/>
        <v>0</v>
      </c>
      <c r="H52" s="711">
        <f t="shared" si="6"/>
        <v>12794.23255095988</v>
      </c>
      <c r="I52" s="711">
        <f t="shared" si="6"/>
        <v>2260.7961275856569</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15100.097601518466</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28.755694528456463</v>
      </c>
      <c r="D54" s="682">
        <f ca="1">+landbouw!C12</f>
        <v>0</v>
      </c>
      <c r="E54" s="682">
        <f>+landbouw!D12</f>
        <v>3.9909964160000007</v>
      </c>
      <c r="F54" s="682">
        <f>+landbouw!E12</f>
        <v>0.41828122735973844</v>
      </c>
      <c r="G54" s="682">
        <f>+landbouw!F12</f>
        <v>134.70678180797881</v>
      </c>
      <c r="H54" s="682">
        <f>+landbouw!G12</f>
        <v>0</v>
      </c>
      <c r="I54" s="682">
        <f>+landbouw!H12</f>
        <v>0</v>
      </c>
      <c r="J54" s="682">
        <f>+landbouw!I12</f>
        <v>0</v>
      </c>
      <c r="K54" s="682">
        <f>+landbouw!J12</f>
        <v>7.7847710067461131</v>
      </c>
      <c r="L54" s="682">
        <f>+landbouw!K12</f>
        <v>0</v>
      </c>
      <c r="M54" s="682">
        <f>+landbouw!L12</f>
        <v>0</v>
      </c>
      <c r="N54" s="682">
        <f>+landbouw!M12</f>
        <v>0</v>
      </c>
      <c r="O54" s="682">
        <f>+landbouw!N12</f>
        <v>0</v>
      </c>
      <c r="P54" s="682">
        <f>+landbouw!O12</f>
        <v>0</v>
      </c>
      <c r="Q54" s="683">
        <f>+landbouw!P12</f>
        <v>0</v>
      </c>
      <c r="R54" s="710">
        <f ca="1">SUM(C54:Q54)</f>
        <v>175.65652498654114</v>
      </c>
    </row>
    <row r="55" spans="1:18" ht="15" thickBot="1">
      <c r="A55" s="807" t="s">
        <v>833</v>
      </c>
      <c r="B55" s="817"/>
      <c r="C55" s="682">
        <f ca="1">C25*'EF ele_warmte'!B12</f>
        <v>92.805927976389555</v>
      </c>
      <c r="D55" s="682"/>
      <c r="E55" s="682">
        <f>E25*EF_CO2_aardgas</f>
        <v>168.92270200000002</v>
      </c>
      <c r="F55" s="682"/>
      <c r="G55" s="682"/>
      <c r="H55" s="682"/>
      <c r="I55" s="682"/>
      <c r="J55" s="682"/>
      <c r="K55" s="682"/>
      <c r="L55" s="682"/>
      <c r="M55" s="682"/>
      <c r="N55" s="682"/>
      <c r="O55" s="682"/>
      <c r="P55" s="682"/>
      <c r="Q55" s="683"/>
      <c r="R55" s="710">
        <f ca="1">SUM(C55:Q55)</f>
        <v>261.72862997638958</v>
      </c>
    </row>
    <row r="56" spans="1:18" ht="15.75" thickBot="1">
      <c r="A56" s="805" t="s">
        <v>834</v>
      </c>
      <c r="B56" s="818"/>
      <c r="C56" s="711">
        <f ca="1">SUM(C54:C55)</f>
        <v>121.56162250484601</v>
      </c>
      <c r="D56" s="711">
        <f t="shared" ref="D56:Q56" ca="1" si="7">SUM(D54:D55)</f>
        <v>0</v>
      </c>
      <c r="E56" s="711">
        <f t="shared" si="7"/>
        <v>172.91369841600002</v>
      </c>
      <c r="F56" s="711">
        <f t="shared" si="7"/>
        <v>0.41828122735973844</v>
      </c>
      <c r="G56" s="711">
        <f t="shared" si="7"/>
        <v>134.70678180797881</v>
      </c>
      <c r="H56" s="711">
        <f t="shared" si="7"/>
        <v>0</v>
      </c>
      <c r="I56" s="711">
        <f t="shared" si="7"/>
        <v>0</v>
      </c>
      <c r="J56" s="711">
        <f t="shared" si="7"/>
        <v>0</v>
      </c>
      <c r="K56" s="711">
        <f t="shared" si="7"/>
        <v>7.7847710067461131</v>
      </c>
      <c r="L56" s="711">
        <f t="shared" si="7"/>
        <v>0</v>
      </c>
      <c r="M56" s="711">
        <f t="shared" si="7"/>
        <v>0</v>
      </c>
      <c r="N56" s="711">
        <f t="shared" si="7"/>
        <v>0</v>
      </c>
      <c r="O56" s="711">
        <f t="shared" si="7"/>
        <v>0</v>
      </c>
      <c r="P56" s="711">
        <f t="shared" si="7"/>
        <v>0</v>
      </c>
      <c r="Q56" s="712">
        <f t="shared" si="7"/>
        <v>0</v>
      </c>
      <c r="R56" s="713">
        <f ca="1">SUM(R54:R55)</f>
        <v>437.38515496293076</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5427.1736906181759</v>
      </c>
      <c r="D61" s="719">
        <f t="shared" ref="D61:Q61" ca="1" si="8">D46+D52+D56</f>
        <v>0</v>
      </c>
      <c r="E61" s="719">
        <f t="shared" ca="1" si="8"/>
        <v>4378.2175530860723</v>
      </c>
      <c r="F61" s="719">
        <f t="shared" si="8"/>
        <v>481.13847597351656</v>
      </c>
      <c r="G61" s="719">
        <f t="shared" ca="1" si="8"/>
        <v>14453.368790408478</v>
      </c>
      <c r="H61" s="719">
        <f t="shared" si="8"/>
        <v>12794.23255095988</v>
      </c>
      <c r="I61" s="719">
        <f t="shared" si="8"/>
        <v>2260.7961275856569</v>
      </c>
      <c r="J61" s="719">
        <f t="shared" si="8"/>
        <v>0</v>
      </c>
      <c r="K61" s="719">
        <f t="shared" si="8"/>
        <v>354.19598811588099</v>
      </c>
      <c r="L61" s="719">
        <f t="shared" si="8"/>
        <v>0</v>
      </c>
      <c r="M61" s="719">
        <f t="shared" ca="1" si="8"/>
        <v>0</v>
      </c>
      <c r="N61" s="719">
        <f t="shared" si="8"/>
        <v>0</v>
      </c>
      <c r="O61" s="719">
        <f t="shared" ca="1" si="8"/>
        <v>0</v>
      </c>
      <c r="P61" s="719">
        <f t="shared" si="8"/>
        <v>0</v>
      </c>
      <c r="Q61" s="719">
        <f t="shared" si="8"/>
        <v>0</v>
      </c>
      <c r="R61" s="719">
        <f ca="1">R46+R52+R56</f>
        <v>40149.123176747657</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0.19665105984843059</v>
      </c>
      <c r="D63" s="762">
        <f t="shared" ca="1" si="9"/>
        <v>0</v>
      </c>
      <c r="E63" s="984">
        <f t="shared" ca="1" si="9"/>
        <v>0.20200000000000007</v>
      </c>
      <c r="F63" s="762">
        <f t="shared" si="9"/>
        <v>0.22700000000000001</v>
      </c>
      <c r="G63" s="762">
        <f t="shared" ca="1" si="9"/>
        <v>0.26700000000000002</v>
      </c>
      <c r="H63" s="762">
        <f t="shared" si="9"/>
        <v>0.26700000000000002</v>
      </c>
      <c r="I63" s="762">
        <f t="shared" si="9"/>
        <v>0.249</v>
      </c>
      <c r="J63" s="762">
        <f t="shared" si="9"/>
        <v>0</v>
      </c>
      <c r="K63" s="762">
        <f t="shared" si="9"/>
        <v>0.35399999999999998</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0</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0</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3040.6414958751202</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0</v>
      </c>
      <c r="C76" s="729">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2" t="s">
        <v>340</v>
      </c>
      <c r="B77" s="729">
        <f>'lokale energieproductie'!B9*IFERROR(SUM(I77:O77)/SUM(D77:O77),0)</f>
        <v>0</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3040.6414958751202</v>
      </c>
      <c r="C78" s="734">
        <f>SUM(C72:C77)</f>
        <v>0</v>
      </c>
      <c r="D78" s="735">
        <f t="shared" ref="D78:H78" si="10">SUM(D76:D77)</f>
        <v>0</v>
      </c>
      <c r="E78" s="735">
        <f t="shared" si="10"/>
        <v>0</v>
      </c>
      <c r="F78" s="735">
        <f t="shared" si="10"/>
        <v>0</v>
      </c>
      <c r="G78" s="735">
        <f t="shared" si="10"/>
        <v>0</v>
      </c>
      <c r="H78" s="735">
        <f t="shared" si="10"/>
        <v>0</v>
      </c>
      <c r="I78" s="735">
        <f>SUM(I76:I77)</f>
        <v>0</v>
      </c>
      <c r="J78" s="735">
        <f>SUM(J76:J77)</f>
        <v>0</v>
      </c>
      <c r="K78" s="735">
        <f t="shared" ref="K78:L78" si="11">SUM(K76:K77)</f>
        <v>0</v>
      </c>
      <c r="L78" s="735">
        <f t="shared" si="11"/>
        <v>0</v>
      </c>
      <c r="M78" s="735">
        <f>SUM(M76:M77)</f>
        <v>0</v>
      </c>
      <c r="N78" s="735">
        <f>SUM(N76:N77)</f>
        <v>0</v>
      </c>
      <c r="O78" s="842">
        <f>SUM(O76:O77)</f>
        <v>0</v>
      </c>
      <c r="P78" s="736">
        <v>0</v>
      </c>
      <c r="Q78" s="736">
        <f>SUM(Q76:Q77)</f>
        <v>0</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0</v>
      </c>
      <c r="C87" s="745">
        <f>'lokale energieproductie'!B17*IFERROR(SUM(D87:H87)/SUM(D87:O87),0)</f>
        <v>0</v>
      </c>
      <c r="D87" s="756">
        <f>'lokale energieproductie'!C17</f>
        <v>0</v>
      </c>
      <c r="E87" s="756">
        <f>'lokale energieproductie'!D17</f>
        <v>0</v>
      </c>
      <c r="F87" s="756">
        <f>'lokale energieproductie'!E17</f>
        <v>0</v>
      </c>
      <c r="G87" s="756">
        <f>'lokale energieproductie'!F17</f>
        <v>0</v>
      </c>
      <c r="H87" s="756">
        <f>'lokale energieproductie'!G17</f>
        <v>0</v>
      </c>
      <c r="I87" s="756">
        <f>'lokale energieproductie'!I17</f>
        <v>0</v>
      </c>
      <c r="J87" s="756">
        <f>'lokale energieproductie'!J17</f>
        <v>0</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0</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0</v>
      </c>
      <c r="C90" s="734">
        <f>SUM(C87:C89)</f>
        <v>0</v>
      </c>
      <c r="D90" s="734">
        <f t="shared" ref="D90:H90" si="12">SUM(D87:D89)</f>
        <v>0</v>
      </c>
      <c r="E90" s="734">
        <f t="shared" si="12"/>
        <v>0</v>
      </c>
      <c r="F90" s="734">
        <f t="shared" si="12"/>
        <v>0</v>
      </c>
      <c r="G90" s="734">
        <f t="shared" si="12"/>
        <v>0</v>
      </c>
      <c r="H90" s="734">
        <f t="shared" si="12"/>
        <v>0</v>
      </c>
      <c r="I90" s="734">
        <f>SUM(I87:I89)</f>
        <v>0</v>
      </c>
      <c r="J90" s="734">
        <f>SUM(J87:J89)</f>
        <v>0</v>
      </c>
      <c r="K90" s="734">
        <f t="shared" ref="K90:L90" si="13">SUM(K87:K89)</f>
        <v>0</v>
      </c>
      <c r="L90" s="734">
        <f t="shared" si="13"/>
        <v>0</v>
      </c>
      <c r="M90" s="734">
        <f>SUM(M87:M89)</f>
        <v>0</v>
      </c>
      <c r="N90" s="734">
        <f>SUM(N87:N89)</f>
        <v>0</v>
      </c>
      <c r="O90" s="734">
        <f>SUM(O87:O89)</f>
        <v>0</v>
      </c>
      <c r="P90" s="734">
        <v>0</v>
      </c>
      <c r="Q90" s="734">
        <f>SUM(Q87:Q89)</f>
        <v>0</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18612.628181369171</v>
      </c>
      <c r="C4" s="448">
        <f>huishoudens!C8</f>
        <v>0</v>
      </c>
      <c r="D4" s="448">
        <f>huishoudens!D8</f>
        <v>17226.892100000001</v>
      </c>
      <c r="E4" s="448">
        <f>huishoudens!E8</f>
        <v>1685.639536428823</v>
      </c>
      <c r="F4" s="448">
        <f>huishoudens!F8</f>
        <v>51657.220491064632</v>
      </c>
      <c r="G4" s="448">
        <f>huishoudens!G8</f>
        <v>0</v>
      </c>
      <c r="H4" s="448">
        <f>huishoudens!H8</f>
        <v>0</v>
      </c>
      <c r="I4" s="448">
        <f>huishoudens!I8</f>
        <v>0</v>
      </c>
      <c r="J4" s="448">
        <f>huishoudens!J8</f>
        <v>978.28489756641397</v>
      </c>
      <c r="K4" s="448">
        <f>huishoudens!K8</f>
        <v>0</v>
      </c>
      <c r="L4" s="448">
        <f>huishoudens!L8</f>
        <v>0</v>
      </c>
      <c r="M4" s="448">
        <f>huishoudens!M8</f>
        <v>0</v>
      </c>
      <c r="N4" s="448">
        <f>huishoudens!N8</f>
        <v>6919.9391673027303</v>
      </c>
      <c r="O4" s="448">
        <f>huishoudens!O8</f>
        <v>112.56000000000002</v>
      </c>
      <c r="P4" s="449">
        <f>huishoudens!P8</f>
        <v>610.13333333333333</v>
      </c>
      <c r="Q4" s="450">
        <f>SUM(B4:P4)</f>
        <v>97803.297707065096</v>
      </c>
    </row>
    <row r="5" spans="1:17">
      <c r="A5" s="447" t="s">
        <v>149</v>
      </c>
      <c r="B5" s="448">
        <f ca="1">tertiair!B16</f>
        <v>6867.165</v>
      </c>
      <c r="C5" s="448">
        <f ca="1">tertiair!C16</f>
        <v>0</v>
      </c>
      <c r="D5" s="448">
        <f ca="1">tertiair!D16</f>
        <v>3139.1025160000004</v>
      </c>
      <c r="E5" s="448">
        <f>tertiair!E16</f>
        <v>109.47828582809306</v>
      </c>
      <c r="F5" s="448">
        <f ca="1">tertiair!F16</f>
        <v>1345.0715609178808</v>
      </c>
      <c r="G5" s="448">
        <f>tertiair!G16</f>
        <v>0</v>
      </c>
      <c r="H5" s="448">
        <f>tertiair!H16</f>
        <v>0</v>
      </c>
      <c r="I5" s="448">
        <f>tertiair!I16</f>
        <v>0</v>
      </c>
      <c r="J5" s="448">
        <f>tertiair!J16</f>
        <v>0</v>
      </c>
      <c r="K5" s="448">
        <f>tertiair!K16</f>
        <v>0</v>
      </c>
      <c r="L5" s="448">
        <f ca="1">tertiair!L16</f>
        <v>0</v>
      </c>
      <c r="M5" s="448">
        <f>tertiair!M16</f>
        <v>0</v>
      </c>
      <c r="N5" s="448">
        <f ca="1">tertiair!N16</f>
        <v>474.7286086235539</v>
      </c>
      <c r="O5" s="448">
        <f>tertiair!O16</f>
        <v>0</v>
      </c>
      <c r="P5" s="449">
        <f>tertiair!P16</f>
        <v>0</v>
      </c>
      <c r="Q5" s="447">
        <f t="shared" ref="Q5:Q14" ca="1" si="0">SUM(B5:P5)</f>
        <v>11935.545971369527</v>
      </c>
    </row>
    <row r="6" spans="1:17">
      <c r="A6" s="447" t="s">
        <v>187</v>
      </c>
      <c r="B6" s="448">
        <f>'openbare verlichting'!B8</f>
        <v>544.45399999999995</v>
      </c>
      <c r="C6" s="448"/>
      <c r="D6" s="448"/>
      <c r="E6" s="448"/>
      <c r="F6" s="448"/>
      <c r="G6" s="448"/>
      <c r="H6" s="448"/>
      <c r="I6" s="448"/>
      <c r="J6" s="448"/>
      <c r="K6" s="448"/>
      <c r="L6" s="448"/>
      <c r="M6" s="448"/>
      <c r="N6" s="448"/>
      <c r="O6" s="448"/>
      <c r="P6" s="449"/>
      <c r="Q6" s="447">
        <f t="shared" si="0"/>
        <v>544.45399999999995</v>
      </c>
    </row>
    <row r="7" spans="1:17">
      <c r="A7" s="447" t="s">
        <v>105</v>
      </c>
      <c r="B7" s="448">
        <f>landbouw!B8</f>
        <v>146.227</v>
      </c>
      <c r="C7" s="448">
        <f>landbouw!C8</f>
        <v>0</v>
      </c>
      <c r="D7" s="448">
        <f>landbouw!D8</f>
        <v>19.757408000000002</v>
      </c>
      <c r="E7" s="448">
        <f>landbouw!E8</f>
        <v>1.8426485786772617</v>
      </c>
      <c r="F7" s="448">
        <f>landbouw!F8</f>
        <v>504.51978205235508</v>
      </c>
      <c r="G7" s="448">
        <f>landbouw!G8</f>
        <v>0</v>
      </c>
      <c r="H7" s="448">
        <f>landbouw!H8</f>
        <v>0</v>
      </c>
      <c r="I7" s="448">
        <f>landbouw!I8</f>
        <v>0</v>
      </c>
      <c r="J7" s="448">
        <f>landbouw!J8</f>
        <v>21.990878550130265</v>
      </c>
      <c r="K7" s="448">
        <f>landbouw!K8</f>
        <v>0</v>
      </c>
      <c r="L7" s="448">
        <f>landbouw!L8</f>
        <v>0</v>
      </c>
      <c r="M7" s="448">
        <f>landbouw!M8</f>
        <v>0</v>
      </c>
      <c r="N7" s="448">
        <f>landbouw!N8</f>
        <v>0</v>
      </c>
      <c r="O7" s="448">
        <f>landbouw!O8</f>
        <v>0</v>
      </c>
      <c r="P7" s="449">
        <f>landbouw!P8</f>
        <v>0</v>
      </c>
      <c r="Q7" s="447">
        <f t="shared" si="0"/>
        <v>694.33771718116259</v>
      </c>
    </row>
    <row r="8" spans="1:17">
      <c r="A8" s="447" t="s">
        <v>639</v>
      </c>
      <c r="B8" s="448">
        <f>industrie!B18</f>
        <v>949.101</v>
      </c>
      <c r="C8" s="448">
        <f>industrie!C18</f>
        <v>0</v>
      </c>
      <c r="D8" s="448">
        <f>industrie!D18</f>
        <v>446.98609999999996</v>
      </c>
      <c r="E8" s="448">
        <f>industrie!E18</f>
        <v>134.43099887807281</v>
      </c>
      <c r="F8" s="448">
        <f>industrie!F18</f>
        <v>625.65554577216267</v>
      </c>
      <c r="G8" s="448">
        <f>industrie!G18</f>
        <v>0</v>
      </c>
      <c r="H8" s="448">
        <f>industrie!H18</f>
        <v>0</v>
      </c>
      <c r="I8" s="448">
        <f>industrie!I18</f>
        <v>0</v>
      </c>
      <c r="J8" s="448">
        <f>industrie!J18</f>
        <v>0.27786262888246199</v>
      </c>
      <c r="K8" s="448">
        <f>industrie!K18</f>
        <v>0</v>
      </c>
      <c r="L8" s="448">
        <f>industrie!L18</f>
        <v>0</v>
      </c>
      <c r="M8" s="448">
        <f>industrie!M18</f>
        <v>0</v>
      </c>
      <c r="N8" s="448">
        <f>industrie!N18</f>
        <v>94.022337972464555</v>
      </c>
      <c r="O8" s="448">
        <f>industrie!O18</f>
        <v>0</v>
      </c>
      <c r="P8" s="449">
        <f>industrie!P18</f>
        <v>0</v>
      </c>
      <c r="Q8" s="447">
        <f t="shared" si="0"/>
        <v>2250.4738452515821</v>
      </c>
    </row>
    <row r="9" spans="1:17" s="453" customFormat="1">
      <c r="A9" s="451" t="s">
        <v>557</v>
      </c>
      <c r="B9" s="452">
        <f>transport!B14</f>
        <v>5.0018660483768791</v>
      </c>
      <c r="C9" s="452">
        <f>transport!C14</f>
        <v>0</v>
      </c>
      <c r="D9" s="452">
        <f>transport!D14</f>
        <v>5.3551982082712675</v>
      </c>
      <c r="E9" s="452">
        <f>transport!E14</f>
        <v>188.16128787891785</v>
      </c>
      <c r="F9" s="452">
        <f>transport!F14</f>
        <v>0</v>
      </c>
      <c r="G9" s="452">
        <f>transport!G14</f>
        <v>47630.504522953721</v>
      </c>
      <c r="H9" s="452">
        <f>transport!H14</f>
        <v>9079.5025204243248</v>
      </c>
      <c r="I9" s="452">
        <f>transport!I14</f>
        <v>0</v>
      </c>
      <c r="J9" s="452">
        <f>transport!J14</f>
        <v>0</v>
      </c>
      <c r="K9" s="452">
        <f>transport!K14</f>
        <v>0</v>
      </c>
      <c r="L9" s="452">
        <f>transport!L14</f>
        <v>0</v>
      </c>
      <c r="M9" s="452">
        <f>transport!M14</f>
        <v>2564.4540870059136</v>
      </c>
      <c r="N9" s="452">
        <f>transport!N14</f>
        <v>0</v>
      </c>
      <c r="O9" s="452">
        <f>transport!O14</f>
        <v>0</v>
      </c>
      <c r="P9" s="452">
        <f>transport!P14</f>
        <v>0</v>
      </c>
      <c r="Q9" s="451">
        <f>SUM(B9:P9)</f>
        <v>59472.979482519528</v>
      </c>
    </row>
    <row r="10" spans="1:17">
      <c r="A10" s="447" t="s">
        <v>547</v>
      </c>
      <c r="B10" s="448">
        <f>transport!B54</f>
        <v>1.4794648294098669</v>
      </c>
      <c r="C10" s="448">
        <f>transport!C54</f>
        <v>0</v>
      </c>
      <c r="D10" s="448">
        <f>transport!D54</f>
        <v>0</v>
      </c>
      <c r="E10" s="448">
        <f>transport!E54</f>
        <v>0</v>
      </c>
      <c r="F10" s="448">
        <f>transport!F54</f>
        <v>0</v>
      </c>
      <c r="G10" s="448">
        <f>transport!G54</f>
        <v>287.96945067878477</v>
      </c>
      <c r="H10" s="448">
        <f>transport!H54</f>
        <v>0</v>
      </c>
      <c r="I10" s="448">
        <f>transport!I54</f>
        <v>0</v>
      </c>
      <c r="J10" s="448">
        <f>transport!J54</f>
        <v>0</v>
      </c>
      <c r="K10" s="448">
        <f>transport!K54</f>
        <v>0</v>
      </c>
      <c r="L10" s="448">
        <f>transport!L54</f>
        <v>0</v>
      </c>
      <c r="M10" s="448">
        <f>transport!M54</f>
        <v>12.912792134763034</v>
      </c>
      <c r="N10" s="448">
        <f>transport!N54</f>
        <v>0</v>
      </c>
      <c r="O10" s="448">
        <f>transport!O54</f>
        <v>0</v>
      </c>
      <c r="P10" s="449">
        <f>transport!P54</f>
        <v>0</v>
      </c>
      <c r="Q10" s="447">
        <f t="shared" si="0"/>
        <v>302.3617076429577</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471.93200000000002</v>
      </c>
      <c r="C14" s="455"/>
      <c r="D14" s="455">
        <f>'SEAP template'!E25</f>
        <v>836.25099999999998</v>
      </c>
      <c r="E14" s="455"/>
      <c r="F14" s="455"/>
      <c r="G14" s="455"/>
      <c r="H14" s="455"/>
      <c r="I14" s="455"/>
      <c r="J14" s="455"/>
      <c r="K14" s="455"/>
      <c r="L14" s="455"/>
      <c r="M14" s="455"/>
      <c r="N14" s="455"/>
      <c r="O14" s="455"/>
      <c r="P14" s="456"/>
      <c r="Q14" s="447">
        <f t="shared" si="0"/>
        <v>1308.183</v>
      </c>
    </row>
    <row r="15" spans="1:17" s="460" customFormat="1">
      <c r="A15" s="457" t="s">
        <v>551</v>
      </c>
      <c r="B15" s="458">
        <f ca="1">SUM(B4:B14)</f>
        <v>27597.988512246957</v>
      </c>
      <c r="C15" s="458">
        <f t="shared" ref="C15:Q15" ca="1" si="1">SUM(C4:C14)</f>
        <v>0</v>
      </c>
      <c r="D15" s="458">
        <f t="shared" ca="1" si="1"/>
        <v>21674.344322208271</v>
      </c>
      <c r="E15" s="458">
        <f t="shared" si="1"/>
        <v>2119.5527575925839</v>
      </c>
      <c r="F15" s="458">
        <f t="shared" ca="1" si="1"/>
        <v>54132.467379807029</v>
      </c>
      <c r="G15" s="458">
        <f t="shared" si="1"/>
        <v>47918.473973632506</v>
      </c>
      <c r="H15" s="458">
        <f t="shared" si="1"/>
        <v>9079.5025204243248</v>
      </c>
      <c r="I15" s="458">
        <f t="shared" si="1"/>
        <v>0</v>
      </c>
      <c r="J15" s="458">
        <f t="shared" si="1"/>
        <v>1000.5536387454266</v>
      </c>
      <c r="K15" s="458">
        <f t="shared" si="1"/>
        <v>0</v>
      </c>
      <c r="L15" s="458">
        <f t="shared" ca="1" si="1"/>
        <v>0</v>
      </c>
      <c r="M15" s="458">
        <f t="shared" si="1"/>
        <v>2577.3668791406767</v>
      </c>
      <c r="N15" s="458">
        <f t="shared" ca="1" si="1"/>
        <v>7488.6901138987487</v>
      </c>
      <c r="O15" s="458">
        <f t="shared" si="1"/>
        <v>112.56000000000002</v>
      </c>
      <c r="P15" s="458">
        <f t="shared" si="1"/>
        <v>610.13333333333333</v>
      </c>
      <c r="Q15" s="458">
        <f t="shared" ca="1" si="1"/>
        <v>174311.63343102986</v>
      </c>
    </row>
    <row r="17" spans="1:17">
      <c r="A17" s="461" t="s">
        <v>552</v>
      </c>
      <c r="B17" s="767">
        <f ca="1">huishoudens!B10</f>
        <v>0.19665105984843059</v>
      </c>
      <c r="C17" s="767">
        <f ca="1">huishoudens!C10</f>
        <v>0</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3660.1930584310148</v>
      </c>
      <c r="C22" s="448">
        <f t="shared" ref="C22:C32" ca="1" si="3">C4*$C$17</f>
        <v>0</v>
      </c>
      <c r="D22" s="448">
        <f t="shared" ref="D22:D32" si="4">D4*$D$17</f>
        <v>3479.8322042000004</v>
      </c>
      <c r="E22" s="448">
        <f t="shared" ref="E22:E32" si="5">E4*$E$17</f>
        <v>382.64017476934282</v>
      </c>
      <c r="F22" s="448">
        <f t="shared" ref="F22:F32" si="6">F4*$F$17</f>
        <v>13792.477871114257</v>
      </c>
      <c r="G22" s="448">
        <f t="shared" ref="G22:G32" si="7">G4*$G$17</f>
        <v>0</v>
      </c>
      <c r="H22" s="448">
        <f t="shared" ref="H22:H32" si="8">H4*$H$17</f>
        <v>0</v>
      </c>
      <c r="I22" s="448">
        <f t="shared" ref="I22:I32" si="9">I4*$I$17</f>
        <v>0</v>
      </c>
      <c r="J22" s="448">
        <f t="shared" ref="J22:J32" si="10">J4*$J$17</f>
        <v>346.31285373851051</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21661.456162253126</v>
      </c>
    </row>
    <row r="23" spans="1:17">
      <c r="A23" s="447" t="s">
        <v>149</v>
      </c>
      <c r="B23" s="448">
        <f t="shared" ca="1" si="2"/>
        <v>1350.4352754040478</v>
      </c>
      <c r="C23" s="448">
        <f t="shared" ca="1" si="3"/>
        <v>0</v>
      </c>
      <c r="D23" s="448">
        <f t="shared" ca="1" si="4"/>
        <v>634.09870823200015</v>
      </c>
      <c r="E23" s="448">
        <f t="shared" si="5"/>
        <v>24.851570882977125</v>
      </c>
      <c r="F23" s="448">
        <f t="shared" ca="1" si="6"/>
        <v>359.13410676507419</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2368.5196612840991</v>
      </c>
    </row>
    <row r="24" spans="1:17">
      <c r="A24" s="447" t="s">
        <v>187</v>
      </c>
      <c r="B24" s="448">
        <f t="shared" ca="1" si="2"/>
        <v>107.06745613871742</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107.06745613871742</v>
      </c>
    </row>
    <row r="25" spans="1:17">
      <c r="A25" s="447" t="s">
        <v>105</v>
      </c>
      <c r="B25" s="448">
        <f t="shared" ca="1" si="2"/>
        <v>28.755694528456463</v>
      </c>
      <c r="C25" s="448">
        <f t="shared" ca="1" si="3"/>
        <v>0</v>
      </c>
      <c r="D25" s="448">
        <f t="shared" si="4"/>
        <v>3.9909964160000007</v>
      </c>
      <c r="E25" s="448">
        <f t="shared" si="5"/>
        <v>0.41828122735973844</v>
      </c>
      <c r="F25" s="448">
        <f t="shared" si="6"/>
        <v>134.70678180797881</v>
      </c>
      <c r="G25" s="448">
        <f t="shared" si="7"/>
        <v>0</v>
      </c>
      <c r="H25" s="448">
        <f t="shared" si="8"/>
        <v>0</v>
      </c>
      <c r="I25" s="448">
        <f t="shared" si="9"/>
        <v>0</v>
      </c>
      <c r="J25" s="448">
        <f t="shared" si="10"/>
        <v>7.7847710067461131</v>
      </c>
      <c r="K25" s="448">
        <f t="shared" si="11"/>
        <v>0</v>
      </c>
      <c r="L25" s="448">
        <f t="shared" si="12"/>
        <v>0</v>
      </c>
      <c r="M25" s="448">
        <f t="shared" si="13"/>
        <v>0</v>
      </c>
      <c r="N25" s="448">
        <f t="shared" si="14"/>
        <v>0</v>
      </c>
      <c r="O25" s="448">
        <f t="shared" si="15"/>
        <v>0</v>
      </c>
      <c r="P25" s="449">
        <f t="shared" si="16"/>
        <v>0</v>
      </c>
      <c r="Q25" s="447">
        <f t="shared" ca="1" si="17"/>
        <v>175.65652498654114</v>
      </c>
    </row>
    <row r="26" spans="1:17">
      <c r="A26" s="447" t="s">
        <v>639</v>
      </c>
      <c r="B26" s="448">
        <f t="shared" ca="1" si="2"/>
        <v>186.64171755320532</v>
      </c>
      <c r="C26" s="448">
        <f t="shared" ca="1" si="3"/>
        <v>0</v>
      </c>
      <c r="D26" s="448">
        <f t="shared" si="4"/>
        <v>90.291192199999998</v>
      </c>
      <c r="E26" s="448">
        <f t="shared" si="5"/>
        <v>30.515836745322531</v>
      </c>
      <c r="F26" s="448">
        <f t="shared" si="6"/>
        <v>167.05003072116745</v>
      </c>
      <c r="G26" s="448">
        <f t="shared" si="7"/>
        <v>0</v>
      </c>
      <c r="H26" s="448">
        <f t="shared" si="8"/>
        <v>0</v>
      </c>
      <c r="I26" s="448">
        <f t="shared" si="9"/>
        <v>0</v>
      </c>
      <c r="J26" s="448">
        <f t="shared" si="10"/>
        <v>9.8363370624391544E-2</v>
      </c>
      <c r="K26" s="448">
        <f t="shared" si="11"/>
        <v>0</v>
      </c>
      <c r="L26" s="448">
        <f t="shared" si="12"/>
        <v>0</v>
      </c>
      <c r="M26" s="448">
        <f t="shared" si="13"/>
        <v>0</v>
      </c>
      <c r="N26" s="448">
        <f t="shared" si="14"/>
        <v>0</v>
      </c>
      <c r="O26" s="448">
        <f t="shared" si="15"/>
        <v>0</v>
      </c>
      <c r="P26" s="449">
        <f t="shared" si="16"/>
        <v>0</v>
      </c>
      <c r="Q26" s="447">
        <f t="shared" ca="1" si="17"/>
        <v>474.59714059031967</v>
      </c>
    </row>
    <row r="27" spans="1:17" s="453" customFormat="1">
      <c r="A27" s="451" t="s">
        <v>557</v>
      </c>
      <c r="B27" s="761">
        <f t="shared" ca="1" si="2"/>
        <v>0.98362225963319472</v>
      </c>
      <c r="C27" s="452">
        <f t="shared" ca="1" si="3"/>
        <v>0</v>
      </c>
      <c r="D27" s="452">
        <f t="shared" si="4"/>
        <v>1.0817500380707961</v>
      </c>
      <c r="E27" s="452">
        <f t="shared" si="5"/>
        <v>42.712612348514355</v>
      </c>
      <c r="F27" s="452">
        <f t="shared" si="6"/>
        <v>0</v>
      </c>
      <c r="G27" s="452">
        <f t="shared" si="7"/>
        <v>12717.344707628645</v>
      </c>
      <c r="H27" s="452">
        <f t="shared" si="8"/>
        <v>2260.7961275856569</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15022.918819860519</v>
      </c>
    </row>
    <row r="28" spans="1:17">
      <c r="A28" s="447" t="s">
        <v>547</v>
      </c>
      <c r="B28" s="448">
        <f t="shared" ca="1" si="2"/>
        <v>0.29093832671192787</v>
      </c>
      <c r="C28" s="448">
        <f t="shared" ca="1" si="3"/>
        <v>0</v>
      </c>
      <c r="D28" s="448">
        <f t="shared" si="4"/>
        <v>0</v>
      </c>
      <c r="E28" s="448">
        <f t="shared" si="5"/>
        <v>0</v>
      </c>
      <c r="F28" s="448">
        <f t="shared" si="6"/>
        <v>0</v>
      </c>
      <c r="G28" s="448">
        <f t="shared" si="7"/>
        <v>76.887843331235544</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77.178781657947468</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92.805927976389555</v>
      </c>
      <c r="C32" s="448">
        <f t="shared" ca="1" si="3"/>
        <v>0</v>
      </c>
      <c r="D32" s="448">
        <f t="shared" si="4"/>
        <v>168.92270200000002</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261.72862997638958</v>
      </c>
    </row>
    <row r="33" spans="1:17" s="460" customFormat="1">
      <c r="A33" s="457" t="s">
        <v>551</v>
      </c>
      <c r="B33" s="458">
        <f ca="1">SUM(B22:B32)</f>
        <v>5427.1736906181759</v>
      </c>
      <c r="C33" s="458">
        <f t="shared" ref="C33:Q33" ca="1" si="18">SUM(C22:C32)</f>
        <v>0</v>
      </c>
      <c r="D33" s="458">
        <f t="shared" ca="1" si="18"/>
        <v>4378.2175530860713</v>
      </c>
      <c r="E33" s="458">
        <f t="shared" si="18"/>
        <v>481.13847597351656</v>
      </c>
      <c r="F33" s="458">
        <f t="shared" ca="1" si="18"/>
        <v>14453.368790408478</v>
      </c>
      <c r="G33" s="458">
        <f t="shared" si="18"/>
        <v>12794.23255095988</v>
      </c>
      <c r="H33" s="458">
        <f t="shared" si="18"/>
        <v>2260.7961275856569</v>
      </c>
      <c r="I33" s="458">
        <f t="shared" si="18"/>
        <v>0</v>
      </c>
      <c r="J33" s="458">
        <f t="shared" si="18"/>
        <v>354.19598811588099</v>
      </c>
      <c r="K33" s="458">
        <f t="shared" si="18"/>
        <v>0</v>
      </c>
      <c r="L33" s="458">
        <f t="shared" ca="1" si="18"/>
        <v>0</v>
      </c>
      <c r="M33" s="458">
        <f t="shared" si="18"/>
        <v>0</v>
      </c>
      <c r="N33" s="458">
        <f t="shared" ca="1" si="18"/>
        <v>0</v>
      </c>
      <c r="O33" s="458">
        <f t="shared" si="18"/>
        <v>0</v>
      </c>
      <c r="P33" s="458">
        <f t="shared" si="18"/>
        <v>0</v>
      </c>
      <c r="Q33" s="458">
        <f t="shared" ca="1" si="18"/>
        <v>40149.123176747649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0</v>
      </c>
      <c r="C4" s="1020"/>
      <c r="D4" s="1020"/>
      <c r="E4" s="1020"/>
      <c r="F4" s="1020"/>
      <c r="G4" s="1020"/>
      <c r="H4" s="1020"/>
      <c r="I4" s="1020"/>
      <c r="J4" s="1020"/>
      <c r="K4" s="1020"/>
      <c r="L4" s="1020"/>
      <c r="M4" s="1020"/>
      <c r="N4" s="1020"/>
      <c r="O4" s="1020"/>
      <c r="P4" s="1021">
        <f>'SEAP template'!Q72</f>
        <v>0</v>
      </c>
    </row>
    <row r="5" spans="1:16">
      <c r="A5" s="1022" t="s">
        <v>239</v>
      </c>
      <c r="B5" s="1020">
        <f>'SEAP template'!B73</f>
        <v>0</v>
      </c>
      <c r="C5" s="1020"/>
      <c r="D5" s="1020"/>
      <c r="E5" s="1020"/>
      <c r="F5" s="1020"/>
      <c r="G5" s="1020"/>
      <c r="H5" s="1020"/>
      <c r="I5" s="1020"/>
      <c r="J5" s="1020"/>
      <c r="K5" s="1020"/>
      <c r="L5" s="1020"/>
      <c r="M5" s="1020"/>
      <c r="N5" s="1020"/>
      <c r="O5" s="1020"/>
      <c r="P5" s="1021">
        <f>'SEAP template'!Q73</f>
        <v>0</v>
      </c>
    </row>
    <row r="6" spans="1:16">
      <c r="A6" s="1022" t="s">
        <v>240</v>
      </c>
      <c r="B6" s="1020">
        <f>'SEAP template'!B74</f>
        <v>3040.6414958751202</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0</v>
      </c>
      <c r="C8" s="1020">
        <f>'SEAP template'!C76</f>
        <v>0</v>
      </c>
      <c r="D8" s="1020">
        <f>'SEAP template'!D76</f>
        <v>0</v>
      </c>
      <c r="E8" s="1020">
        <f>'SEAP template'!E76</f>
        <v>0</v>
      </c>
      <c r="F8" s="1020">
        <f>'SEAP template'!F76</f>
        <v>0</v>
      </c>
      <c r="G8" s="1020">
        <f>'SEAP template'!G76</f>
        <v>0</v>
      </c>
      <c r="H8" s="1020">
        <f>'SEAP template'!H76</f>
        <v>0</v>
      </c>
      <c r="I8" s="1020">
        <f>'SEAP template'!I76</f>
        <v>0</v>
      </c>
      <c r="J8" s="1020">
        <f>'SEAP template'!J76</f>
        <v>0</v>
      </c>
      <c r="K8" s="1020">
        <f>'SEAP template'!K76</f>
        <v>0</v>
      </c>
      <c r="L8" s="1020">
        <f>'SEAP template'!L76</f>
        <v>0</v>
      </c>
      <c r="M8" s="1020">
        <f>'SEAP template'!M76</f>
        <v>0</v>
      </c>
      <c r="N8" s="1020">
        <f>'SEAP template'!N76</f>
        <v>0</v>
      </c>
      <c r="O8" s="1020">
        <f>'SEAP template'!O76</f>
        <v>0</v>
      </c>
      <c r="P8" s="1021">
        <f>'SEAP template'!Q76</f>
        <v>0</v>
      </c>
    </row>
    <row r="9" spans="1:16">
      <c r="A9" s="1023" t="s">
        <v>848</v>
      </c>
      <c r="B9" s="1020">
        <f>'SEAP template'!B77</f>
        <v>0</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0</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3040.6414958751202</v>
      </c>
      <c r="C10" s="1024">
        <f>SUM(C4:C9)</f>
        <v>0</v>
      </c>
      <c r="D10" s="1024">
        <f t="shared" ref="D10:H10" si="0">SUM(D8:D9)</f>
        <v>0</v>
      </c>
      <c r="E10" s="1024">
        <f t="shared" si="0"/>
        <v>0</v>
      </c>
      <c r="F10" s="1024">
        <f t="shared" si="0"/>
        <v>0</v>
      </c>
      <c r="G10" s="1024">
        <f t="shared" si="0"/>
        <v>0</v>
      </c>
      <c r="H10" s="1024">
        <f t="shared" si="0"/>
        <v>0</v>
      </c>
      <c r="I10" s="1024">
        <f>SUM(I8:I9)</f>
        <v>0</v>
      </c>
      <c r="J10" s="1024">
        <f>SUM(J8:J9)</f>
        <v>0</v>
      </c>
      <c r="K10" s="1024">
        <f t="shared" ref="K10:L10" si="1">SUM(K8:K9)</f>
        <v>0</v>
      </c>
      <c r="L10" s="1024">
        <f t="shared" si="1"/>
        <v>0</v>
      </c>
      <c r="M10" s="1024">
        <f>SUM(M8:M9)</f>
        <v>0</v>
      </c>
      <c r="N10" s="1024">
        <f>SUM(N8:N9)</f>
        <v>0</v>
      </c>
      <c r="O10" s="1024">
        <f>SUM(O8:O9)</f>
        <v>0</v>
      </c>
      <c r="P10" s="1024">
        <f>SUM(P8:P9)</f>
        <v>0</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0.19665105984843059</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0</v>
      </c>
      <c r="C17" s="1026">
        <f>'SEAP template'!C87</f>
        <v>0</v>
      </c>
      <c r="D17" s="1021">
        <f>'SEAP template'!D87</f>
        <v>0</v>
      </c>
      <c r="E17" s="1021">
        <f>'SEAP template'!E87</f>
        <v>0</v>
      </c>
      <c r="F17" s="1021">
        <f>'SEAP template'!F87</f>
        <v>0</v>
      </c>
      <c r="G17" s="1021">
        <f>'SEAP template'!G87</f>
        <v>0</v>
      </c>
      <c r="H17" s="1021">
        <f>'SEAP template'!H87</f>
        <v>0</v>
      </c>
      <c r="I17" s="1021">
        <f>'SEAP template'!I87</f>
        <v>0</v>
      </c>
      <c r="J17" s="1021">
        <f>'SEAP template'!J87</f>
        <v>0</v>
      </c>
      <c r="K17" s="1021">
        <f>'SEAP template'!K87</f>
        <v>0</v>
      </c>
      <c r="L17" s="1021">
        <f>'SEAP template'!L87</f>
        <v>0</v>
      </c>
      <c r="M17" s="1021">
        <f>'SEAP template'!M87</f>
        <v>0</v>
      </c>
      <c r="N17" s="1021">
        <f>'SEAP template'!N87</f>
        <v>0</v>
      </c>
      <c r="O17" s="1021">
        <f>'SEAP template'!O87</f>
        <v>0</v>
      </c>
      <c r="P17" s="1021">
        <f>'SEAP template'!Q87</f>
        <v>0</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0</v>
      </c>
      <c r="C20" s="1024">
        <f>SUM(C17:C19)</f>
        <v>0</v>
      </c>
      <c r="D20" s="1024">
        <f t="shared" ref="D20:H20" si="2">SUM(D17:D19)</f>
        <v>0</v>
      </c>
      <c r="E20" s="1024">
        <f t="shared" si="2"/>
        <v>0</v>
      </c>
      <c r="F20" s="1024">
        <f t="shared" si="2"/>
        <v>0</v>
      </c>
      <c r="G20" s="1024">
        <f t="shared" si="2"/>
        <v>0</v>
      </c>
      <c r="H20" s="1024">
        <f t="shared" si="2"/>
        <v>0</v>
      </c>
      <c r="I20" s="1024">
        <f>SUM(I17:I19)</f>
        <v>0</v>
      </c>
      <c r="J20" s="1024">
        <f>SUM(J17:J19)</f>
        <v>0</v>
      </c>
      <c r="K20" s="1024">
        <f t="shared" ref="K20:L20" si="3">SUM(K17:K19)</f>
        <v>0</v>
      </c>
      <c r="L20" s="1024">
        <f t="shared" si="3"/>
        <v>0</v>
      </c>
      <c r="M20" s="1024">
        <f>SUM(M17:M19)</f>
        <v>0</v>
      </c>
      <c r="N20" s="1024">
        <f>SUM(N17:N19)</f>
        <v>0</v>
      </c>
      <c r="O20" s="1024">
        <f>SUM(O17:O19)</f>
        <v>0</v>
      </c>
      <c r="P20" s="1024">
        <f>SUM(P17:P19)</f>
        <v>0</v>
      </c>
    </row>
    <row r="22" spans="1:16">
      <c r="A22" s="461" t="s">
        <v>856</v>
      </c>
      <c r="B22" s="767" t="s">
        <v>850</v>
      </c>
      <c r="C22" s="76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0.19665105984843059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0</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0</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0</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0</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0.19665105984843059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0.19665105984843059</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4002</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302</v>
      </c>
      <c r="C14" s="327"/>
      <c r="D14" s="327"/>
      <c r="E14" s="327"/>
      <c r="F14" s="327"/>
    </row>
    <row r="15" spans="1:6">
      <c r="A15" s="1296" t="s">
        <v>177</v>
      </c>
      <c r="B15" s="1297">
        <v>0</v>
      </c>
      <c r="C15" s="327"/>
      <c r="D15" s="327"/>
      <c r="E15" s="327"/>
      <c r="F15" s="327"/>
    </row>
    <row r="16" spans="1:6">
      <c r="A16" s="1296" t="s">
        <v>6</v>
      </c>
      <c r="B16" s="1297">
        <v>0</v>
      </c>
      <c r="C16" s="327"/>
      <c r="D16" s="327"/>
      <c r="E16" s="327"/>
      <c r="F16" s="327"/>
    </row>
    <row r="17" spans="1:6">
      <c r="A17" s="1296" t="s">
        <v>7</v>
      </c>
      <c r="B17" s="1297">
        <v>23</v>
      </c>
      <c r="C17" s="327"/>
      <c r="D17" s="327"/>
      <c r="E17" s="327"/>
      <c r="F17" s="327"/>
    </row>
    <row r="18" spans="1:6">
      <c r="A18" s="1296" t="s">
        <v>8</v>
      </c>
      <c r="B18" s="1297">
        <v>22</v>
      </c>
      <c r="C18" s="327"/>
      <c r="D18" s="327"/>
      <c r="E18" s="327"/>
      <c r="F18" s="327"/>
    </row>
    <row r="19" spans="1:6">
      <c r="A19" s="1296" t="s">
        <v>9</v>
      </c>
      <c r="B19" s="1297">
        <v>31</v>
      </c>
      <c r="C19" s="327"/>
      <c r="D19" s="327"/>
      <c r="E19" s="327"/>
      <c r="F19" s="327"/>
    </row>
    <row r="20" spans="1:6">
      <c r="A20" s="1296" t="s">
        <v>10</v>
      </c>
      <c r="B20" s="1297">
        <v>16</v>
      </c>
      <c r="C20" s="327"/>
      <c r="D20" s="327"/>
      <c r="E20" s="327"/>
      <c r="F20" s="327"/>
    </row>
    <row r="21" spans="1:6">
      <c r="A21" s="1296" t="s">
        <v>11</v>
      </c>
      <c r="B21" s="1297">
        <v>0</v>
      </c>
      <c r="C21" s="327"/>
      <c r="D21" s="327"/>
      <c r="E21" s="327"/>
      <c r="F21" s="327"/>
    </row>
    <row r="22" spans="1:6">
      <c r="A22" s="1296" t="s">
        <v>12</v>
      </c>
      <c r="B22" s="1297">
        <v>0</v>
      </c>
      <c r="C22" s="327"/>
      <c r="D22" s="327"/>
      <c r="E22" s="327"/>
      <c r="F22" s="327"/>
    </row>
    <row r="23" spans="1:6">
      <c r="A23" s="1296" t="s">
        <v>13</v>
      </c>
      <c r="B23" s="1297">
        <v>0</v>
      </c>
      <c r="C23" s="327"/>
      <c r="D23" s="327"/>
      <c r="E23" s="327"/>
      <c r="F23" s="327"/>
    </row>
    <row r="24" spans="1:6">
      <c r="A24" s="1296" t="s">
        <v>14</v>
      </c>
      <c r="B24" s="1297">
        <v>0</v>
      </c>
      <c r="C24" s="327"/>
      <c r="D24" s="327"/>
      <c r="E24" s="327"/>
      <c r="F24" s="327"/>
    </row>
    <row r="25" spans="1:6">
      <c r="A25" s="1296" t="s">
        <v>15</v>
      </c>
      <c r="B25" s="1297">
        <v>0</v>
      </c>
      <c r="C25" s="327"/>
      <c r="D25" s="327"/>
      <c r="E25" s="327"/>
      <c r="F25" s="327"/>
    </row>
    <row r="26" spans="1:6">
      <c r="A26" s="1296" t="s">
        <v>16</v>
      </c>
      <c r="B26" s="1297">
        <v>0</v>
      </c>
      <c r="C26" s="327"/>
      <c r="D26" s="327"/>
      <c r="E26" s="327"/>
      <c r="F26" s="327"/>
    </row>
    <row r="27" spans="1:6">
      <c r="A27" s="1296" t="s">
        <v>17</v>
      </c>
      <c r="B27" s="1297">
        <v>0</v>
      </c>
      <c r="C27" s="327"/>
      <c r="D27" s="327"/>
      <c r="E27" s="327"/>
      <c r="F27" s="327"/>
    </row>
    <row r="28" spans="1:6">
      <c r="A28" s="1296" t="s">
        <v>18</v>
      </c>
      <c r="B28" s="1298">
        <v>0</v>
      </c>
      <c r="C28" s="327"/>
      <c r="D28" s="327"/>
      <c r="E28" s="327"/>
      <c r="F28" s="327"/>
    </row>
    <row r="29" spans="1:6">
      <c r="A29" s="1296" t="s">
        <v>922</v>
      </c>
      <c r="B29" s="1298">
        <v>26</v>
      </c>
      <c r="C29" s="327"/>
      <c r="D29" s="327"/>
      <c r="E29" s="327"/>
      <c r="F29" s="327"/>
    </row>
    <row r="30" spans="1:6">
      <c r="A30" s="1291" t="s">
        <v>923</v>
      </c>
      <c r="B30" s="1299">
        <v>2</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5</v>
      </c>
      <c r="F36" s="1297">
        <v>5628</v>
      </c>
    </row>
    <row r="37" spans="1:6">
      <c r="A37" s="1296" t="s">
        <v>24</v>
      </c>
      <c r="B37" s="1296" t="s">
        <v>27</v>
      </c>
      <c r="C37" s="1297">
        <v>0</v>
      </c>
      <c r="D37" s="1297">
        <v>0</v>
      </c>
      <c r="E37" s="1297">
        <v>0</v>
      </c>
      <c r="F37" s="1297">
        <v>0</v>
      </c>
    </row>
    <row r="38" spans="1:6">
      <c r="A38" s="1296" t="s">
        <v>24</v>
      </c>
      <c r="B38" s="1296" t="s">
        <v>28</v>
      </c>
      <c r="C38" s="1297">
        <v>0</v>
      </c>
      <c r="D38" s="1297">
        <v>0</v>
      </c>
      <c r="E38" s="1297">
        <v>0</v>
      </c>
      <c r="F38" s="1297">
        <v>0</v>
      </c>
    </row>
    <row r="39" spans="1:6">
      <c r="A39" s="1296" t="s">
        <v>29</v>
      </c>
      <c r="B39" s="1296" t="s">
        <v>30</v>
      </c>
      <c r="C39" s="1297">
        <v>1089</v>
      </c>
      <c r="D39" s="1297">
        <v>19098550</v>
      </c>
      <c r="E39" s="1297">
        <v>4001</v>
      </c>
      <c r="F39" s="1297">
        <v>16206994</v>
      </c>
    </row>
    <row r="40" spans="1:6">
      <c r="A40" s="1296" t="s">
        <v>29</v>
      </c>
      <c r="B40" s="1296" t="s">
        <v>28</v>
      </c>
      <c r="C40" s="1297">
        <v>0</v>
      </c>
      <c r="D40" s="1297">
        <v>0</v>
      </c>
      <c r="E40" s="1297">
        <v>0</v>
      </c>
      <c r="F40" s="1297">
        <v>0</v>
      </c>
    </row>
    <row r="41" spans="1:6">
      <c r="A41" s="1296" t="s">
        <v>31</v>
      </c>
      <c r="B41" s="1296" t="s">
        <v>32</v>
      </c>
      <c r="C41" s="1297">
        <v>14</v>
      </c>
      <c r="D41" s="1297">
        <v>320632</v>
      </c>
      <c r="E41" s="1297">
        <v>64</v>
      </c>
      <c r="F41" s="1297">
        <v>406750</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0</v>
      </c>
      <c r="D44" s="1297">
        <v>0</v>
      </c>
      <c r="E44" s="1297">
        <v>4</v>
      </c>
      <c r="F44" s="1297">
        <v>310076</v>
      </c>
    </row>
    <row r="45" spans="1:6">
      <c r="A45" s="1296" t="s">
        <v>31</v>
      </c>
      <c r="B45" s="1296" t="s">
        <v>36</v>
      </c>
      <c r="C45" s="1297">
        <v>0</v>
      </c>
      <c r="D45" s="1297">
        <v>0</v>
      </c>
      <c r="E45" s="1297">
        <v>3</v>
      </c>
      <c r="F45" s="1297">
        <v>40412</v>
      </c>
    </row>
    <row r="46" spans="1:6">
      <c r="A46" s="1296" t="s">
        <v>31</v>
      </c>
      <c r="B46" s="1296" t="s">
        <v>37</v>
      </c>
      <c r="C46" s="1297">
        <v>0</v>
      </c>
      <c r="D46" s="1297">
        <v>0</v>
      </c>
      <c r="E46" s="1297">
        <v>0</v>
      </c>
      <c r="F46" s="1297">
        <v>0</v>
      </c>
    </row>
    <row r="47" spans="1:6">
      <c r="A47" s="1296" t="s">
        <v>31</v>
      </c>
      <c r="B47" s="1296" t="s">
        <v>38</v>
      </c>
      <c r="C47" s="1297">
        <v>0</v>
      </c>
      <c r="D47" s="1297">
        <v>0</v>
      </c>
      <c r="E47" s="1297">
        <v>0</v>
      </c>
      <c r="F47" s="1297">
        <v>0</v>
      </c>
    </row>
    <row r="48" spans="1:6">
      <c r="A48" s="1296" t="s">
        <v>31</v>
      </c>
      <c r="B48" s="1296" t="s">
        <v>28</v>
      </c>
      <c r="C48" s="1297">
        <v>3</v>
      </c>
      <c r="D48" s="1297">
        <v>112731</v>
      </c>
      <c r="E48" s="1297">
        <v>3</v>
      </c>
      <c r="F48" s="1297">
        <v>20810</v>
      </c>
    </row>
    <row r="49" spans="1:6">
      <c r="A49" s="1296" t="s">
        <v>31</v>
      </c>
      <c r="B49" s="1296" t="s">
        <v>39</v>
      </c>
      <c r="C49" s="1297">
        <v>0</v>
      </c>
      <c r="D49" s="1297">
        <v>0</v>
      </c>
      <c r="E49" s="1297">
        <v>0</v>
      </c>
      <c r="F49" s="1297">
        <v>0</v>
      </c>
    </row>
    <row r="50" spans="1:6">
      <c r="A50" s="1296" t="s">
        <v>31</v>
      </c>
      <c r="B50" s="1296" t="s">
        <v>40</v>
      </c>
      <c r="C50" s="1297">
        <v>3</v>
      </c>
      <c r="D50" s="1297">
        <v>62187</v>
      </c>
      <c r="E50" s="1297">
        <v>8</v>
      </c>
      <c r="F50" s="1297">
        <v>171053</v>
      </c>
    </row>
    <row r="51" spans="1:6">
      <c r="A51" s="1296" t="s">
        <v>41</v>
      </c>
      <c r="B51" s="1296" t="s">
        <v>42</v>
      </c>
      <c r="C51" s="1297">
        <v>0</v>
      </c>
      <c r="D51" s="1297">
        <v>0</v>
      </c>
      <c r="E51" s="1297">
        <v>19</v>
      </c>
      <c r="F51" s="1297">
        <v>146227</v>
      </c>
    </row>
    <row r="52" spans="1:6">
      <c r="A52" s="1296" t="s">
        <v>41</v>
      </c>
      <c r="B52" s="1296" t="s">
        <v>28</v>
      </c>
      <c r="C52" s="1297">
        <v>1</v>
      </c>
      <c r="D52" s="1297">
        <v>21904</v>
      </c>
      <c r="E52" s="1297">
        <v>0</v>
      </c>
      <c r="F52" s="1297">
        <v>0</v>
      </c>
    </row>
    <row r="53" spans="1:6">
      <c r="A53" s="1296" t="s">
        <v>43</v>
      </c>
      <c r="B53" s="1296" t="s">
        <v>44</v>
      </c>
      <c r="C53" s="1297">
        <v>0</v>
      </c>
      <c r="D53" s="1297">
        <v>0</v>
      </c>
      <c r="E53" s="1297">
        <v>0</v>
      </c>
      <c r="F53" s="1297">
        <v>0</v>
      </c>
    </row>
    <row r="54" spans="1:6">
      <c r="A54" s="1296" t="s">
        <v>45</v>
      </c>
      <c r="B54" s="1296" t="s">
        <v>46</v>
      </c>
      <c r="C54" s="1297">
        <v>0</v>
      </c>
      <c r="D54" s="1297">
        <v>0</v>
      </c>
      <c r="E54" s="1297">
        <v>0</v>
      </c>
      <c r="F54" s="1297">
        <v>0</v>
      </c>
    </row>
    <row r="55" spans="1:6">
      <c r="A55" s="1296" t="s">
        <v>45</v>
      </c>
      <c r="B55" s="1296" t="s">
        <v>28</v>
      </c>
      <c r="C55" s="1297">
        <v>0</v>
      </c>
      <c r="D55" s="1297">
        <v>0</v>
      </c>
      <c r="E55" s="1297">
        <v>1</v>
      </c>
      <c r="F55" s="1297">
        <v>544454</v>
      </c>
    </row>
    <row r="56" spans="1:6">
      <c r="A56" s="1296" t="s">
        <v>47</v>
      </c>
      <c r="B56" s="1296" t="s">
        <v>28</v>
      </c>
      <c r="C56" s="1297">
        <v>25</v>
      </c>
      <c r="D56" s="1297">
        <v>836251</v>
      </c>
      <c r="E56" s="1297">
        <v>73</v>
      </c>
      <c r="F56" s="1297">
        <v>471932</v>
      </c>
    </row>
    <row r="57" spans="1:6">
      <c r="A57" s="1296" t="s">
        <v>48</v>
      </c>
      <c r="B57" s="1296" t="s">
        <v>49</v>
      </c>
      <c r="C57" s="1297">
        <v>6</v>
      </c>
      <c r="D57" s="1297">
        <v>248066</v>
      </c>
      <c r="E57" s="1297">
        <v>35</v>
      </c>
      <c r="F57" s="1297">
        <v>640568</v>
      </c>
    </row>
    <row r="58" spans="1:6">
      <c r="A58" s="1296" t="s">
        <v>48</v>
      </c>
      <c r="B58" s="1296" t="s">
        <v>50</v>
      </c>
      <c r="C58" s="1297">
        <v>3</v>
      </c>
      <c r="D58" s="1297">
        <v>49616</v>
      </c>
      <c r="E58" s="1297">
        <v>20</v>
      </c>
      <c r="F58" s="1297">
        <v>479875</v>
      </c>
    </row>
    <row r="59" spans="1:6">
      <c r="A59" s="1296" t="s">
        <v>48</v>
      </c>
      <c r="B59" s="1296" t="s">
        <v>51</v>
      </c>
      <c r="C59" s="1297">
        <v>19</v>
      </c>
      <c r="D59" s="1297">
        <v>462972</v>
      </c>
      <c r="E59" s="1297">
        <v>96</v>
      </c>
      <c r="F59" s="1297">
        <v>3574855</v>
      </c>
    </row>
    <row r="60" spans="1:6">
      <c r="A60" s="1296" t="s">
        <v>48</v>
      </c>
      <c r="B60" s="1296" t="s">
        <v>52</v>
      </c>
      <c r="C60" s="1297">
        <v>8</v>
      </c>
      <c r="D60" s="1297">
        <v>330606</v>
      </c>
      <c r="E60" s="1297">
        <v>37</v>
      </c>
      <c r="F60" s="1297">
        <v>853768</v>
      </c>
    </row>
    <row r="61" spans="1:6">
      <c r="A61" s="1296" t="s">
        <v>48</v>
      </c>
      <c r="B61" s="1296" t="s">
        <v>53</v>
      </c>
      <c r="C61" s="1297">
        <v>28</v>
      </c>
      <c r="D61" s="1297">
        <v>1890913</v>
      </c>
      <c r="E61" s="1297">
        <v>132</v>
      </c>
      <c r="F61" s="1297">
        <v>1162850</v>
      </c>
    </row>
    <row r="62" spans="1:6">
      <c r="A62" s="1296" t="s">
        <v>48</v>
      </c>
      <c r="B62" s="1296" t="s">
        <v>54</v>
      </c>
      <c r="C62" s="1297">
        <v>0</v>
      </c>
      <c r="D62" s="1297">
        <v>0</v>
      </c>
      <c r="E62" s="1297">
        <v>0</v>
      </c>
      <c r="F62" s="1297">
        <v>0</v>
      </c>
    </row>
    <row r="63" spans="1:6">
      <c r="A63" s="1296" t="s">
        <v>48</v>
      </c>
      <c r="B63" s="1296" t="s">
        <v>28</v>
      </c>
      <c r="C63" s="1297">
        <v>1</v>
      </c>
      <c r="D63" s="1297">
        <v>497985</v>
      </c>
      <c r="E63" s="1297">
        <v>2</v>
      </c>
      <c r="F63" s="1297">
        <v>155249</v>
      </c>
    </row>
    <row r="64" spans="1:6">
      <c r="A64" s="1296" t="s">
        <v>55</v>
      </c>
      <c r="B64" s="1296" t="s">
        <v>56</v>
      </c>
      <c r="C64" s="1297">
        <v>0</v>
      </c>
      <c r="D64" s="1297">
        <v>0</v>
      </c>
      <c r="E64" s="1297">
        <v>0</v>
      </c>
      <c r="F64" s="1297">
        <v>0</v>
      </c>
    </row>
    <row r="65" spans="1:6">
      <c r="A65" s="1296" t="s">
        <v>55</v>
      </c>
      <c r="B65" s="1296" t="s">
        <v>28</v>
      </c>
      <c r="C65" s="1297">
        <v>0</v>
      </c>
      <c r="D65" s="1297">
        <v>0</v>
      </c>
      <c r="E65" s="1297">
        <v>0</v>
      </c>
      <c r="F65" s="1297">
        <v>0</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0</v>
      </c>
      <c r="D68" s="1299">
        <v>0</v>
      </c>
      <c r="E68" s="1299">
        <v>7</v>
      </c>
      <c r="F68" s="1299">
        <v>97416</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42118375</v>
      </c>
      <c r="E73" s="446"/>
      <c r="F73" s="327"/>
    </row>
    <row r="74" spans="1:6">
      <c r="A74" s="1296" t="s">
        <v>63</v>
      </c>
      <c r="B74" s="1296" t="s">
        <v>706</v>
      </c>
      <c r="C74" s="1309" t="s">
        <v>707</v>
      </c>
      <c r="D74" s="1297">
        <v>4008217.8998999787</v>
      </c>
      <c r="E74" s="446"/>
      <c r="F74" s="327"/>
    </row>
    <row r="75" spans="1:6">
      <c r="A75" s="1296" t="s">
        <v>64</v>
      </c>
      <c r="B75" s="1296" t="s">
        <v>704</v>
      </c>
      <c r="C75" s="1309" t="s">
        <v>708</v>
      </c>
      <c r="D75" s="1297">
        <v>23976388</v>
      </c>
      <c r="E75" s="446"/>
      <c r="F75" s="327"/>
    </row>
    <row r="76" spans="1:6">
      <c r="A76" s="1296" t="s">
        <v>64</v>
      </c>
      <c r="B76" s="1296" t="s">
        <v>706</v>
      </c>
      <c r="C76" s="1309" t="s">
        <v>709</v>
      </c>
      <c r="D76" s="1297">
        <v>380792.89989997883</v>
      </c>
      <c r="E76" s="446"/>
      <c r="F76" s="327"/>
    </row>
    <row r="77" spans="1:6">
      <c r="A77" s="1296" t="s">
        <v>65</v>
      </c>
      <c r="B77" s="1296" t="s">
        <v>704</v>
      </c>
      <c r="C77" s="1309" t="s">
        <v>710</v>
      </c>
      <c r="D77" s="1297">
        <v>0</v>
      </c>
      <c r="E77" s="446"/>
      <c r="F77" s="327"/>
    </row>
    <row r="78" spans="1:6">
      <c r="A78" s="1291" t="s">
        <v>65</v>
      </c>
      <c r="B78" s="1291" t="s">
        <v>706</v>
      </c>
      <c r="C78" s="1291" t="s">
        <v>711</v>
      </c>
      <c r="D78" s="1299">
        <v>0</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80026.200200042324</v>
      </c>
      <c r="C83" s="446"/>
      <c r="D83" s="327"/>
      <c r="E83" s="327"/>
      <c r="F83" s="327"/>
    </row>
    <row r="84" spans="1:6">
      <c r="A84" s="1291" t="s">
        <v>324</v>
      </c>
      <c r="B84" s="1299">
        <v>0</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0</v>
      </c>
      <c r="C89" s="327"/>
      <c r="D89" s="327"/>
      <c r="E89" s="327"/>
      <c r="F89" s="327"/>
    </row>
    <row r="90" spans="1:6">
      <c r="A90" s="1296" t="s">
        <v>545</v>
      </c>
      <c r="B90" s="1297">
        <v>0</v>
      </c>
      <c r="C90" s="327"/>
      <c r="D90" s="327"/>
      <c r="E90" s="327"/>
      <c r="F90" s="327"/>
    </row>
    <row r="91" spans="1:6">
      <c r="A91" s="1296" t="s">
        <v>67</v>
      </c>
      <c r="B91" s="1297">
        <v>2405.6341813691706</v>
      </c>
      <c r="C91" s="327"/>
      <c r="D91" s="327"/>
      <c r="E91" s="327"/>
      <c r="F91" s="327"/>
    </row>
    <row r="92" spans="1:6">
      <c r="A92" s="1291" t="s">
        <v>68</v>
      </c>
      <c r="B92" s="1292">
        <v>635.00731450594947</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158</v>
      </c>
      <c r="C97" s="327"/>
      <c r="D97" s="327"/>
      <c r="E97" s="327"/>
      <c r="F97" s="327"/>
    </row>
    <row r="98" spans="1:6">
      <c r="A98" s="1296" t="s">
        <v>71</v>
      </c>
      <c r="B98" s="1297">
        <v>0</v>
      </c>
      <c r="C98" s="327"/>
      <c r="D98" s="327"/>
      <c r="E98" s="327"/>
      <c r="F98" s="327"/>
    </row>
    <row r="99" spans="1:6">
      <c r="A99" s="1296" t="s">
        <v>72</v>
      </c>
      <c r="B99" s="1297">
        <v>129</v>
      </c>
      <c r="C99" s="327"/>
      <c r="D99" s="327"/>
      <c r="E99" s="327"/>
      <c r="F99" s="327"/>
    </row>
    <row r="100" spans="1:6">
      <c r="A100" s="1296" t="s">
        <v>73</v>
      </c>
      <c r="B100" s="1297">
        <v>217</v>
      </c>
      <c r="C100" s="327"/>
      <c r="D100" s="327"/>
      <c r="E100" s="327"/>
      <c r="F100" s="327"/>
    </row>
    <row r="101" spans="1:6">
      <c r="A101" s="1296" t="s">
        <v>74</v>
      </c>
      <c r="B101" s="1297">
        <v>34</v>
      </c>
      <c r="C101" s="327"/>
      <c r="D101" s="327"/>
      <c r="E101" s="327"/>
      <c r="F101" s="327"/>
    </row>
    <row r="102" spans="1:6">
      <c r="A102" s="1296" t="s">
        <v>75</v>
      </c>
      <c r="B102" s="1297">
        <v>22</v>
      </c>
      <c r="C102" s="327"/>
      <c r="D102" s="327"/>
      <c r="E102" s="327"/>
      <c r="F102" s="327"/>
    </row>
    <row r="103" spans="1:6">
      <c r="A103" s="1296" t="s">
        <v>76</v>
      </c>
      <c r="B103" s="1297">
        <v>93</v>
      </c>
      <c r="C103" s="327"/>
      <c r="D103" s="327"/>
      <c r="E103" s="327"/>
      <c r="F103" s="327"/>
    </row>
    <row r="104" spans="1:6">
      <c r="A104" s="1296" t="s">
        <v>77</v>
      </c>
      <c r="B104" s="1297">
        <v>2805</v>
      </c>
      <c r="C104" s="327"/>
      <c r="D104" s="327"/>
      <c r="E104" s="327"/>
      <c r="F104" s="327"/>
    </row>
    <row r="105" spans="1:6">
      <c r="A105" s="1291" t="s">
        <v>78</v>
      </c>
      <c r="B105" s="1299">
        <v>4</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0</v>
      </c>
      <c r="C110" s="327"/>
      <c r="D110" s="327"/>
      <c r="E110" s="327"/>
      <c r="F110" s="327"/>
    </row>
    <row r="111" spans="1:6">
      <c r="A111" s="1314" t="s">
        <v>653</v>
      </c>
      <c r="B111" s="1315">
        <v>0</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0</v>
      </c>
      <c r="C121" s="1297">
        <v>0</v>
      </c>
      <c r="D121" s="327"/>
      <c r="E121" s="327"/>
      <c r="F121" s="327"/>
    </row>
    <row r="122" spans="1:6">
      <c r="A122" s="1296" t="s">
        <v>86</v>
      </c>
      <c r="B122" s="1297">
        <v>0</v>
      </c>
      <c r="C122" s="1297">
        <v>0</v>
      </c>
      <c r="D122" s="327"/>
      <c r="E122" s="327"/>
      <c r="F122" s="327"/>
    </row>
    <row r="123" spans="1:6">
      <c r="A123" s="1296" t="s">
        <v>87</v>
      </c>
      <c r="B123" s="1297">
        <v>11</v>
      </c>
      <c r="C123" s="1297">
        <v>5</v>
      </c>
      <c r="D123" s="327"/>
      <c r="E123" s="327"/>
      <c r="F123" s="327"/>
    </row>
    <row r="124" spans="1:6">
      <c r="A124" s="1296" t="s">
        <v>88</v>
      </c>
      <c r="B124" s="1297">
        <v>1</v>
      </c>
      <c r="C124" s="1297">
        <v>0</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67</v>
      </c>
      <c r="C129" s="327"/>
      <c r="D129" s="327"/>
      <c r="E129" s="327"/>
      <c r="F129" s="327"/>
    </row>
    <row r="130" spans="1:6">
      <c r="A130" s="1296" t="s">
        <v>284</v>
      </c>
      <c r="B130" s="1297">
        <v>0</v>
      </c>
      <c r="C130" s="327"/>
      <c r="D130" s="327"/>
      <c r="E130" s="327"/>
      <c r="F130" s="327"/>
    </row>
    <row r="131" spans="1:6">
      <c r="A131" s="1296" t="s">
        <v>285</v>
      </c>
      <c r="B131" s="1297">
        <v>0</v>
      </c>
      <c r="C131" s="327"/>
      <c r="D131" s="327"/>
      <c r="E131" s="327"/>
      <c r="F131" s="327"/>
    </row>
    <row r="132" spans="1:6">
      <c r="A132" s="1291" t="s">
        <v>286</v>
      </c>
      <c r="B132" s="1292">
        <v>20</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27597.988512246957</v>
      </c>
      <c r="C3" s="43" t="s">
        <v>163</v>
      </c>
      <c r="D3" s="43"/>
      <c r="E3" s="156"/>
      <c r="F3" s="43"/>
      <c r="G3" s="43"/>
      <c r="H3" s="43"/>
      <c r="I3" s="43"/>
      <c r="J3" s="43"/>
      <c r="K3" s="96"/>
    </row>
    <row r="4" spans="1:11">
      <c r="A4" s="353" t="s">
        <v>164</v>
      </c>
      <c r="B4" s="49">
        <f>IF(ISERROR('SEAP template'!B78+'SEAP template'!C78),0,'SEAP template'!B78+'SEAP template'!C78)</f>
        <v>3040.6414958751202</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0</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0.19665105984843059</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0</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0</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544.45399999999995</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544.45399999999995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0.19665105984843059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107.06745613871742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16206.994000000001</v>
      </c>
      <c r="C5" s="17">
        <f>IF(ISERROR('Eigen informatie GS &amp; warmtenet'!B57),0,'Eigen informatie GS &amp; warmtenet'!B57)</f>
        <v>0</v>
      </c>
      <c r="D5" s="30">
        <f>(SUM(HH_hh_gas_kWh,HH_rest_gas_kWh)/1000)*0.902</f>
        <v>17226.892100000001</v>
      </c>
      <c r="E5" s="17">
        <f>B32*B41</f>
        <v>1685.639536428823</v>
      </c>
      <c r="F5" s="17">
        <f>B36*B45</f>
        <v>51657.220491064632</v>
      </c>
      <c r="G5" s="18"/>
      <c r="H5" s="17"/>
      <c r="I5" s="17"/>
      <c r="J5" s="17">
        <f>B35*B44+C35*C44</f>
        <v>978.28489756641397</v>
      </c>
      <c r="K5" s="17"/>
      <c r="L5" s="17"/>
      <c r="M5" s="17"/>
      <c r="N5" s="17">
        <f>B34*B43+C34*C43</f>
        <v>6919.9391673027303</v>
      </c>
      <c r="O5" s="17">
        <f>B52*B53*B54</f>
        <v>112.56000000000002</v>
      </c>
      <c r="P5" s="17">
        <f>B60*B61*B62/1000-B60*B61*B62/1000/B63</f>
        <v>610.13333333333333</v>
      </c>
    </row>
    <row r="6" spans="1:16">
      <c r="A6" s="16" t="s">
        <v>617</v>
      </c>
      <c r="B6" s="769">
        <f>kWh_PV_kleiner_dan_10kW</f>
        <v>2405.6341813691706</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18612.628181369171</v>
      </c>
      <c r="C8" s="21">
        <f>C5</f>
        <v>0</v>
      </c>
      <c r="D8" s="21">
        <f>D5</f>
        <v>17226.892100000001</v>
      </c>
      <c r="E8" s="21">
        <f>E5</f>
        <v>1685.639536428823</v>
      </c>
      <c r="F8" s="21">
        <f>F5</f>
        <v>51657.220491064632</v>
      </c>
      <c r="G8" s="21"/>
      <c r="H8" s="21"/>
      <c r="I8" s="21"/>
      <c r="J8" s="21">
        <f>J5</f>
        <v>978.28489756641397</v>
      </c>
      <c r="K8" s="21"/>
      <c r="L8" s="21">
        <f>L5</f>
        <v>0</v>
      </c>
      <c r="M8" s="21">
        <f>M5</f>
        <v>0</v>
      </c>
      <c r="N8" s="21">
        <f>N5</f>
        <v>6919.9391673027303</v>
      </c>
      <c r="O8" s="21">
        <f>O5</f>
        <v>112.56000000000002</v>
      </c>
      <c r="P8" s="21">
        <f>P5</f>
        <v>610.13333333333333</v>
      </c>
    </row>
    <row r="9" spans="1:16">
      <c r="B9" s="19"/>
      <c r="C9" s="19"/>
      <c r="D9" s="257"/>
      <c r="E9" s="19"/>
      <c r="F9" s="19"/>
      <c r="G9" s="19"/>
      <c r="H9" s="19"/>
      <c r="I9" s="19"/>
      <c r="J9" s="19"/>
      <c r="K9" s="19"/>
      <c r="L9" s="19"/>
      <c r="M9" s="19"/>
      <c r="N9" s="19"/>
      <c r="O9" s="19"/>
      <c r="P9" s="19"/>
    </row>
    <row r="10" spans="1:16">
      <c r="A10" s="24" t="s">
        <v>207</v>
      </c>
      <c r="B10" s="25">
        <f ca="1">'EF ele_warmte'!B12</f>
        <v>0.19665105984843059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3660.1930584310148</v>
      </c>
      <c r="C12" s="23">
        <f ca="1">C10*C8</f>
        <v>0</v>
      </c>
      <c r="D12" s="23">
        <f>D8*D10</f>
        <v>3479.8322042000004</v>
      </c>
      <c r="E12" s="23">
        <f>E10*E8</f>
        <v>382.64017476934282</v>
      </c>
      <c r="F12" s="23">
        <f>F10*F8</f>
        <v>13792.477871114257</v>
      </c>
      <c r="G12" s="23"/>
      <c r="H12" s="23"/>
      <c r="I12" s="23"/>
      <c r="J12" s="23">
        <f>J10*J8</f>
        <v>346.31285373851051</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4002</v>
      </c>
      <c r="C26" s="36"/>
      <c r="D26" s="227"/>
    </row>
    <row r="27" spans="1:5" s="15" customFormat="1">
      <c r="A27" s="229" t="s">
        <v>722</v>
      </c>
      <c r="B27" s="37">
        <f>SUM(HH_hh_gas_aantal,HH_rest_gas_aantal)</f>
        <v>1089</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1034.55</v>
      </c>
      <c r="C31" s="34" t="s">
        <v>104</v>
      </c>
      <c r="D31" s="173"/>
    </row>
    <row r="32" spans="1:5">
      <c r="A32" s="170" t="s">
        <v>72</v>
      </c>
      <c r="B32" s="33">
        <f>IF((B21*($B$26-($B$27-0.05*$B$27)-$B$60))&lt;0,0,B21*($B$26-($B$27-0.05*$B$27)-$B$60))</f>
        <v>73.508253339067039</v>
      </c>
      <c r="C32" s="34" t="s">
        <v>104</v>
      </c>
      <c r="D32" s="173"/>
    </row>
    <row r="33" spans="1:6">
      <c r="A33" s="170" t="s">
        <v>73</v>
      </c>
      <c r="B33" s="33">
        <f>IF((B22*($B$26-($B$27-0.05*$B$27)-$B$60))&lt;0,0,B22*($B$26-($B$27-0.05*$B$27)-$B$60))</f>
        <v>494.79675835546709</v>
      </c>
      <c r="C33" s="34" t="s">
        <v>104</v>
      </c>
      <c r="D33" s="173"/>
    </row>
    <row r="34" spans="1:6">
      <c r="A34" s="170" t="s">
        <v>74</v>
      </c>
      <c r="B34" s="33">
        <f>IF((B24*($B$26-($B$27-0.05*$B$27)-$B$60))&lt;0,0,B24*($B$26-($B$27-0.05*$B$27)-$B$60))</f>
        <v>125.5366443262662</v>
      </c>
      <c r="C34" s="33">
        <f>B26*C24</f>
        <v>818.64939065037311</v>
      </c>
      <c r="D34" s="232"/>
    </row>
    <row r="35" spans="1:6">
      <c r="A35" s="170" t="s">
        <v>76</v>
      </c>
      <c r="B35" s="33">
        <f>IF((B19*($B$26-($B$27-0.05*$B$27)-$B$60))&lt;0,0,B19*($B$26-($B$27-0.05*$B$27)-$B$60))</f>
        <v>46.653540622294706</v>
      </c>
      <c r="C35" s="33">
        <f>B35/2</f>
        <v>23.326770311147353</v>
      </c>
      <c r="D35" s="232"/>
    </row>
    <row r="36" spans="1:6">
      <c r="A36" s="170" t="s">
        <v>77</v>
      </c>
      <c r="B36" s="33">
        <f>IF((B18*($B$26-($B$27-0.05*$B$27)-$B$60))&lt;0,0,B18*($B$26-($B$27-0.05*$B$27)-$B$60))</f>
        <v>2194.9548033569049</v>
      </c>
      <c r="C36" s="34" t="s">
        <v>104</v>
      </c>
      <c r="D36" s="173"/>
    </row>
    <row r="37" spans="1:6">
      <c r="A37" s="170" t="s">
        <v>78</v>
      </c>
      <c r="B37" s="33">
        <f>B60</f>
        <v>32</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72</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32</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6867.165</v>
      </c>
      <c r="C5" s="17">
        <f>IF(ISERROR('Eigen informatie GS &amp; warmtenet'!B58),0,'Eigen informatie GS &amp; warmtenet'!B58)</f>
        <v>0</v>
      </c>
      <c r="D5" s="30">
        <f>SUM(D6:D12)</f>
        <v>3139.1025160000004</v>
      </c>
      <c r="E5" s="17">
        <f>SUM(E6:E12)</f>
        <v>109.47828582809306</v>
      </c>
      <c r="F5" s="17">
        <f>SUM(F6:F12)</f>
        <v>1345.0715609178808</v>
      </c>
      <c r="G5" s="18"/>
      <c r="H5" s="17"/>
      <c r="I5" s="17"/>
      <c r="J5" s="17">
        <f>SUM(J6:J12)</f>
        <v>0</v>
      </c>
      <c r="K5" s="17"/>
      <c r="L5" s="17"/>
      <c r="M5" s="17"/>
      <c r="N5" s="17">
        <f>SUM(N6:N12)</f>
        <v>474.7286086235539</v>
      </c>
      <c r="O5" s="17">
        <f>B38*B39*B40</f>
        <v>0</v>
      </c>
      <c r="P5" s="17">
        <f>B46*B47*B48/1000-B46*B47*B48/1000/B49</f>
        <v>0</v>
      </c>
      <c r="R5" s="32"/>
    </row>
    <row r="6" spans="1:18">
      <c r="A6" s="32" t="s">
        <v>53</v>
      </c>
      <c r="B6" s="37">
        <f>B26</f>
        <v>1162.8499999999999</v>
      </c>
      <c r="C6" s="33"/>
      <c r="D6" s="37">
        <f>IF(ISERROR(TER_kantoor_gas_kWh/1000),0,TER_kantoor_gas_kWh/1000)*0.902</f>
        <v>1705.6035260000001</v>
      </c>
      <c r="E6" s="33">
        <f>$C$26*'E Balans VL '!I12/100/3.6*1000000</f>
        <v>4.5179184396892023</v>
      </c>
      <c r="F6" s="33">
        <f>$C$26*('E Balans VL '!L12+'E Balans VL '!N12)/100/3.6*1000000</f>
        <v>176.85890390859774</v>
      </c>
      <c r="G6" s="34"/>
      <c r="H6" s="33"/>
      <c r="I6" s="33"/>
      <c r="J6" s="33">
        <f>$C$26*('E Balans VL '!D12+'E Balans VL '!E12)/100/3.6*1000000</f>
        <v>0</v>
      </c>
      <c r="K6" s="33"/>
      <c r="L6" s="33"/>
      <c r="M6" s="33"/>
      <c r="N6" s="33">
        <f>$C$26*'E Balans VL '!Y12/100/3.6*1000000</f>
        <v>0.640869655999319</v>
      </c>
      <c r="O6" s="33"/>
      <c r="P6" s="33"/>
      <c r="R6" s="32"/>
    </row>
    <row r="7" spans="1:18">
      <c r="A7" s="32" t="s">
        <v>52</v>
      </c>
      <c r="B7" s="37">
        <f t="shared" ref="B7:B12" si="0">B27</f>
        <v>853.76800000000003</v>
      </c>
      <c r="C7" s="33"/>
      <c r="D7" s="37">
        <f>IF(ISERROR(TER_horeca_gas_kWh/1000),0,TER_horeca_gas_kWh/1000)*0.902</f>
        <v>298.20661200000001</v>
      </c>
      <c r="E7" s="33">
        <f>$C$27*'E Balans VL '!I9/100/3.6*1000000</f>
        <v>48.092979699744568</v>
      </c>
      <c r="F7" s="33">
        <f>$C$27*('E Balans VL '!L9+'E Balans VL '!N9)/100/3.6*1000000</f>
        <v>246.17557715328203</v>
      </c>
      <c r="G7" s="34"/>
      <c r="H7" s="33"/>
      <c r="I7" s="33"/>
      <c r="J7" s="33">
        <f>$C$27*('E Balans VL '!D9+'E Balans VL '!E9)/100/3.6*1000000</f>
        <v>0</v>
      </c>
      <c r="K7" s="33"/>
      <c r="L7" s="33"/>
      <c r="M7" s="33"/>
      <c r="N7" s="33">
        <f>$C$27*'E Balans VL '!Y9/100/3.6*1000000</f>
        <v>0.23572090820404637</v>
      </c>
      <c r="O7" s="33"/>
      <c r="P7" s="33"/>
      <c r="R7" s="32"/>
    </row>
    <row r="8" spans="1:18">
      <c r="A8" s="6" t="s">
        <v>51</v>
      </c>
      <c r="B8" s="37">
        <f t="shared" si="0"/>
        <v>3574.855</v>
      </c>
      <c r="C8" s="33"/>
      <c r="D8" s="37">
        <f>IF(ISERROR(TER_handel_gas_kWh/1000),0,TER_handel_gas_kWh/1000)*0.902</f>
        <v>417.60074400000002</v>
      </c>
      <c r="E8" s="33">
        <f>$C$28*'E Balans VL '!I13/100/3.6*1000000</f>
        <v>51.525788826546503</v>
      </c>
      <c r="F8" s="33">
        <f>$C$28*('E Balans VL '!L13+'E Balans VL '!N13)/100/3.6*1000000</f>
        <v>621.03556625514977</v>
      </c>
      <c r="G8" s="34"/>
      <c r="H8" s="33"/>
      <c r="I8" s="33"/>
      <c r="J8" s="33">
        <f>$C$28*('E Balans VL '!D13+'E Balans VL '!E13)/100/3.6*1000000</f>
        <v>0</v>
      </c>
      <c r="K8" s="33"/>
      <c r="L8" s="33"/>
      <c r="M8" s="33"/>
      <c r="N8" s="33">
        <f>$C$28*'E Balans VL '!Y13/100/3.6*1000000</f>
        <v>10.710663541056659</v>
      </c>
      <c r="O8" s="33"/>
      <c r="P8" s="33"/>
      <c r="R8" s="32"/>
    </row>
    <row r="9" spans="1:18">
      <c r="A9" s="32" t="s">
        <v>50</v>
      </c>
      <c r="B9" s="37">
        <f t="shared" si="0"/>
        <v>479.875</v>
      </c>
      <c r="C9" s="33"/>
      <c r="D9" s="37">
        <f>IF(ISERROR(TER_gezond_gas_kWh/1000),0,TER_gezond_gas_kWh/1000)*0.902</f>
        <v>44.753632000000003</v>
      </c>
      <c r="E9" s="33">
        <f>$C$29*'E Balans VL '!I10/100/3.6*1000000</f>
        <v>0.51263087903232474</v>
      </c>
      <c r="F9" s="33">
        <f>$C$29*('E Balans VL '!L10+'E Balans VL '!N10)/100/3.6*1000000</f>
        <v>78.282196448516146</v>
      </c>
      <c r="G9" s="34"/>
      <c r="H9" s="33"/>
      <c r="I9" s="33"/>
      <c r="J9" s="33">
        <f>$C$29*('E Balans VL '!D10+'E Balans VL '!E10)/100/3.6*1000000</f>
        <v>0</v>
      </c>
      <c r="K9" s="33"/>
      <c r="L9" s="33"/>
      <c r="M9" s="33"/>
      <c r="N9" s="33">
        <f>$C$29*'E Balans VL '!Y10/100/3.6*1000000</f>
        <v>4.9400393137876177</v>
      </c>
      <c r="O9" s="33"/>
      <c r="P9" s="33"/>
      <c r="R9" s="32"/>
    </row>
    <row r="10" spans="1:18">
      <c r="A10" s="32" t="s">
        <v>49</v>
      </c>
      <c r="B10" s="37">
        <f t="shared" si="0"/>
        <v>640.56799999999998</v>
      </c>
      <c r="C10" s="33"/>
      <c r="D10" s="37">
        <f>IF(ISERROR(TER_ander_gas_kWh/1000),0,TER_ander_gas_kWh/1000)*0.902</f>
        <v>223.75553200000002</v>
      </c>
      <c r="E10" s="33">
        <f>$C$30*'E Balans VL '!I14/100/3.6*1000000</f>
        <v>2.9458747943740509</v>
      </c>
      <c r="F10" s="33">
        <f>$C$30*('E Balans VL '!L14+'E Balans VL '!N14)/100/3.6*1000000</f>
        <v>191.9984349307407</v>
      </c>
      <c r="G10" s="34"/>
      <c r="H10" s="33"/>
      <c r="I10" s="33"/>
      <c r="J10" s="33">
        <f>$C$30*('E Balans VL '!D14+'E Balans VL '!E14)/100/3.6*1000000</f>
        <v>0</v>
      </c>
      <c r="K10" s="33"/>
      <c r="L10" s="33"/>
      <c r="M10" s="33"/>
      <c r="N10" s="33">
        <f>$C$30*'E Balans VL '!Y14/100/3.6*1000000</f>
        <v>445.87761238607533</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155.249</v>
      </c>
      <c r="C12" s="33"/>
      <c r="D12" s="37">
        <f>IF(ISERROR(TER_rest_gas_kWh/1000),0,TER_rest_gas_kWh/1000)*0.902</f>
        <v>449.18247000000002</v>
      </c>
      <c r="E12" s="33">
        <f>$C$32*'E Balans VL '!I8/100/3.6*1000000</f>
        <v>1.8830931887064128</v>
      </c>
      <c r="F12" s="33">
        <f>$C$32*('E Balans VL '!L8+'E Balans VL '!N8)/100/3.6*1000000</f>
        <v>30.720882221594536</v>
      </c>
      <c r="G12" s="34"/>
      <c r="H12" s="33"/>
      <c r="I12" s="33"/>
      <c r="J12" s="33">
        <f>$C$32*('E Balans VL '!D8+'E Balans VL '!E8)/100/3.6*1000000</f>
        <v>0</v>
      </c>
      <c r="K12" s="33"/>
      <c r="L12" s="33"/>
      <c r="M12" s="33"/>
      <c r="N12" s="33">
        <f>$C$32*'E Balans VL '!Y8/100/3.6*1000000</f>
        <v>12.323702818430927</v>
      </c>
      <c r="O12" s="33"/>
      <c r="P12" s="33"/>
      <c r="R12" s="32"/>
    </row>
    <row r="13" spans="1:18">
      <c r="A13" s="16" t="s">
        <v>484</v>
      </c>
      <c r="B13" s="245">
        <f ca="1">'lokale energieproductie'!N38+'lokale energieproductie'!N31</f>
        <v>0</v>
      </c>
      <c r="C13" s="245">
        <f ca="1">'lokale energieproductie'!O38+'lokale energieproductie'!O31</f>
        <v>0</v>
      </c>
      <c r="D13" s="305">
        <f ca="1">('lokale energieproductie'!P31+'lokale energieproductie'!P38)*(-1)</f>
        <v>0</v>
      </c>
      <c r="E13" s="246"/>
      <c r="F13" s="305">
        <f ca="1">('lokale energieproductie'!S31+'lokale energieproductie'!S38)*(-1)</f>
        <v>0</v>
      </c>
      <c r="G13" s="247"/>
      <c r="H13" s="246"/>
      <c r="I13" s="246"/>
      <c r="J13" s="246"/>
      <c r="K13" s="246"/>
      <c r="L13" s="305">
        <f ca="1">('lokale energieproductie'!U31+'lokale energieproductie'!T31+'lokale energieproductie'!U38+'lokale energieproductie'!T38)*(-1)</f>
        <v>0</v>
      </c>
      <c r="M13" s="246"/>
      <c r="N13" s="305">
        <f ca="1">('lokale energieproductie'!Q31+'lokale energieproductie'!R31+'lokale energieproductie'!V31+'lokale energieproductie'!Q38+'lokale energieproductie'!R38+'lokale energieproductie'!V38)*(-1)</f>
        <v>0</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6867.165</v>
      </c>
      <c r="C16" s="21">
        <f t="shared" ca="1" si="1"/>
        <v>0</v>
      </c>
      <c r="D16" s="21">
        <f t="shared" ca="1" si="1"/>
        <v>3139.1025160000004</v>
      </c>
      <c r="E16" s="21">
        <f t="shared" si="1"/>
        <v>109.47828582809306</v>
      </c>
      <c r="F16" s="21">
        <f t="shared" ca="1" si="1"/>
        <v>1345.0715609178808</v>
      </c>
      <c r="G16" s="21">
        <f t="shared" si="1"/>
        <v>0</v>
      </c>
      <c r="H16" s="21">
        <f t="shared" si="1"/>
        <v>0</v>
      </c>
      <c r="I16" s="21">
        <f t="shared" si="1"/>
        <v>0</v>
      </c>
      <c r="J16" s="21">
        <f t="shared" si="1"/>
        <v>0</v>
      </c>
      <c r="K16" s="21">
        <f t="shared" si="1"/>
        <v>0</v>
      </c>
      <c r="L16" s="21">
        <f t="shared" ca="1" si="1"/>
        <v>0</v>
      </c>
      <c r="M16" s="21">
        <f t="shared" si="1"/>
        <v>0</v>
      </c>
      <c r="N16" s="21">
        <f t="shared" ca="1" si="1"/>
        <v>474.7286086235539</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0.19665105984843059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1350.4352754040478</v>
      </c>
      <c r="C20" s="23">
        <f t="shared" ref="C20:P20" ca="1" si="2">C16*C18</f>
        <v>0</v>
      </c>
      <c r="D20" s="23">
        <f t="shared" ca="1" si="2"/>
        <v>634.09870823200015</v>
      </c>
      <c r="E20" s="23">
        <f t="shared" si="2"/>
        <v>24.851570882977125</v>
      </c>
      <c r="F20" s="23">
        <f t="shared" ca="1" si="2"/>
        <v>359.13410676507419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1162.8499999999999</v>
      </c>
      <c r="C26" s="39">
        <f>IF(ISERROR(B26*3.6/1000000/'E Balans VL '!Z12*100),0,B26*3.6/1000000/'E Balans VL '!Z12*100)</f>
        <v>2.4699510001010887E-2</v>
      </c>
      <c r="D26" s="235" t="s">
        <v>672</v>
      </c>
      <c r="F26" s="6"/>
    </row>
    <row r="27" spans="1:18">
      <c r="A27" s="230" t="s">
        <v>52</v>
      </c>
      <c r="B27" s="33">
        <f>IF(ISERROR(TER_horeca_ele_kWh/1000),0,TER_horeca_ele_kWh/1000)</f>
        <v>853.76800000000003</v>
      </c>
      <c r="C27" s="39">
        <f>IF(ISERROR(B27*3.6/1000000/'E Balans VL '!Z9*100),0,B27*3.6/1000000/'E Balans VL '!Z9*100)</f>
        <v>6.6385661513966451E-2</v>
      </c>
      <c r="D27" s="235" t="s">
        <v>672</v>
      </c>
      <c r="F27" s="6"/>
    </row>
    <row r="28" spans="1:18">
      <c r="A28" s="170" t="s">
        <v>51</v>
      </c>
      <c r="B28" s="33">
        <f>IF(ISERROR(TER_handel_ele_kWh/1000),0,TER_handel_ele_kWh/1000)</f>
        <v>3574.855</v>
      </c>
      <c r="C28" s="39">
        <f>IF(ISERROR(B28*3.6/1000000/'E Balans VL '!Z13*100),0,B28*3.6/1000000/'E Balans VL '!Z13*100)</f>
        <v>0.10228080873346908</v>
      </c>
      <c r="D28" s="235" t="s">
        <v>672</v>
      </c>
      <c r="F28" s="6"/>
    </row>
    <row r="29" spans="1:18">
      <c r="A29" s="230" t="s">
        <v>50</v>
      </c>
      <c r="B29" s="33">
        <f>IF(ISERROR(TER_gezond_ele_kWh/1000),0,TER_gezond_ele_kWh/1000)</f>
        <v>479.875</v>
      </c>
      <c r="C29" s="39">
        <f>IF(ISERROR(B29*3.6/1000000/'E Balans VL '!Z10*100),0,B29*3.6/1000000/'E Balans VL '!Z10*100)</f>
        <v>5.2317525957645286E-2</v>
      </c>
      <c r="D29" s="235" t="s">
        <v>672</v>
      </c>
      <c r="F29" s="6"/>
    </row>
    <row r="30" spans="1:18">
      <c r="A30" s="230" t="s">
        <v>49</v>
      </c>
      <c r="B30" s="33">
        <f>IF(ISERROR(TER_ander_ele_kWh/1000),0,TER_ander_ele_kWh/1000)</f>
        <v>640.56799999999998</v>
      </c>
      <c r="C30" s="39">
        <f>IF(ISERROR(B30*3.6/1000000/'E Balans VL '!Z14*100),0,B30*3.6/1000000/'E Balans VL '!Z14*100)</f>
        <v>4.6875313145938242E-2</v>
      </c>
      <c r="D30" s="235" t="s">
        <v>672</v>
      </c>
      <c r="F30" s="6"/>
    </row>
    <row r="31" spans="1:18">
      <c r="A31" s="230" t="s">
        <v>54</v>
      </c>
      <c r="B31" s="33">
        <f>IF(ISERROR(TER_onderwijs_ele_kWh/1000),0,TER_onderwijs_ele_kWh/1000)</f>
        <v>0</v>
      </c>
      <c r="C31" s="39">
        <f>IF(ISERROR(B31*3.6/1000000/'E Balans VL '!Z11*100),0,B31*3.6/1000000/'E Balans VL '!Z11*100)</f>
        <v>0</v>
      </c>
      <c r="D31" s="235" t="s">
        <v>672</v>
      </c>
    </row>
    <row r="32" spans="1:18">
      <c r="A32" s="230" t="s">
        <v>249</v>
      </c>
      <c r="B32" s="33">
        <f>IF(ISERROR(TER_rest_ele_kWh/1000),0,TER_rest_ele_kWh/1000)</f>
        <v>155.249</v>
      </c>
      <c r="C32" s="39">
        <f>IF(ISERROR(B32*3.6/1000000/'E Balans VL '!Z8*100),0,B32*3.6/1000000/'E Balans VL '!Z8*100)</f>
        <v>1.2651851341689301E-3</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0</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0</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949.101</v>
      </c>
      <c r="C5" s="17">
        <f>IF(ISERROR('Eigen informatie GS &amp; warmtenet'!B59),0,'Eigen informatie GS &amp; warmtenet'!B59)</f>
        <v>0</v>
      </c>
      <c r="D5" s="30">
        <f>SUM(D6:D15)</f>
        <v>446.98609999999996</v>
      </c>
      <c r="E5" s="17">
        <f>SUM(E6:E15)</f>
        <v>134.43099887807281</v>
      </c>
      <c r="F5" s="17">
        <f>SUM(F6:F15)</f>
        <v>625.65554577216267</v>
      </c>
      <c r="G5" s="18"/>
      <c r="H5" s="17"/>
      <c r="I5" s="17"/>
      <c r="J5" s="17">
        <f>SUM(J6:J15)</f>
        <v>0.27786262888246199</v>
      </c>
      <c r="K5" s="17"/>
      <c r="L5" s="17"/>
      <c r="M5" s="17"/>
      <c r="N5" s="17">
        <f>SUM(N6:N15)</f>
        <v>94.022337972464555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310.07600000000002</v>
      </c>
      <c r="C8" s="33"/>
      <c r="D8" s="37">
        <f>IF( ISERROR(IND_metaal_Gas_kWH/1000),0,IND_metaal_Gas_kWH/1000)*0.902</f>
        <v>0</v>
      </c>
      <c r="E8" s="33">
        <f>C30*'E Balans VL '!I18/100/3.6*1000000</f>
        <v>8.9065466025205744</v>
      </c>
      <c r="F8" s="33">
        <f>C30*'E Balans VL '!L18/100/3.6*1000000+C30*'E Balans VL '!N18/100/3.6*1000000</f>
        <v>79.528530381480749</v>
      </c>
      <c r="G8" s="34"/>
      <c r="H8" s="33"/>
      <c r="I8" s="33"/>
      <c r="J8" s="40">
        <f>C30*'E Balans VL '!D18/100/3.6*1000000+C30*'E Balans VL '!E18/100/3.6*1000000</f>
        <v>0</v>
      </c>
      <c r="K8" s="33"/>
      <c r="L8" s="33"/>
      <c r="M8" s="33"/>
      <c r="N8" s="33">
        <f>C30*'E Balans VL '!Y18/100/3.6*1000000</f>
        <v>8.4191963547915947</v>
      </c>
      <c r="O8" s="33"/>
      <c r="P8" s="33"/>
      <c r="R8" s="32"/>
    </row>
    <row r="9" spans="1:18">
      <c r="A9" s="6" t="s">
        <v>32</v>
      </c>
      <c r="B9" s="37">
        <f t="shared" si="0"/>
        <v>406.75</v>
      </c>
      <c r="C9" s="33"/>
      <c r="D9" s="37">
        <f>IF( ISERROR(IND_andere_gas_kWh/1000),0,IND_andere_gas_kWh/1000)*0.902</f>
        <v>289.21006399999999</v>
      </c>
      <c r="E9" s="33">
        <f>C31*'E Balans VL '!I19/100/3.6*1000000</f>
        <v>110.09722422129869</v>
      </c>
      <c r="F9" s="33">
        <f>C31*'E Balans VL '!L19/100/3.6*1000000+C31*'E Balans VL '!N19/100/3.6*1000000</f>
        <v>270.93854314129254</v>
      </c>
      <c r="G9" s="34"/>
      <c r="H9" s="33"/>
      <c r="I9" s="33"/>
      <c r="J9" s="40">
        <f>C31*'E Balans VL '!D19/100/3.6*1000000+C31*'E Balans VL '!E19/100/3.6*1000000</f>
        <v>0</v>
      </c>
      <c r="K9" s="33"/>
      <c r="L9" s="33"/>
      <c r="M9" s="33"/>
      <c r="N9" s="33">
        <f>C31*'E Balans VL '!Y19/100/3.6*1000000</f>
        <v>34.38801808893497</v>
      </c>
      <c r="O9" s="33"/>
      <c r="P9" s="33"/>
      <c r="R9" s="32"/>
    </row>
    <row r="10" spans="1:18">
      <c r="A10" s="6" t="s">
        <v>40</v>
      </c>
      <c r="B10" s="37">
        <f t="shared" si="0"/>
        <v>171.053</v>
      </c>
      <c r="C10" s="33"/>
      <c r="D10" s="37">
        <f>IF( ISERROR(IND_voed_gas_kWh/1000),0,IND_voed_gas_kWh/1000)*0.902</f>
        <v>56.092674000000002</v>
      </c>
      <c r="E10" s="33">
        <f>C32*'E Balans VL '!I20/100/3.6*1000000</f>
        <v>13.951475664041523</v>
      </c>
      <c r="F10" s="33">
        <f>C32*'E Balans VL '!L20/100/3.6*1000000+C32*'E Balans VL '!N20/100/3.6*1000000</f>
        <v>255.05554228798007</v>
      </c>
      <c r="G10" s="34"/>
      <c r="H10" s="33"/>
      <c r="I10" s="33"/>
      <c r="J10" s="40">
        <f>C32*'E Balans VL '!D20/100/3.6*1000000+C32*'E Balans VL '!E20/100/3.6*1000000</f>
        <v>2.2628235595117574E-3</v>
      </c>
      <c r="K10" s="33"/>
      <c r="L10" s="33"/>
      <c r="M10" s="33"/>
      <c r="N10" s="33">
        <f>C32*'E Balans VL '!Y20/100/3.6*1000000</f>
        <v>50.249335590458429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40.411999999999999</v>
      </c>
      <c r="C12" s="33"/>
      <c r="D12" s="37">
        <f>IF( ISERROR(IND_min_gas_kWh/1000),0,IND_min_gas_kWh/1000)*0.902</f>
        <v>0</v>
      </c>
      <c r="E12" s="33">
        <f>C34*'E Balans VL '!I22/100/3.6*1000000</f>
        <v>0.31480067460000666</v>
      </c>
      <c r="F12" s="33">
        <f>C34*'E Balans VL '!L22/100/3.6*1000000+C34*'E Balans VL '!N22/100/3.6*1000000</f>
        <v>15.240923006751597</v>
      </c>
      <c r="G12" s="34"/>
      <c r="H12" s="33"/>
      <c r="I12" s="33"/>
      <c r="J12" s="40">
        <f>C34*'E Balans VL '!D22/100/3.6*1000000+C34*'E Balans VL '!E22/100/3.6*1000000</f>
        <v>0.22226246666053645</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20.81</v>
      </c>
      <c r="C15" s="33"/>
      <c r="D15" s="37">
        <f>IF( ISERROR(IND_rest_gas_kWh/1000),0,IND_rest_gas_kWh/1000)*0.902</f>
        <v>101.683362</v>
      </c>
      <c r="E15" s="33">
        <f>C37*'E Balans VL '!I15/100/3.6*1000000</f>
        <v>1.1609517156120124</v>
      </c>
      <c r="F15" s="33">
        <f>C37*'E Balans VL '!L15/100/3.6*1000000+C37*'E Balans VL '!N15/100/3.6*1000000</f>
        <v>4.8920069546577487</v>
      </c>
      <c r="G15" s="34"/>
      <c r="H15" s="33"/>
      <c r="I15" s="33"/>
      <c r="J15" s="40">
        <f>C37*'E Balans VL '!D15/100/3.6*1000000+C37*'E Balans VL '!E15/100/3.6*1000000</f>
        <v>5.3337338662413789E-2</v>
      </c>
      <c r="K15" s="33"/>
      <c r="L15" s="33"/>
      <c r="M15" s="33"/>
      <c r="N15" s="33">
        <f>C37*'E Balans VL '!Y15/100/3.6*1000000</f>
        <v>0.96578793827955689</v>
      </c>
      <c r="O15" s="33"/>
      <c r="P15" s="33"/>
      <c r="R15" s="32"/>
    </row>
    <row r="16" spans="1:18">
      <c r="A16" s="16" t="s">
        <v>484</v>
      </c>
      <c r="B16" s="245">
        <f>'lokale energieproductie'!N37+'lokale energieproductie'!N30</f>
        <v>0</v>
      </c>
      <c r="C16" s="245">
        <f>'lokale energieproductie'!O37+'lokale energieproductie'!O30</f>
        <v>0</v>
      </c>
      <c r="D16" s="305">
        <f>('lokale energieproductie'!P30+'lokale energieproductie'!P37)*(-1)</f>
        <v>0</v>
      </c>
      <c r="E16" s="246"/>
      <c r="F16" s="305">
        <f>('lokale energieproductie'!S30+'lokale energieproductie'!S37)*(-1)</f>
        <v>0</v>
      </c>
      <c r="G16" s="247"/>
      <c r="H16" s="246"/>
      <c r="I16" s="246"/>
      <c r="J16" s="246"/>
      <c r="K16" s="246"/>
      <c r="L16" s="305">
        <f>('lokale energieproductie'!T30+'lokale energieproductie'!U30+'lokale energieproductie'!T37+'lokale energieproductie'!U37)*(-1)</f>
        <v>0</v>
      </c>
      <c r="M16" s="246"/>
      <c r="N16" s="305">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949.101</v>
      </c>
      <c r="C18" s="21">
        <f>C5+C16</f>
        <v>0</v>
      </c>
      <c r="D18" s="21">
        <f>MAX((D5+D16),0)</f>
        <v>446.98609999999996</v>
      </c>
      <c r="E18" s="21">
        <f>MAX((E5+E16),0)</f>
        <v>134.43099887807281</v>
      </c>
      <c r="F18" s="21">
        <f>MAX((F5+F16),0)</f>
        <v>625.65554577216267</v>
      </c>
      <c r="G18" s="21"/>
      <c r="H18" s="21"/>
      <c r="I18" s="21"/>
      <c r="J18" s="21">
        <f>MAX((J5+J16),0)</f>
        <v>0.27786262888246199</v>
      </c>
      <c r="K18" s="21"/>
      <c r="L18" s="21">
        <f>MAX((L5+L16),0)</f>
        <v>0</v>
      </c>
      <c r="M18" s="21"/>
      <c r="N18" s="21">
        <f>MAX((N5+N16),0)</f>
        <v>94.022337972464555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0.19665105984843059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186.64171755320532</v>
      </c>
      <c r="C22" s="23">
        <f ca="1">C18*C20</f>
        <v>0</v>
      </c>
      <c r="D22" s="23">
        <f>D18*D20</f>
        <v>90.291192199999998</v>
      </c>
      <c r="E22" s="23">
        <f>E18*E20</f>
        <v>30.515836745322531</v>
      </c>
      <c r="F22" s="23">
        <f>F18*F20</f>
        <v>167.05003072116745</v>
      </c>
      <c r="G22" s="23"/>
      <c r="H22" s="23"/>
      <c r="I22" s="23"/>
      <c r="J22" s="23">
        <f>J18*J20</f>
        <v>9.8363370624391544E-2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0</v>
      </c>
      <c r="C29" s="39">
        <f>IF(ISERROR(B29*3.6/1000000/'E Balans VL '!Z17*100),0,B29*3.6/1000000/'E Balans VL '!Z17*100)</f>
        <v>0</v>
      </c>
      <c r="D29" s="235" t="s">
        <v>672</v>
      </c>
    </row>
    <row r="30" spans="1:18">
      <c r="A30" s="170" t="s">
        <v>35</v>
      </c>
      <c r="B30" s="37">
        <f>IF( ISERROR(IND_metaal_ele_kWh/1000),0,IND_metaal_ele_kWh/1000)</f>
        <v>310.07600000000002</v>
      </c>
      <c r="C30" s="39">
        <f>IF(ISERROR(B30*3.6/1000000/'E Balans VL '!Z18*100),0,B30*3.6/1000000/'E Balans VL '!Z18*100)</f>
        <v>3.051068686029082E-2</v>
      </c>
      <c r="D30" s="235" t="s">
        <v>672</v>
      </c>
    </row>
    <row r="31" spans="1:18">
      <c r="A31" s="6" t="s">
        <v>32</v>
      </c>
      <c r="B31" s="37">
        <f>IF( ISERROR(IND_ander_ele_kWh/1000),0,IND_ander_ele_kWh/1000)</f>
        <v>406.75</v>
      </c>
      <c r="C31" s="39">
        <f>IF(ISERROR(B31*3.6/1000000/'E Balans VL '!Z19*100),0,B31*3.6/1000000/'E Balans VL '!Z19*100)</f>
        <v>1.7713638038721155E-2</v>
      </c>
      <c r="D31" s="235" t="s">
        <v>672</v>
      </c>
    </row>
    <row r="32" spans="1:18">
      <c r="A32" s="170" t="s">
        <v>40</v>
      </c>
      <c r="B32" s="37">
        <f>IF( ISERROR(IND_voed_ele_kWh/1000),0,IND_voed_ele_kWh/1000)</f>
        <v>171.053</v>
      </c>
      <c r="C32" s="39">
        <f>IF(ISERROR(B32*3.6/1000000/'E Balans VL '!Z20*100),0,B32*3.6/1000000/'E Balans VL '!Z20*100)</f>
        <v>3.2454839897378504E-2</v>
      </c>
      <c r="D32" s="235" t="s">
        <v>672</v>
      </c>
    </row>
    <row r="33" spans="1:5">
      <c r="A33" s="170" t="s">
        <v>39</v>
      </c>
      <c r="B33" s="37">
        <f>IF( ISERROR(IND_textiel_ele_kWh/1000),0,IND_textiel_ele_kWh/1000)</f>
        <v>0</v>
      </c>
      <c r="C33" s="39">
        <f>IF(ISERROR(B33*3.6/1000000/'E Balans VL '!Z21*100),0,B33*3.6/1000000/'E Balans VL '!Z21*100)</f>
        <v>0</v>
      </c>
      <c r="D33" s="235" t="s">
        <v>672</v>
      </c>
    </row>
    <row r="34" spans="1:5">
      <c r="A34" s="170" t="s">
        <v>36</v>
      </c>
      <c r="B34" s="37">
        <f>IF( ISERROR(IND_min_ele_kWh/1000),0,IND_min_ele_kWh/1000)</f>
        <v>40.411999999999999</v>
      </c>
      <c r="C34" s="39">
        <f>IF(ISERROR(B34*3.6/1000000/'E Balans VL '!Z22*100),0,B34*3.6/1000000/'E Balans VL '!Z22*100)</f>
        <v>5.6823330046552184E-3</v>
      </c>
      <c r="D34" s="235" t="s">
        <v>672</v>
      </c>
    </row>
    <row r="35" spans="1:5">
      <c r="A35" s="170" t="s">
        <v>38</v>
      </c>
      <c r="B35" s="37">
        <f>IF( ISERROR(IND_papier_ele_kWh/1000),0,IND_papier_ele_kWh/1000)</f>
        <v>0</v>
      </c>
      <c r="C35" s="39">
        <f>IF(ISERROR(B35*3.6/1000000/'E Balans VL '!Z22*100),0,B35*3.6/1000000/'E Balans VL '!Z22*100)</f>
        <v>0</v>
      </c>
      <c r="D35" s="235" t="s">
        <v>672</v>
      </c>
    </row>
    <row r="36" spans="1:5">
      <c r="A36" s="170" t="s">
        <v>33</v>
      </c>
      <c r="B36" s="37">
        <f>IF( ISERROR(IND_chemie_ele_kWh/1000),0,IND_chemie_ele_kWh/1000)</f>
        <v>0</v>
      </c>
      <c r="C36" s="39">
        <f>IF(ISERROR(B36*3.6/1000000/'E Balans VL '!Z24*100),0,B36*3.6/1000000/'E Balans VL '!Z24*100)</f>
        <v>0</v>
      </c>
      <c r="D36" s="235" t="s">
        <v>672</v>
      </c>
    </row>
    <row r="37" spans="1:5">
      <c r="A37" s="170" t="s">
        <v>259</v>
      </c>
      <c r="B37" s="37">
        <f>IF( ISERROR(IND_rest_ele_kWh/1000),0,IND_rest_ele_kWh/1000)</f>
        <v>20.81</v>
      </c>
      <c r="C37" s="39">
        <f>IF(ISERROR(B37*3.6/1000000/'E Balans VL '!Z15*100),0,B37*3.6/1000000/'E Balans VL '!Z15*100)</f>
        <v>1.6036660994863506E-4</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146.227</v>
      </c>
      <c r="C5" s="17">
        <f>'Eigen informatie GS &amp; warmtenet'!B60</f>
        <v>0</v>
      </c>
      <c r="D5" s="30">
        <f>IF(ISERROR(SUM(LB_lb_gas_kWh,LB_rest_gas_kWh)/1000),0,SUM(LB_lb_gas_kWh,LB_rest_gas_kWh)/1000)*0.902</f>
        <v>19.757408000000002</v>
      </c>
      <c r="E5" s="17">
        <f>B17*'E Balans VL '!I25/3.6*1000000/100</f>
        <v>1.8426485786772617</v>
      </c>
      <c r="F5" s="17">
        <f>B17*('E Balans VL '!L25/3.6*1000000+'E Balans VL '!N25/3.6*1000000)/100</f>
        <v>504.51978205235508</v>
      </c>
      <c r="G5" s="18"/>
      <c r="H5" s="17"/>
      <c r="I5" s="17"/>
      <c r="J5" s="17">
        <f>('E Balans VL '!D25+'E Balans VL '!E25)/3.6*1000000*landbouw!B17/100</f>
        <v>21.990878550130265</v>
      </c>
      <c r="K5" s="17"/>
      <c r="L5" s="17">
        <f>L6*(-1)</f>
        <v>0</v>
      </c>
      <c r="M5" s="17"/>
      <c r="N5" s="17">
        <f>N6*(-1)</f>
        <v>0</v>
      </c>
      <c r="O5" s="17"/>
      <c r="P5" s="17"/>
      <c r="R5" s="32"/>
    </row>
    <row r="6" spans="1:18">
      <c r="A6" s="16" t="s">
        <v>484</v>
      </c>
      <c r="B6" s="17" t="s">
        <v>204</v>
      </c>
      <c r="C6" s="17">
        <f>'lokale energieproductie'!O39+'lokale energieproductie'!O32</f>
        <v>0</v>
      </c>
      <c r="D6" s="305">
        <f>('lokale energieproductie'!P32+'lokale energieproductie'!P39)*(-1)</f>
        <v>0</v>
      </c>
      <c r="E6" s="246"/>
      <c r="F6" s="305">
        <f>('lokale energieproductie'!S32+'lokale energieproductie'!S39)*(-1)</f>
        <v>0</v>
      </c>
      <c r="G6" s="247"/>
      <c r="H6" s="246"/>
      <c r="I6" s="246"/>
      <c r="J6" s="246"/>
      <c r="K6" s="246"/>
      <c r="L6" s="305">
        <f>('lokale energieproductie'!T32+'lokale energieproductie'!U32+'lokale energieproductie'!T39+'lokale energieproductie'!U39)*(-1)</f>
        <v>0</v>
      </c>
      <c r="M6" s="246"/>
      <c r="N6" s="1016">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146.227</v>
      </c>
      <c r="C8" s="21">
        <f>C5+C6</f>
        <v>0</v>
      </c>
      <c r="D8" s="21">
        <f>MAX((D5+D6),0)</f>
        <v>19.757408000000002</v>
      </c>
      <c r="E8" s="21">
        <f>MAX((E5+E6),0)</f>
        <v>1.8426485786772617</v>
      </c>
      <c r="F8" s="21">
        <f>MAX((F5+F6),0)</f>
        <v>504.51978205235508</v>
      </c>
      <c r="G8" s="21"/>
      <c r="H8" s="21"/>
      <c r="I8" s="21"/>
      <c r="J8" s="21">
        <f>MAX((J5+J6),0)</f>
        <v>21.990878550130265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0.19665105984843059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28.755694528456463</v>
      </c>
      <c r="C12" s="23">
        <f ca="1">C8*C10</f>
        <v>0</v>
      </c>
      <c r="D12" s="23">
        <f>D8*D10</f>
        <v>3.9909964160000007</v>
      </c>
      <c r="E12" s="23">
        <f>E8*E10</f>
        <v>0.41828122735973844</v>
      </c>
      <c r="F12" s="23">
        <f>F8*F10</f>
        <v>134.70678180797881</v>
      </c>
      <c r="G12" s="23"/>
      <c r="H12" s="23"/>
      <c r="I12" s="23"/>
      <c r="J12" s="23">
        <f>J8*J10</f>
        <v>7.7847710067461131</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2.039405769248423E-2</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4.9187653302207108</v>
      </c>
      <c r="C26" s="245">
        <f>B26*'GWP N2O_CH4'!B5</f>
        <v>103.29407193463493</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0.31449696223550977</v>
      </c>
      <c r="C27" s="245">
        <f>B27*'GWP N2O_CH4'!B5</f>
        <v>6.6044362069457048</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8.6810830281327592E-2</v>
      </c>
      <c r="C28" s="245">
        <f>B28*'GWP N2O_CH4'!B4</f>
        <v>26.911357387211552</v>
      </c>
      <c r="D28" s="50"/>
    </row>
    <row r="29" spans="1:4">
      <c r="A29" s="41" t="s">
        <v>266</v>
      </c>
      <c r="B29" s="245">
        <f>B34*'ha_N2O bodem landbouw'!B4</f>
        <v>1.7989004950149035</v>
      </c>
      <c r="C29" s="245">
        <f>B29*'GWP N2O_CH4'!B4</f>
        <v>557.65915345462008</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4.4916747848978592E-4</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1.8006717774156765E-5</v>
      </c>
      <c r="C5" s="434" t="s">
        <v>204</v>
      </c>
      <c r="D5" s="419">
        <f>SUM(D6:D11)</f>
        <v>1.9278713549776565E-5</v>
      </c>
      <c r="E5" s="419">
        <f>SUM(E6:E11)</f>
        <v>6.773806363641042E-4</v>
      </c>
      <c r="F5" s="432" t="s">
        <v>204</v>
      </c>
      <c r="G5" s="419">
        <f>SUM(G6:G11)</f>
        <v>0.17146981628263339</v>
      </c>
      <c r="H5" s="419">
        <f>SUM(H6:H11)</f>
        <v>3.2686209073527567E-2</v>
      </c>
      <c r="I5" s="434" t="s">
        <v>204</v>
      </c>
      <c r="J5" s="434" t="s">
        <v>204</v>
      </c>
      <c r="K5" s="434" t="s">
        <v>204</v>
      </c>
      <c r="L5" s="434" t="s">
        <v>204</v>
      </c>
      <c r="M5" s="419">
        <f>SUM(M6:M11)</f>
        <v>9.2320347132212894E-3</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1.0980942184384739E-5</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9.7827163909945377E-6</v>
      </c>
      <c r="E6" s="873">
        <f>vkm_GW_PW*SUMIFS(TableVerdeelsleutelVkm[LPG],TableVerdeelsleutelVkm[Voertuigtype],"Lichte voertuigen")*SUMIFS(TableECFTransport[EnergieConsumptieFactor (PJ per km)],TableECFTransport[Index],CONCATENATE($A6,"_LPG_LPG"))</f>
        <v>3.5210278815624244E-4</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6.9014047246230156E-2</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1.6919371931867912E-2</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3.8873327579719199E-3</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2.4242811665695958E-7</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3.7936603241577396E-2</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8.6475469257525579E-7</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1.7128960902065044E-3</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6.7603160641785903E-6</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9.4959971587820252E-6</v>
      </c>
      <c r="E8" s="422">
        <f>vkm_NGW_PW*SUMIFS(TableVerdeelsleutelVkm[LPG],TableVerdeelsleutelVkm[Voertuigtype],"Lichte voertuigen")*SUMIFS(TableECFTransport[EnergieConsumptieFactor (PJ per km)],TableECFTransport[Index],CONCATENATE($A8,"_LPG_LPG"))</f>
        <v>3.252778482078617E-4</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5.9889645289002813E-2</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1.5765873224598305E-2</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3.42277617112662E-3</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2.3031408936474641E-8</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4.6295205058230239E-3</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9.9162368771675903E-8</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2.0902969391624546E-4</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5.0018660483768791</v>
      </c>
      <c r="C14" s="21"/>
      <c r="D14" s="21">
        <f t="shared" ref="D14:M14" si="0">((D5)*10^9/3600)+D12</f>
        <v>5.3551982082712675</v>
      </c>
      <c r="E14" s="21">
        <f t="shared" si="0"/>
        <v>188.16128787891785</v>
      </c>
      <c r="F14" s="21"/>
      <c r="G14" s="21">
        <f t="shared" si="0"/>
        <v>47630.504522953721</v>
      </c>
      <c r="H14" s="21">
        <f t="shared" si="0"/>
        <v>9079.5025204243248</v>
      </c>
      <c r="I14" s="21"/>
      <c r="J14" s="21"/>
      <c r="K14" s="21"/>
      <c r="L14" s="21"/>
      <c r="M14" s="21">
        <f t="shared" si="0"/>
        <v>2564.4540870059136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0.19665105984843059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0.98362225963319472</v>
      </c>
      <c r="C18" s="23"/>
      <c r="D18" s="23">
        <f t="shared" ref="D18:M18" si="1">D14*D16</f>
        <v>1.0817500380707961</v>
      </c>
      <c r="E18" s="23">
        <f t="shared" si="1"/>
        <v>42.712612348514355</v>
      </c>
      <c r="F18" s="23"/>
      <c r="G18" s="23">
        <f t="shared" si="1"/>
        <v>12717.344707628645</v>
      </c>
      <c r="H18" s="23">
        <f t="shared" si="1"/>
        <v>2260.7961275856569</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5.3260733858755212E-6</v>
      </c>
      <c r="C50" s="316">
        <f t="shared" ref="C50:P50" si="2">SUM(C51:C52)</f>
        <v>0</v>
      </c>
      <c r="D50" s="316">
        <f t="shared" si="2"/>
        <v>0</v>
      </c>
      <c r="E50" s="316">
        <f t="shared" si="2"/>
        <v>0</v>
      </c>
      <c r="F50" s="316">
        <f t="shared" si="2"/>
        <v>0</v>
      </c>
      <c r="G50" s="316">
        <f t="shared" si="2"/>
        <v>1.0366900224436251E-3</v>
      </c>
      <c r="H50" s="316">
        <f t="shared" si="2"/>
        <v>0</v>
      </c>
      <c r="I50" s="316">
        <f t="shared" si="2"/>
        <v>0</v>
      </c>
      <c r="J50" s="316">
        <f t="shared" si="2"/>
        <v>0</v>
      </c>
      <c r="K50" s="316">
        <f t="shared" si="2"/>
        <v>0</v>
      </c>
      <c r="L50" s="316">
        <f t="shared" si="2"/>
        <v>0</v>
      </c>
      <c r="M50" s="316">
        <f t="shared" si="2"/>
        <v>4.6486051685146921E-5</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5.3260733858755212E-6</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1.0366900224436251E-3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4.6486051685146921E-5</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1.4794648294098669</v>
      </c>
      <c r="C54" s="21">
        <f t="shared" ref="C54:P54" si="3">(C50)*10^9/3600</f>
        <v>0</v>
      </c>
      <c r="D54" s="21">
        <f t="shared" si="3"/>
        <v>0</v>
      </c>
      <c r="E54" s="21">
        <f t="shared" si="3"/>
        <v>0</v>
      </c>
      <c r="F54" s="21">
        <f t="shared" si="3"/>
        <v>0</v>
      </c>
      <c r="G54" s="21">
        <f t="shared" si="3"/>
        <v>287.96945067878477</v>
      </c>
      <c r="H54" s="21">
        <f t="shared" si="3"/>
        <v>0</v>
      </c>
      <c r="I54" s="21">
        <f t="shared" si="3"/>
        <v>0</v>
      </c>
      <c r="J54" s="21">
        <f t="shared" si="3"/>
        <v>0</v>
      </c>
      <c r="K54" s="21">
        <f t="shared" si="3"/>
        <v>0</v>
      </c>
      <c r="L54" s="21">
        <f t="shared" si="3"/>
        <v>0</v>
      </c>
      <c r="M54" s="21">
        <f t="shared" si="3"/>
        <v>12.912792134763034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0.19665105984843059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0.29093832671192787</v>
      </c>
      <c r="C58" s="23">
        <f t="shared" ref="C58:P58" ca="1" si="4">C54*C56</f>
        <v>0</v>
      </c>
      <c r="D58" s="23">
        <f t="shared" si="4"/>
        <v>0</v>
      </c>
      <c r="E58" s="23">
        <f t="shared" si="4"/>
        <v>0</v>
      </c>
      <c r="F58" s="23">
        <f t="shared" si="4"/>
        <v>0</v>
      </c>
      <c r="G58" s="23">
        <f t="shared" si="4"/>
        <v>76.887843331235544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0</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0</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3040.6414958751202</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N29</f>
        <v>0</v>
      </c>
      <c r="C8" s="546">
        <f>B48</f>
        <v>0</v>
      </c>
      <c r="D8" s="1001"/>
      <c r="E8" s="1001">
        <f>E48</f>
        <v>0</v>
      </c>
      <c r="F8" s="1002"/>
      <c r="G8" s="547"/>
      <c r="H8" s="1001">
        <f>I48</f>
        <v>0</v>
      </c>
      <c r="I8" s="1001">
        <f>G48+F48</f>
        <v>0</v>
      </c>
      <c r="J8" s="1001">
        <f>H48+D48+C48</f>
        <v>0</v>
      </c>
      <c r="K8" s="1001"/>
      <c r="L8" s="1001"/>
      <c r="M8" s="1001"/>
      <c r="N8" s="548"/>
      <c r="O8" s="549">
        <f>C8*$C$12+D8*$D$12+E8*$E$12+F8*$F$12+G8*$G$12+H8*$H$12+I8*$I$12+J8*$J$12</f>
        <v>0</v>
      </c>
      <c r="P8" s="1244"/>
      <c r="Q8" s="1245"/>
      <c r="S8" s="1013"/>
      <c r="T8" s="1265"/>
      <c r="U8" s="1265"/>
    </row>
    <row r="9" spans="1:21" s="534" customFormat="1" ht="17.45" customHeight="1" thickBot="1">
      <c r="A9" s="550" t="s">
        <v>237</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3040.6414958751202</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1004"/>
      <c r="N10" s="1004"/>
      <c r="O10" s="560">
        <f>SUM(O4:O9)</f>
        <v>0</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O29</f>
        <v>0</v>
      </c>
      <c r="C17" s="571">
        <f>B49</f>
        <v>0</v>
      </c>
      <c r="D17" s="572"/>
      <c r="E17" s="572">
        <f>E49</f>
        <v>0</v>
      </c>
      <c r="F17" s="1007"/>
      <c r="G17" s="573"/>
      <c r="H17" s="571">
        <f>I49</f>
        <v>0</v>
      </c>
      <c r="I17" s="572">
        <f>G49+F49</f>
        <v>0</v>
      </c>
      <c r="J17" s="572">
        <f>H49+D49+C49</f>
        <v>0</v>
      </c>
      <c r="K17" s="572"/>
      <c r="L17" s="572"/>
      <c r="M17" s="572"/>
      <c r="N17" s="1008"/>
      <c r="O17" s="574">
        <f>C17*$C$22+E17*$E$22+H17*$H$22+I17*$I$22+J17*$J$22+D17*$D$22+F17*$F$22+G17*$G$22+K17*$K$22+L17*$L$22</f>
        <v>0</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78">
        <f>SUM(O17:O19)</f>
        <v>0</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12.75" hidden="1">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6" customFormat="1" hidden="1">
      <c r="A29" s="585" t="s">
        <v>269</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6" customFormat="1">
      <c r="A30" s="585" t="s">
        <v>276</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6" customFormat="1">
      <c r="A31" s="585" t="s">
        <v>277</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6" customFormat="1" ht="15.75" thickBot="1">
      <c r="A32" s="590" t="s">
        <v>278</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270</v>
      </c>
      <c r="B34" s="626" t="s">
        <v>89</v>
      </c>
      <c r="C34" s="626" t="s">
        <v>90</v>
      </c>
      <c r="D34" s="626"/>
      <c r="E34" s="626"/>
      <c r="F34" s="626"/>
      <c r="G34" s="626" t="s">
        <v>91</v>
      </c>
      <c r="H34" s="626" t="s">
        <v>92</v>
      </c>
      <c r="I34" s="626"/>
      <c r="J34" s="626"/>
      <c r="K34" s="626"/>
      <c r="L34" s="626" t="s">
        <v>93</v>
      </c>
      <c r="M34" s="627" t="s">
        <v>287</v>
      </c>
      <c r="N34" s="627" t="s">
        <v>94</v>
      </c>
      <c r="O34" s="627" t="s">
        <v>95</v>
      </c>
      <c r="P34" s="627" t="s">
        <v>530</v>
      </c>
      <c r="Q34" s="627" t="s">
        <v>96</v>
      </c>
      <c r="R34" s="627" t="s">
        <v>97</v>
      </c>
      <c r="S34" s="627" t="s">
        <v>98</v>
      </c>
      <c r="T34" s="627" t="s">
        <v>99</v>
      </c>
      <c r="U34" s="627" t="s">
        <v>100</v>
      </c>
      <c r="V34" s="627" t="s">
        <v>101</v>
      </c>
      <c r="W34" s="626" t="s">
        <v>102</v>
      </c>
      <c r="X34" s="626" t="s">
        <v>288</v>
      </c>
      <c r="Y34" s="626" t="s">
        <v>103</v>
      </c>
      <c r="Z34" s="628" t="s">
        <v>289</v>
      </c>
    </row>
    <row r="35" spans="1:27" s="598" customFormat="1" ht="12.75" hidden="1">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6" customFormat="1" hidden="1">
      <c r="A36" s="585" t="s">
        <v>269</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6" customFormat="1">
      <c r="A37" s="585" t="s">
        <v>276</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6" customFormat="1">
      <c r="A38" s="585" t="s">
        <v>277</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6" customFormat="1" ht="15.75" thickBot="1">
      <c r="A39" s="590" t="s">
        <v>278</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271</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272</v>
      </c>
      <c r="C44" s="609" t="s">
        <v>273</v>
      </c>
      <c r="D44" s="609"/>
      <c r="E44" s="609"/>
      <c r="F44" s="609"/>
      <c r="G44" s="609"/>
      <c r="H44" s="609"/>
      <c r="I44" s="610"/>
      <c r="J44" s="609"/>
      <c r="K44" s="609"/>
      <c r="L44" s="609"/>
      <c r="M44" s="609"/>
      <c r="N44" s="609"/>
      <c r="O44" s="609"/>
      <c r="P44" s="604"/>
    </row>
    <row r="45" spans="1:27">
      <c r="A45" s="606" t="s">
        <v>269</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530</v>
      </c>
      <c r="C47" s="619" t="s">
        <v>96</v>
      </c>
      <c r="D47" s="619" t="s">
        <v>97</v>
      </c>
      <c r="E47" s="619" t="s">
        <v>98</v>
      </c>
      <c r="F47" s="619" t="s">
        <v>99</v>
      </c>
      <c r="G47" s="619" t="s">
        <v>100</v>
      </c>
      <c r="H47" s="619" t="s">
        <v>101</v>
      </c>
      <c r="I47" s="620" t="s">
        <v>102</v>
      </c>
      <c r="J47" s="609"/>
      <c r="K47" s="609"/>
      <c r="L47" s="617"/>
      <c r="M47" s="617"/>
      <c r="N47" s="617"/>
      <c r="O47" s="604"/>
      <c r="P47" s="604"/>
    </row>
    <row r="48" spans="1:27">
      <c r="A48" s="608" t="s">
        <v>274</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275</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4"/>
      <c r="K50" s="564"/>
      <c r="L50" s="564"/>
      <c r="M50" s="564"/>
      <c r="N50" s="564"/>
    </row>
    <row r="51" spans="1:16">
      <c r="J51" s="564"/>
      <c r="K51" s="564"/>
      <c r="L51" s="564"/>
      <c r="M51" s="564"/>
      <c r="N51"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2021-11-11T13:21:32Z</dcterms:modified>
</cp:coreProperties>
</file>