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CE922F7-3358-498E-9B50-03AAFD187B2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<sst xmlns="http://schemas.openxmlformats.org/spreadsheetml/2006/main" count="2511" uniqueCount="926">
  <si>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</si>
  <si>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</si>
  <si>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</si>
  <si>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</si>
  <si>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</si>
  <si>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</si>
  <si>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</si>
  <si>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</si>
  <si>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</si>
  <si>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</si>
  <si>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</si>
  <si>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</si>
  <si>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</si>
  <si>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</si>
  <si>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</si>
  <si>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</si>
  <si>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</si>
  <si>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</si>
  <si>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</si>
  <si>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</si>
  <si>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</si>
  <si>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</si>
  <si>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</si>
  <si>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</si>
  <si>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</si>
  <si>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</si>
  <si>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</si>
  <si>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</si>
  <si>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</si>
  <si>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</si>
  <si>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</si>
  <si>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</si>
  <si>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</si>
  <si>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</si>
  <si>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</si>
  <si>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</si>
  <si>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</si>
  <si>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</si>
  <si>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</si>
  <si>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</si>
  <si>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</si>
  <si>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</si>
  <si>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</si>
  <si>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</si>
  <si>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</si>
  <si>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</si>
  <si>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</si>
  <si>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</si>
  <si>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</si>
  <si>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</si>
  <si>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</si>
  <si>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</si>
  <si>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</si>
  <si>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</si>
  <si>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</si>
  <si>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</si>
  <si>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</si>
  <si>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</si>
  <si>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</si>
  <si>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</si>
  <si>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</si>
  <si>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</si>
  <si>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</si>
  <si>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</si>
  <si>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</si>
  <si>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</si>
  <si>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</si>
  <si>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</si>
  <si>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</si>
  <si>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</si>
  <si>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</si>
  <si>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</si>
  <si>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</si>
  <si>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</si>
  <si>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</si>
  <si>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</si>
  <si>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</si>
  <si>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</si>
  <si>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</si>
  <si>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</si>
  <si>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</si>
  <si>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</si>
  <si>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</si>
  <si>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</si>
  <si>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</si>
  <si>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</si>
  <si>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</si>
  <si>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</si>
  <si>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</si>
  <si>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</si>
  <si>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</si>
  <si>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</si>
  <si>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</si>
  <si>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</si>
  <si>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</si>
  <si>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</si>
  <si>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</si>
  <si>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</si>
  <si>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</si>
  <si>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</si>
  <si>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</si>
  <si>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</si>
  <si>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</si>
  <si>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</si>
  <si>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</si>
  <si>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</si>
  <si>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</si>
  <si>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</si>
  <si>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</si>
  <si>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</si>
  <si>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</si>
  <si>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</si>
  <si>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</si>
  <si>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</si>
  <si>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</si>
  <si>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</si>
  <si>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</si>
  <si>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</si>
  <si>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</si>
  <si>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</si>
  <si>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</si>
  <si>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</si>
  <si>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</si>
  <si>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</si>
  <si>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</si>
  <si>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</si>
  <si>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</si>
  <si>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</si>
  <si>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</si>
  <si>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</si>
  <si>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</si>
  <si>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</si>
  <si>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</si>
  <si>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</si>
  <si>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</si>
  <si>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</si>
  <si>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</si>
  <si>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</si>
  <si>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</si>
  <si>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</si>
  <si>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</si>
  <si>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</si>
  <si>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</si>
  <si>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</si>
  <si>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</si>
  <si>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</si>
  <si>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</si>
  <si>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</si>
  <si>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</si>
  <si>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</si>
  <si>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</si>
  <si>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</si>
  <si>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</si>
  <si>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</si>
  <si>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</si>
  <si>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</si>
  <si>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</si>
  <si>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</si>
  <si>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</si>
  <si>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</si>
  <si>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</si>
  <si>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</si>
  <si>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</si>
  <si>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</si>
  <si>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</si>
  <si>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</si>
  <si>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</si>
  <si>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</si>
  <si>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</si>
  <si>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</si>
  <si>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</si>
  <si>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</si>
  <si>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</si>
  <si>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</si>
  <si>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</si>
  <si>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</si>
  <si>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</si>
  <si>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</si>
  <si>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</si>
  <si>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</si>
  <si>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</si>
  <si>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</si>
  <si>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</si>
  <si>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</si>
  <si>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</si>
  <si>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</si>
  <si>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</si>
  <si>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</si>
  <si>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</si>
  <si>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</si>
  <si>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</si>
  <si>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</si>
  <si>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</si>
  <si>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</si>
  <si>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</si>
  <si>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</si>
  <si>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</si>
  <si>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</si>
  <si>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</si>
  <si>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</si>
  <si>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</si>
  <si>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</si>
  <si>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</si>
  <si>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</si>
  <si>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</si>
  <si>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</si>
  <si>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</si>
  <si>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</si>
  <si>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</si>
  <si>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</si>
  <si>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</si>
  <si>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</si>
  <si>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</si>
  <si>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</si>
  <si>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</si>
  <si>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</si>
  <si>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</si>
  <si>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</si>
  <si>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</si>
  <si>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</si>
  <si>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</si>
  <si>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</si>
  <si>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</si>
  <si>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</si>
  <si>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</si>
  <si>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</si>
  <si>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</si>
  <si>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</si>
  <si>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</si>
  <si>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</si>
  <si>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</si>
  <si>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</si>
  <si>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</si>
  <si>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</si>
  <si>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</si>
  <si>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</si>
  <si>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</si>
  <si>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</si>
  <si>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</si>
  <si>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</si>
  <si>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</si>
  <si>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</si>
  <si>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</si>
  <si>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</si>
  <si>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</si>
  <si>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</si>
  <si>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</si>
  <si>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</si>
  <si>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</si>
  <si>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</si>
  <si>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</si>
  <si>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</si>
  <si>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</si>
  <si>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</si>
  <si>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</si>
  <si>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</si>
  <si>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</si>
  <si>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</si>
  <si>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</si>
  <si>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</si>
  <si>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</si>
  <si>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</si>
  <si>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</si>
  <si>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</si>
  <si>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</si>
  <si>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</si>
  <si>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</si>
  <si>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</si>
  <si>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</si>
  <si>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</si>
  <si>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</si>
  <si>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</si>
  <si>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</si>
  <si>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</si>
  <si>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</si>
  <si>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</si>
  <si>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</si>
  <si>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</si>
  <si>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</si>
  <si>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</si>
  <si>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</si>
  <si>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</si>
  <si>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</si>
  <si>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</si>
  <si>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</si>
  <si>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</si>
  <si>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</si>
  <si>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</si>
  <si>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</si>
  <si>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</si>
  <si>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</si>
  <si>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</si>
  <si>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</si>
  <si>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</si>
  <si>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</si>
  <si>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</si>
  <si>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</si>
  <si>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</si>
  <si>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</si>
  <si>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</si>
  <si>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</si>
  <si>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</si>
  <si>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</si>
  <si>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</si>
  <si>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</si>
  <si>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</si>
  <si>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</si>
  <si>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</si>
  <si>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</si>
  <si>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</si>
  <si>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</si>
  <si>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</si>
  <si>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</si>
  <si>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</si>
  <si>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</si>
  <si>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</si>
  <si>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</si>
  <si>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</si>
  <si>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</si>
  <si>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</si>
  <si>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</si>
  <si>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</si>
  <si>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</si>
  <si>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</si>
  <si>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</si>
  <si>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</si>
  <si>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</si>
  <si>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</si>
  <si>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</si>
  <si>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</si>
  <si>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</si>
  <si>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</si>
  <si>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</si>
  <si>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</si>
  <si>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</si>
  <si>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</si>
  <si>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</si>
  <si>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</si>
  <si>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</si>
  <si>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</si>
  <si>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</si>
  <si>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</si>
  <si>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</si>
  <si>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</si>
  <si>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</si>
  <si>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</si>
  <si>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</si>
  <si>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</si>
  <si>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</si>
  <si>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</si>
  <si>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</si>
  <si>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</si>
  <si>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</si>
  <si>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</si>
  <si>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</si>
  <si>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</si>
  <si>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</si>
  <si>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</si>
  <si>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</si>
  <si>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</si>
  <si>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</si>
  <si>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</si>
  <si>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</si>
  <si>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</si>
  <si>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</si>
  <si>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</si>
  <si>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</si>
  <si>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</si>
  <si>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</si>
  <si>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</si>
  <si>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</si>
  <si>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</si>
  <si>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</si>
  <si>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</si>
  <si>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</si>
  <si>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</si>
  <si>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</si>
  <si>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</si>
  <si>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</si>
  <si>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</si>
  <si>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</si>
  <si>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</si>
  <si>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</si>
  <si>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</si>
  <si>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</si>
  <si>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</si>
  <si>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</si>
  <si>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</si>
  <si>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</si>
  <si>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</si>
  <si>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</si>
  <si>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</si>
  <si>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</si>
  <si>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</si>
  <si>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</si>
  <si>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</si>
  <si>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</si>
  <si>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</si>
  <si>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</si>
  <si>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</si>
  <si>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</si>
  <si>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</si>
  <si>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</si>
  <si>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</si>
  <si>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</si>
  <si>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</si>
  <si>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</si>
  <si>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</si>
  <si>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</si>
  <si>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</si>
  <si>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</si>
  <si>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</si>
  <si>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</si>
  <si>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</si>
  <si>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</si>
  <si>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</si>
  <si>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</si>
  <si>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</si>
  <si>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</si>
  <si>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</si>
  <si>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</si>
  <si>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</si>
  <si>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</si>
  <si>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</si>
  <si>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</si>
  <si>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</si>
  <si>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</si>
  <si>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</si>
  <si>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</si>
  <si>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</si>
  <si>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</si>
  <si>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</si>
  <si>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</si>
  <si>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</si>
  <si>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</si>
  <si>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</si>
  <si>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</si>
  <si>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</si>
  <si>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</si>
  <si>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</si>
  <si>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</si>
  <si>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</si>
  <si>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</si>
  <si>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</si>
  <si>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</si>
  <si>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</si>
  <si>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</si>
  <si>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</si>
  <si>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</si>
  <si>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</si>
  <si>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</si>
  <si>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</si>
  <si>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</si>
  <si>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</si>
  <si>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</si>
  <si>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</si>
  <si>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</si>
  <si>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</si>
  <si>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</si>
  <si>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</si>
  <si>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</si>
  <si>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</si>
  <si>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</si>
  <si>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</si>
  <si>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</si>
  <si>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</si>
  <si>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</si>
  <si>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</si>
  <si>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</si>
  <si>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</si>
  <si>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</si>
  <si>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</si>
  <si>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</si>
  <si>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</si>
  <si>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</si>
  <si>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</si>
  <si>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</si>
  <si>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</si>
  <si>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</si>
  <si>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</si>
  <si>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</si>
  <si>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</si>
  <si>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</si>
  <si>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</si>
  <si>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</si>
  <si>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</si>
  <si>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</si>
  <si>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</si>
  <si>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</si>
  <si>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</si>
  <si>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</si>
  <si>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</si>
  <si>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</si>
  <si>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</si>
  <si>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</si>
  <si>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</si>
  <si>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</si>
  <si>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</si>
  <si>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</si>
  <si>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</si>
  <si>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</si>
  <si>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</si>
  <si>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</si>
  <si>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</si>
  <si>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</si>
  <si>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</si>
  <si>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</si>
  <si>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</si>
  <si>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</si>
  <si>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</si>
  <si>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</si>
  <si>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</si>
  <si>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</si>
  <si>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</si>
  <si>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</si>
  <si>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</si>
  <si>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</si>
  <si>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</si>
  <si>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</si>
  <si>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</si>
  <si>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</si>
  <si>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</si>
  <si>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</si>
  <si>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</si>
  <si>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</si>
  <si>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</si>
  <si>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</si>
  <si>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</si>
  <si>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</si>
  <si>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</si>
  <si>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</si>
  <si>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</si>
  <si>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</si>
  <si>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</si>
  <si>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</si>
  <si>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</si>
  <si>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</si>
  <si>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</si>
  <si>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</si>
  <si>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</si>
  <si>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</si>
  <si>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</si>
  <si>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</si>
  <si>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</si>
  <si>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</si>
  <si>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</si>
  <si>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</si>
  <si>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</si>
  <si>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</si>
  <si>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</si>
  <si>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</si>
  <si>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</si>
  <si>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</si>
  <si>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</si>
  <si>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</si>
  <si>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</si>
  <si>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</si>
  <si>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</si>
  <si>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</si>
  <si>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</si>
  <si>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</si>
  <si>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</si>
  <si>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</si>
  <si>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</si>
  <si>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</si>
  <si>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</si>
  <si>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</si>
  <si>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</si>
  <si>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</si>
  <si>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</si>
  <si>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</si>
  <si>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</si>
  <si>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</si>
  <si>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</si>
  <si>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</si>
  <si>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</si>
  <si>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</si>
  <si>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</si>
  <si>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</si>
  <si>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</si>
  <si>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</si>
  <si>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</si>
  <si>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</si>
  <si>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</si>
  <si>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</si>
  <si>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</si>
  <si>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</si>
  <si>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</si>
  <si>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</si>
  <si>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</si>
  <si>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</si>
  <si>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</si>
  <si>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</si>
  <si>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</si>
  <si>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</si>
  <si>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</si>
  <si>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</si>
  <si>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</si>
  <si>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</si>
  <si>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</si>
  <si>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</si>
  <si>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</si>
  <si>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</si>
  <si>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</si>
  <si>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</si>
  <si>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</si>
  <si>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</si>
  <si>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</si>
  <si>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</si>
  <si>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</si>
  <si>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</si>
  <si>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</si>
  <si>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</si>
  <si>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</si>
  <si>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</si>
  <si>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</si>
  <si>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</si>
  <si>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</si>
  <si>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</si>
  <si>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</si>
  <si>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</si>
  <si>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</si>
  <si>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</si>
  <si>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</si>
  <si>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</si>
  <si>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</si>
  <si>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</si>
  <si>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</si>
  <si>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</si>
  <si>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</si>
  <si>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</si>
  <si>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</si>
  <si>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</si>
  <si>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</si>
  <si>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</si>
  <si>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</si>
  <si>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</si>
  <si>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</si>
  <si>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</si>
  <si>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</si>
  <si>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</si>
  <si>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</si>
  <si>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</si>
  <si>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</si>
  <si>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</si>
  <si>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</si>
  <si>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</si>
  <si>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</si>
  <si>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</si>
  <si>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</si>
  <si>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</si>
  <si>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</si>
  <si>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</si>
  <si>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</si>
  <si>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</si>
  <si>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</si>
  <si>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</si>
  <si>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</si>
  <si>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</si>
  <si>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</si>
  <si>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</si>
  <si>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</si>
  <si>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</si>
  <si>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</si>
  <si>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</si>
  <si>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</si>
  <si>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</si>
  <si>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</si>
  <si>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</si>
  <si>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</si>
  <si>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</si>
  <si>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</si>
  <si>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</si>
  <si>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</si>
  <si>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</si>
  <si>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</si>
  <si>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</si>
  <si>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</si>
  <si>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</si>
  <si>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</si>
  <si>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</si>
  <si>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</si>
  <si>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</si>
  <si>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</si>
  <si>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</si>
  <si>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</si>
  <si>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</si>
  <si>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</si>
  <si>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</si>
  <si>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</si>
  <si>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</si>
  <si>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</si>
  <si>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</si>
  <si>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</si>
  <si>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</si>
  <si>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</si>
  <si>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</si>
  <si>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</si>
  <si>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</si>
  <si>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</si>
  <si>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</si>
  <si>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</si>
  <si>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</si>
  <si>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</si>
  <si>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</si>
  <si>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</si>
  <si>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</si>
  <si>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</si>
  <si>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</si>
  <si>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</si>
  <si>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</si>
  <si>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</si>
  <si>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</si>
  <si>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</si>
  <si>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</si>
  <si>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</si>
  <si>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</si>
  <si>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</si>
  <si>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</si>
  <si>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</si>
  <si>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</si>
  <si>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</si>
  <si>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</si>
  <si>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</si>
  <si>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</si>
  <si>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</si>
  <si>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</si>
  <si>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</si>
  <si>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</si>
  <si>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</si>
  <si>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</si>
  <si>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</si>
  <si>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</si>
  <si>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</si>
  <si>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</si>
  <si>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</si>
  <si>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</si>
  <si>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</si>
  <si>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</si>
  <si>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</si>
  <si>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</si>
  <si>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</si>
  <si>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</si>
  <si>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</si>
  <si>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</si>
  <si>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</si>
  <si>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</si>
  <si>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</si>
  <si>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</si>
  <si>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</si>
  <si>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</si>
  <si>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</si>
  <si>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</si>
  <si>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</si>
  <si>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</si>
  <si>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</si>
  <si>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</si>
  <si>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</si>
  <si>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</si>
  <si>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</si>
  <si>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</si>
  <si>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</si>
  <si>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</si>
  <si>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</si>
  <si>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</si>
  <si>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</si>
  <si>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</si>
  <si>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</si>
  <si>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</si>
  <si>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</si>
  <si>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</si>
  <si>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</si>
  <si>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</si>
  <si>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</si>
  <si>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</si>
  <si>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</si>
  <si>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</si>
  <si>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</si>
  <si>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</si>
  <si>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</si>
  <si>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</si>
  <si>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</si>
  <si>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</si>
  <si>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</si>
  <si>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</si>
  <si>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</si>
  <si>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</si>
  <si>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</si>
  <si>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</si>
  <si>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</si>
  <si>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</si>
  <si>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</si>
  <si>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</si>
  <si>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</si>
  <si>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</si>
  <si>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</si>
  <si>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</si>
  <si>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</si>
  <si>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</si>
  <si>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</si>
  <si>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</si>
  <si>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</si>
  <si>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</si>
  <si>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</si>
  <si>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</si>
  <si>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</si>
  <si>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</si>
  <si>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</si>
  <si>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</si>
  <si>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</si>
  <si>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</si>
  <si>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</si>
  <si>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</si>
  <si>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</si>
  <si>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</si>
  <si>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</si>
  <si>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</si>
  <si>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</si>
  <si>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</si>
  <si>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</si>
  <si>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</si>
  <si>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</si>
  <si>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</si>
  <si>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</si>
  <si>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</si>
  <si>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</si>
  <si>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</si>
  <si>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</si>
  <si>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</si>
  <si>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</si>
  <si>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</si>
  <si>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</si>
  <si>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</si>
  <si>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</si>
  <si>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</si>
  <si>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</si>
  <si>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</si>
  <si>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</si>
  <si>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</si>
  <si>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</si>
  <si>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</si>
  <si>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</si>
  <si>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</si>
  <si>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</si>
  <si>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</si>
  <si>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</si>
  <si>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</si>
  <si>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</si>
  <si>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</si>
  <si>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</si>
  <si>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</si>
  <si>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</si>
  <si>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</si>
  <si>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</si>
  <si>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</si>
  <si>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</si>
  <si>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</si>
  <si>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</si>
  <si>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</si>
  <si>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</si>
  <si>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</si>
  <si>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</si>
  <si>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</si>
  <si>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</si>
  <si>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</si>
  <si>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</si>
  <si>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</si>
  <si>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</si>
  <si>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</si>
  <si>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</si>
  <si>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</si>
  <si>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</si>
  <si>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</si>
  <si>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</si>
  <si>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</si>
  <si>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</si>
  <si>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</si>
  <si>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</si>
  <si>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</si>
  <si>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</si>
  <si>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</si>
  <si>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</si>
  <si>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</si>
  <si>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</si>
  <si>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</si>
  <si>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</si>
  <si>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</si>
  <si>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</si>
  <si>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</si>
  <si>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</si>
  <si>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</si>
  <si>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</si>
  <si>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</si>
  <si>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</si>
  <si>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</si>
  <si>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</si>
  <si>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</si>
  <si>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</si>
  <si>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</si>
  <si>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</si>
  <si>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</si>
  <si>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</si>
  <si>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</si>
  <si>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</si>
  <si>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</si>
  <si>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</si>
  <si>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</si>
  <si>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</si>
  <si>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</si>
  <si>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</si>
  <si>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</si>
  <si>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</si>
  <si>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</si>
  <si>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</si>
  <si>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</si>
  <si>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</si>
  <si>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</si>
  <si>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</si>
  <si>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</si>
  <si>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23062</t>
  </si>
  <si>
    <t>OVERIJSE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</si>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</sst>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0C3F305-85EC-47FA-9BEE-F61EDB1CC57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282072.00860095746</c:v>
                </c:pt>
                <c:pt idx="1">
                  <c:v>80951.675101085653</c:v>
                </c:pt>
                <c:pt idx="2">
                  <c:v>2014.4190000000001</c:v>
                </c:pt>
                <c:pt idx="3">
                  <c:v>4928.3730297537004</c:v>
                </c:pt>
                <c:pt idx="4">
                  <c:v>9932.0270530972266</c:v>
                </c:pt>
                <c:pt idx="5">
                  <c:v>293033.55984511442</c:v>
                </c:pt>
                <c:pt idx="6">
                  <c:v>4356.2569332943858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282072.00860095746</c:v>
                </c:pt>
                <c:pt idx="1">
                  <c:v>80951.675101085653</c:v>
                </c:pt>
                <c:pt idx="2">
                  <c:v>2014.4190000000001</c:v>
                </c:pt>
                <c:pt idx="3">
                  <c:v>4928.3730297537004</c:v>
                </c:pt>
                <c:pt idx="4">
                  <c:v>9932.0270530972266</c:v>
                </c:pt>
                <c:pt idx="5">
                  <c:v>293033.55984511442</c:v>
                </c:pt>
                <c:pt idx="6">
                  <c:v>4356.2569332943858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59323.105262882666</c:v>
                </c:pt>
                <c:pt idx="2">
                  <c:v>16179.018379667901</c:v>
                </c:pt>
                <c:pt idx="3">
                  <c:v>429.21801367398166</c:v>
                </c:pt>
                <c:pt idx="4">
                  <c:v>1175.3968503847661</c:v>
                </c:pt>
                <c:pt idx="5">
                  <c:v>2100.388983281985</c:v>
                </c:pt>
                <c:pt idx="6">
                  <c:v>74038.503562486585</c:v>
                </c:pt>
                <c:pt idx="7">
                  <c:v>1112.2983880619292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59323.105262882666</c:v>
                </c:pt>
                <c:pt idx="2">
                  <c:v>16179.018379667901</c:v>
                </c:pt>
                <c:pt idx="3">
                  <c:v>429.21801367398166</c:v>
                </c:pt>
                <c:pt idx="4">
                  <c:v>1175.3968503847661</c:v>
                </c:pt>
                <c:pt idx="5">
                  <c:v>2100.388983281985</c:v>
                </c:pt>
                <c:pt idx="6">
                  <c:v>74038.503562486585</c:v>
                </c:pt>
                <c:pt idx="7">
                  <c:v>1112.2983880619292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23062</v>
      </c>
      <c r="B6" s="385"/>
      <c r="C6" s="386"/>
    </row>
    <row r="7" spans="1:7" s="383" customFormat="1" ht="15.75" customHeight="1">
      <c r="A7" s="387" t="str">
        <f>txtMunicipality</f>
        <v>OVERIJSE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30272.863263255909</v>
      </c>
      <c r="D10" s="676">
        <f ca="1">tertiair!C16</f>
        <v>0</v>
      </c>
      <c r="E10" s="676">
        <f ca="1">tertiair!D16</f>
        <v>41943.957789926957</v>
      </c>
      <c r="F10" s="676">
        <f>tertiair!E16</f>
        <v>389.27090360704989</v>
      </c>
      <c r="G10" s="676">
        <f ca="1">tertiair!F16</f>
        <v>5980.7750085832349</v>
      </c>
      <c r="H10" s="676">
        <f>tertiair!G16</f>
        <v>0</v>
      </c>
      <c r="I10" s="676">
        <f>tertiair!H16</f>
        <v>0</v>
      </c>
      <c r="J10" s="676">
        <f>tertiair!I16</f>
        <v>0</v>
      </c>
      <c r="K10" s="676">
        <f>tertiair!J16</f>
        <v>0</v>
      </c>
      <c r="L10" s="676">
        <f>tertiair!K16</f>
        <v>0</v>
      </c>
      <c r="M10" s="676">
        <f ca="1">tertiair!L16</f>
        <v>0</v>
      </c>
      <c r="N10" s="676">
        <f>tertiair!M16</f>
        <v>0</v>
      </c>
      <c r="O10" s="676">
        <f ca="1">tertiair!N16</f>
        <v>4379.2271357125064</v>
      </c>
      <c r="P10" s="676">
        <f>tertiair!O16</f>
        <v>0</v>
      </c>
      <c r="Q10" s="677">
        <f>tertiair!P16</f>
        <v>0</v>
      </c>
      <c r="R10" s="679">
        <f ca="1">SUM(C10:Q10)</f>
        <v>82966.094101085648</v>
      </c>
      <c r="S10" s="67"/>
    </row>
    <row r="11" spans="1:19" s="444" customFormat="1">
      <c r="A11" s="791" t="s">
        <v>214</v>
      </c>
      <c r="B11" s="796"/>
      <c r="C11" s="676">
        <f>huishoudens!B8</f>
        <v>45777.338455225457</v>
      </c>
      <c r="D11" s="676">
        <f>huishoudens!C8</f>
        <v>0</v>
      </c>
      <c r="E11" s="676">
        <f>huishoudens!D8</f>
        <v>143348.40768869498</v>
      </c>
      <c r="F11" s="676">
        <f>huishoudens!E8</f>
        <v>2392.7243933269588</v>
      </c>
      <c r="G11" s="676">
        <f>huishoudens!F8</f>
        <v>73326.170209735516</v>
      </c>
      <c r="H11" s="676">
        <f>huishoudens!G8</f>
        <v>0</v>
      </c>
      <c r="I11" s="676">
        <f>huishoudens!H8</f>
        <v>0</v>
      </c>
      <c r="J11" s="676">
        <f>huishoudens!I8</f>
        <v>0</v>
      </c>
      <c r="K11" s="676">
        <f>huishoudens!J8</f>
        <v>1388.6516585803656</v>
      </c>
      <c r="L11" s="676">
        <f>huishoudens!K8</f>
        <v>0</v>
      </c>
      <c r="M11" s="676">
        <f>huishoudens!L8</f>
        <v>0</v>
      </c>
      <c r="N11" s="676">
        <f>huishoudens!M8</f>
        <v>0</v>
      </c>
      <c r="O11" s="676">
        <f>huishoudens!N8</f>
        <v>15280.082862060892</v>
      </c>
      <c r="P11" s="676">
        <f>huishoudens!O8</f>
        <v>234.5</v>
      </c>
      <c r="Q11" s="677">
        <f>huishoudens!P8</f>
        <v>324.13333333333333</v>
      </c>
      <c r="R11" s="679">
        <f>SUM(C11:Q11)</f>
        <v>282072.00860095746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3264.959417428081</v>
      </c>
      <c r="D13" s="676">
        <f>industrie!C18</f>
        <v>0</v>
      </c>
      <c r="E13" s="676">
        <f>industrie!D18</f>
        <v>4025.9521877385323</v>
      </c>
      <c r="F13" s="676">
        <f>industrie!E18</f>
        <v>481.39457492085529</v>
      </c>
      <c r="G13" s="676">
        <f>industrie!F18</f>
        <v>1802.7584477977125</v>
      </c>
      <c r="H13" s="676">
        <f>industrie!G18</f>
        <v>0</v>
      </c>
      <c r="I13" s="676">
        <f>industrie!H18</f>
        <v>0</v>
      </c>
      <c r="J13" s="676">
        <f>industrie!I18</f>
        <v>0</v>
      </c>
      <c r="K13" s="676">
        <f>industrie!J18</f>
        <v>2.4274936338921962</v>
      </c>
      <c r="L13" s="676">
        <f>industrie!K18</f>
        <v>0</v>
      </c>
      <c r="M13" s="676">
        <f>industrie!L18</f>
        <v>0</v>
      </c>
      <c r="N13" s="676">
        <f>industrie!M18</f>
        <v>0</v>
      </c>
      <c r="O13" s="676">
        <f>industrie!N18</f>
        <v>354.53493157815365</v>
      </c>
      <c r="P13" s="676">
        <f>industrie!O18</f>
        <v>0</v>
      </c>
      <c r="Q13" s="677">
        <f>industrie!P18</f>
        <v>0</v>
      </c>
      <c r="R13" s="679">
        <f>SUM(C13:Q13)</f>
        <v>9932.0270530972266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79315.161135909453</v>
      </c>
      <c r="D16" s="711">
        <f t="shared" ref="D16:R16" ca="1" si="0">SUM(D9:D15)</f>
        <v>0</v>
      </c>
      <c r="E16" s="711">
        <f t="shared" ca="1" si="0"/>
        <v>189318.31766636047</v>
      </c>
      <c r="F16" s="711">
        <f t="shared" si="0"/>
        <v>3263.3898718548639</v>
      </c>
      <c r="G16" s="711">
        <f t="shared" ca="1" si="0"/>
        <v>81109.70366611646</v>
      </c>
      <c r="H16" s="711">
        <f t="shared" si="0"/>
        <v>0</v>
      </c>
      <c r="I16" s="711">
        <f t="shared" si="0"/>
        <v>0</v>
      </c>
      <c r="J16" s="711">
        <f t="shared" si="0"/>
        <v>0</v>
      </c>
      <c r="K16" s="711">
        <f t="shared" si="0"/>
        <v>1391.0791522142579</v>
      </c>
      <c r="L16" s="711">
        <f t="shared" si="0"/>
        <v>0</v>
      </c>
      <c r="M16" s="711">
        <f t="shared" ca="1" si="0"/>
        <v>0</v>
      </c>
      <c r="N16" s="711">
        <f t="shared" si="0"/>
        <v>0</v>
      </c>
      <c r="O16" s="711">
        <f t="shared" ca="1" si="0"/>
        <v>20013.844929351551</v>
      </c>
      <c r="P16" s="711">
        <f t="shared" si="0"/>
        <v>234.5</v>
      </c>
      <c r="Q16" s="711">
        <f t="shared" si="0"/>
        <v>324.13333333333333</v>
      </c>
      <c r="R16" s="711">
        <f t="shared" ca="1" si="0"/>
        <v>374970.12975514034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21.315294753833026</v>
      </c>
      <c r="D19" s="676">
        <f>transport!C54</f>
        <v>0</v>
      </c>
      <c r="E19" s="676">
        <f>transport!D54</f>
        <v>0</v>
      </c>
      <c r="F19" s="676">
        <f>transport!E54</f>
        <v>0</v>
      </c>
      <c r="G19" s="676">
        <f>transport!F54</f>
        <v>0</v>
      </c>
      <c r="H19" s="676">
        <f>transport!G54</f>
        <v>4148.9014130643991</v>
      </c>
      <c r="I19" s="676">
        <f>transport!H54</f>
        <v>0</v>
      </c>
      <c r="J19" s="676">
        <f>transport!I54</f>
        <v>0</v>
      </c>
      <c r="K19" s="676">
        <f>transport!J54</f>
        <v>0</v>
      </c>
      <c r="L19" s="676">
        <f>transport!K54</f>
        <v>0</v>
      </c>
      <c r="M19" s="676">
        <f>transport!L54</f>
        <v>0</v>
      </c>
      <c r="N19" s="676">
        <f>transport!M54</f>
        <v>186.04022547615367</v>
      </c>
      <c r="O19" s="676">
        <f>transport!N54</f>
        <v>0</v>
      </c>
      <c r="P19" s="676">
        <f>transport!O54</f>
        <v>0</v>
      </c>
      <c r="Q19" s="677">
        <f>transport!P54</f>
        <v>0</v>
      </c>
      <c r="R19" s="679">
        <f>SUM(C19:Q19)</f>
        <v>4356.2569332943858</v>
      </c>
      <c r="S19" s="67"/>
    </row>
    <row r="20" spans="1:19" s="444" customFormat="1">
      <c r="A20" s="791" t="s">
        <v>296</v>
      </c>
      <c r="B20" s="796"/>
      <c r="C20" s="676">
        <f>transport!B14</f>
        <v>27.057384086732569</v>
      </c>
      <c r="D20" s="676">
        <f>transport!C14</f>
        <v>0</v>
      </c>
      <c r="E20" s="676">
        <f>transport!D14</f>
        <v>24.737228091285981</v>
      </c>
      <c r="F20" s="676">
        <f>transport!E14</f>
        <v>994.69493435584207</v>
      </c>
      <c r="G20" s="676">
        <f>transport!F14</f>
        <v>0</v>
      </c>
      <c r="H20" s="676">
        <f>transport!G14</f>
        <v>235697.67805386844</v>
      </c>
      <c r="I20" s="676">
        <f>transport!H14</f>
        <v>43657.291798278398</v>
      </c>
      <c r="J20" s="676">
        <f>transport!I14</f>
        <v>0</v>
      </c>
      <c r="K20" s="676">
        <f>transport!J14</f>
        <v>0</v>
      </c>
      <c r="L20" s="676">
        <f>transport!K14</f>
        <v>0</v>
      </c>
      <c r="M20" s="676">
        <f>transport!L14</f>
        <v>0</v>
      </c>
      <c r="N20" s="676">
        <f>transport!M14</f>
        <v>12632.100446433718</v>
      </c>
      <c r="O20" s="676">
        <f>transport!N14</f>
        <v>0</v>
      </c>
      <c r="P20" s="676">
        <f>transport!O14</f>
        <v>0</v>
      </c>
      <c r="Q20" s="677">
        <f>transport!P14</f>
        <v>0</v>
      </c>
      <c r="R20" s="679">
        <f>SUM(C20:Q20)</f>
        <v>293033.55984511442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48.372678840565598</v>
      </c>
      <c r="D22" s="794">
        <f t="shared" ref="D22:R22" si="1">SUM(D18:D21)</f>
        <v>0</v>
      </c>
      <c r="E22" s="794">
        <f t="shared" si="1"/>
        <v>24.737228091285981</v>
      </c>
      <c r="F22" s="794">
        <f t="shared" si="1"/>
        <v>994.69493435584207</v>
      </c>
      <c r="G22" s="794">
        <f t="shared" si="1"/>
        <v>0</v>
      </c>
      <c r="H22" s="794">
        <f t="shared" si="1"/>
        <v>239846.57946693283</v>
      </c>
      <c r="I22" s="794">
        <f t="shared" si="1"/>
        <v>43657.291798278398</v>
      </c>
      <c r="J22" s="794">
        <f t="shared" si="1"/>
        <v>0</v>
      </c>
      <c r="K22" s="794">
        <f t="shared" si="1"/>
        <v>0</v>
      </c>
      <c r="L22" s="794">
        <f t="shared" si="1"/>
        <v>0</v>
      </c>
      <c r="M22" s="794">
        <f t="shared" si="1"/>
        <v>0</v>
      </c>
      <c r="N22" s="794">
        <f t="shared" si="1"/>
        <v>12818.140671909872</v>
      </c>
      <c r="O22" s="794">
        <f t="shared" si="1"/>
        <v>0</v>
      </c>
      <c r="P22" s="794">
        <f t="shared" si="1"/>
        <v>0</v>
      </c>
      <c r="Q22" s="794">
        <f t="shared" si="1"/>
        <v>0</v>
      </c>
      <c r="R22" s="794">
        <f t="shared" si="1"/>
        <v>297389.81677840883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695.76898378386102</v>
      </c>
      <c r="D24" s="676">
        <f>+landbouw!C8</f>
        <v>0</v>
      </c>
      <c r="E24" s="676">
        <f>+landbouw!D8</f>
        <v>1718.6234199033977</v>
      </c>
      <c r="F24" s="676">
        <f>+landbouw!E8</f>
        <v>8.7675855283706436</v>
      </c>
      <c r="G24" s="676">
        <f>+landbouw!F8</f>
        <v>2400.5772945996437</v>
      </c>
      <c r="H24" s="676">
        <f>+landbouw!G8</f>
        <v>0</v>
      </c>
      <c r="I24" s="676">
        <f>+landbouw!H8</f>
        <v>0</v>
      </c>
      <c r="J24" s="676">
        <f>+landbouw!I8</f>
        <v>0</v>
      </c>
      <c r="K24" s="676">
        <f>+landbouw!J8</f>
        <v>104.63574593842752</v>
      </c>
      <c r="L24" s="676">
        <f>+landbouw!K8</f>
        <v>0</v>
      </c>
      <c r="M24" s="676">
        <f>+landbouw!L8</f>
        <v>0</v>
      </c>
      <c r="N24" s="676">
        <f>+landbouw!M8</f>
        <v>0</v>
      </c>
      <c r="O24" s="676">
        <f>+landbouw!N8</f>
        <v>0</v>
      </c>
      <c r="P24" s="676">
        <f>+landbouw!O8</f>
        <v>0</v>
      </c>
      <c r="Q24" s="677">
        <f>+landbouw!P8</f>
        <v>0</v>
      </c>
      <c r="R24" s="679">
        <f>SUM(C24:Q24)</f>
        <v>4928.3730297537004</v>
      </c>
      <c r="S24" s="67"/>
    </row>
    <row r="25" spans="1:19" s="444" customFormat="1" ht="15" thickBot="1">
      <c r="A25" s="813" t="s">
        <v>833</v>
      </c>
      <c r="B25" s="977"/>
      <c r="C25" s="978">
        <f>IF(Onbekend_ele_kWh="---",0,Onbekend_ele_kWh)/1000+IF(REST_rest_ele_kWh="---",0,REST_rest_ele_kWh)/1000</f>
        <v>1689.3080455328702</v>
      </c>
      <c r="D25" s="978"/>
      <c r="E25" s="978">
        <f>IF(onbekend_gas_kWh="---",0,onbekend_gas_kWh)/1000+IF(REST_rest_gas_kWh="---",0,REST_rest_gas_kWh)/1000</f>
        <v>7209.41535997954</v>
      </c>
      <c r="F25" s="978"/>
      <c r="G25" s="978"/>
      <c r="H25" s="978"/>
      <c r="I25" s="978"/>
      <c r="J25" s="978"/>
      <c r="K25" s="978"/>
      <c r="L25" s="978"/>
      <c r="M25" s="978"/>
      <c r="N25" s="978"/>
      <c r="O25" s="978"/>
      <c r="P25" s="978"/>
      <c r="Q25" s="979"/>
      <c r="R25" s="679">
        <f>SUM(C25:Q25)</f>
        <v>8898.72340551241</v>
      </c>
      <c r="S25" s="67"/>
    </row>
    <row r="26" spans="1:19" s="444" customFormat="1" ht="15.75" thickBot="1">
      <c r="A26" s="684" t="s">
        <v>834</v>
      </c>
      <c r="B26" s="799"/>
      <c r="C26" s="794">
        <f>SUM(C24:C25)</f>
        <v>2385.0770293167311</v>
      </c>
      <c r="D26" s="794">
        <f t="shared" ref="D26:R26" si="2">SUM(D24:D25)</f>
        <v>0</v>
      </c>
      <c r="E26" s="794">
        <f t="shared" si="2"/>
        <v>8928.0387798829379</v>
      </c>
      <c r="F26" s="794">
        <f t="shared" si="2"/>
        <v>8.7675855283706436</v>
      </c>
      <c r="G26" s="794">
        <f t="shared" si="2"/>
        <v>2400.5772945996437</v>
      </c>
      <c r="H26" s="794">
        <f t="shared" si="2"/>
        <v>0</v>
      </c>
      <c r="I26" s="794">
        <f t="shared" si="2"/>
        <v>0</v>
      </c>
      <c r="J26" s="794">
        <f t="shared" si="2"/>
        <v>0</v>
      </c>
      <c r="K26" s="794">
        <f t="shared" si="2"/>
        <v>104.63574593842752</v>
      </c>
      <c r="L26" s="794">
        <f t="shared" si="2"/>
        <v>0</v>
      </c>
      <c r="M26" s="794">
        <f t="shared" si="2"/>
        <v>0</v>
      </c>
      <c r="N26" s="794">
        <f t="shared" si="2"/>
        <v>0</v>
      </c>
      <c r="O26" s="794">
        <f t="shared" si="2"/>
        <v>0</v>
      </c>
      <c r="P26" s="794">
        <f t="shared" si="2"/>
        <v>0</v>
      </c>
      <c r="Q26" s="794">
        <f t="shared" si="2"/>
        <v>0</v>
      </c>
      <c r="R26" s="794">
        <f t="shared" si="2"/>
        <v>13827.09643526611</v>
      </c>
      <c r="S26" s="67"/>
    </row>
    <row r="27" spans="1:19" s="444" customFormat="1" ht="17.25" thickTop="1" thickBot="1">
      <c r="A27" s="685" t="s">
        <v>109</v>
      </c>
      <c r="B27" s="786"/>
      <c r="C27" s="686">
        <f ca="1">C22+C16+C26</f>
        <v>81748.610844066745</v>
      </c>
      <c r="D27" s="686">
        <f t="shared" ref="D27:R27" ca="1" si="3">D22+D16+D26</f>
        <v>0</v>
      </c>
      <c r="E27" s="686">
        <f t="shared" ca="1" si="3"/>
        <v>198271.0936743347</v>
      </c>
      <c r="F27" s="686">
        <f t="shared" si="3"/>
        <v>4266.8523917390767</v>
      </c>
      <c r="G27" s="686">
        <f t="shared" ca="1" si="3"/>
        <v>83510.280960716103</v>
      </c>
      <c r="H27" s="686">
        <f t="shared" si="3"/>
        <v>239846.57946693283</v>
      </c>
      <c r="I27" s="686">
        <f t="shared" si="3"/>
        <v>43657.291798278398</v>
      </c>
      <c r="J27" s="686">
        <f t="shared" si="3"/>
        <v>0</v>
      </c>
      <c r="K27" s="686">
        <f t="shared" si="3"/>
        <v>1495.7148981526855</v>
      </c>
      <c r="L27" s="686">
        <f t="shared" si="3"/>
        <v>0</v>
      </c>
      <c r="M27" s="686">
        <f t="shared" ca="1" si="3"/>
        <v>0</v>
      </c>
      <c r="N27" s="686">
        <f t="shared" si="3"/>
        <v>12818.140671909872</v>
      </c>
      <c r="O27" s="686">
        <f t="shared" ca="1" si="3"/>
        <v>20013.844929351551</v>
      </c>
      <c r="P27" s="686">
        <f t="shared" si="3"/>
        <v>234.5</v>
      </c>
      <c r="Q27" s="686">
        <f t="shared" si="3"/>
        <v>324.13333333333333</v>
      </c>
      <c r="R27" s="686">
        <f t="shared" ca="1" si="3"/>
        <v>686187.04296881519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6450.3254973661142</v>
      </c>
      <c r="D40" s="676">
        <f ca="1">tertiair!C20</f>
        <v>0</v>
      </c>
      <c r="E40" s="676">
        <f ca="1">tertiair!D20</f>
        <v>8472.6794735652456</v>
      </c>
      <c r="F40" s="676">
        <f>tertiair!E20</f>
        <v>88.36449511880032</v>
      </c>
      <c r="G40" s="676">
        <f ca="1">tertiair!F20</f>
        <v>1596.8669272917239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16608.236393341886</v>
      </c>
    </row>
    <row r="41" spans="1:18">
      <c r="A41" s="804" t="s">
        <v>214</v>
      </c>
      <c r="B41" s="811"/>
      <c r="C41" s="676">
        <f ca="1">huishoudens!B12</f>
        <v>9753.9083393442197</v>
      </c>
      <c r="D41" s="676">
        <f ca="1">huishoudens!C12</f>
        <v>0</v>
      </c>
      <c r="E41" s="676">
        <f>huishoudens!D12</f>
        <v>28956.378353116386</v>
      </c>
      <c r="F41" s="676">
        <f>huishoudens!E12</f>
        <v>543.14843728521964</v>
      </c>
      <c r="G41" s="676">
        <f>huishoudens!F12</f>
        <v>19578.087445999383</v>
      </c>
      <c r="H41" s="676">
        <f>huishoudens!G12</f>
        <v>0</v>
      </c>
      <c r="I41" s="676">
        <f>huishoudens!H12</f>
        <v>0</v>
      </c>
      <c r="J41" s="676">
        <f>huishoudens!I12</f>
        <v>0</v>
      </c>
      <c r="K41" s="676">
        <f>huishoudens!J12</f>
        <v>491.5826871374494</v>
      </c>
      <c r="L41" s="676">
        <f>huishoudens!K12</f>
        <v>0</v>
      </c>
      <c r="M41" s="676">
        <f>huishoudens!L12</f>
        <v>0</v>
      </c>
      <c r="N41" s="676">
        <f>huishoudens!M12</f>
        <v>0</v>
      </c>
      <c r="O41" s="676">
        <f>huishoudens!N12</f>
        <v>0</v>
      </c>
      <c r="P41" s="676">
        <f>huishoudens!O12</f>
        <v>0</v>
      </c>
      <c r="Q41" s="753">
        <f>huishoudens!P12</f>
        <v>0</v>
      </c>
      <c r="R41" s="832">
        <f t="shared" ca="1" si="4"/>
        <v>59323.105262882666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695.67423454338007</v>
      </c>
      <c r="D43" s="676">
        <f ca="1">industrie!C22</f>
        <v>0</v>
      </c>
      <c r="E43" s="676">
        <f>industrie!D22</f>
        <v>813.24234192318363</v>
      </c>
      <c r="F43" s="676">
        <f>industrie!E22</f>
        <v>109.27656850703416</v>
      </c>
      <c r="G43" s="676">
        <f>industrie!F22</f>
        <v>481.33650556198927</v>
      </c>
      <c r="H43" s="676">
        <f>industrie!G22</f>
        <v>0</v>
      </c>
      <c r="I43" s="676">
        <f>industrie!H22</f>
        <v>0</v>
      </c>
      <c r="J43" s="676">
        <f>industrie!I22</f>
        <v>0</v>
      </c>
      <c r="K43" s="676">
        <f>industrie!J22</f>
        <v>0.85933274639783741</v>
      </c>
      <c r="L43" s="676">
        <f>industrie!K22</f>
        <v>0</v>
      </c>
      <c r="M43" s="676">
        <f>industrie!L22</f>
        <v>0</v>
      </c>
      <c r="N43" s="676">
        <f>industrie!M22</f>
        <v>0</v>
      </c>
      <c r="O43" s="676">
        <f>industrie!N22</f>
        <v>0</v>
      </c>
      <c r="P43" s="676">
        <f>industrie!O22</f>
        <v>0</v>
      </c>
      <c r="Q43" s="753">
        <f>industrie!P22</f>
        <v>0</v>
      </c>
      <c r="R43" s="831">
        <f t="shared" ca="1" si="4"/>
        <v>2100.388983281985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16899.908071253714</v>
      </c>
      <c r="D46" s="711">
        <f t="shared" ref="D46:Q46" ca="1" si="5">SUM(D39:D45)</f>
        <v>0</v>
      </c>
      <c r="E46" s="711">
        <f t="shared" ca="1" si="5"/>
        <v>38242.300168604816</v>
      </c>
      <c r="F46" s="711">
        <f t="shared" si="5"/>
        <v>740.78950091105412</v>
      </c>
      <c r="G46" s="711">
        <f t="shared" ca="1" si="5"/>
        <v>21656.290878853099</v>
      </c>
      <c r="H46" s="711">
        <f t="shared" si="5"/>
        <v>0</v>
      </c>
      <c r="I46" s="711">
        <f t="shared" si="5"/>
        <v>0</v>
      </c>
      <c r="J46" s="711">
        <f t="shared" si="5"/>
        <v>0</v>
      </c>
      <c r="K46" s="711">
        <f t="shared" si="5"/>
        <v>492.44201988384725</v>
      </c>
      <c r="L46" s="711">
        <f t="shared" si="5"/>
        <v>0</v>
      </c>
      <c r="M46" s="711">
        <f t="shared" ca="1" si="5"/>
        <v>0</v>
      </c>
      <c r="N46" s="711">
        <f t="shared" si="5"/>
        <v>0</v>
      </c>
      <c r="O46" s="711">
        <f t="shared" ca="1" si="5"/>
        <v>0</v>
      </c>
      <c r="P46" s="711">
        <f t="shared" si="5"/>
        <v>0</v>
      </c>
      <c r="Q46" s="711">
        <f t="shared" si="5"/>
        <v>0</v>
      </c>
      <c r="R46" s="711">
        <f ca="1">SUM(R39:R45)</f>
        <v>78031.730639506539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4.5417107737345868</v>
      </c>
      <c r="D49" s="676">
        <f ca="1">transport!C58</f>
        <v>0</v>
      </c>
      <c r="E49" s="676">
        <f>transport!D58</f>
        <v>0</v>
      </c>
      <c r="F49" s="676">
        <f>transport!E58</f>
        <v>0</v>
      </c>
      <c r="G49" s="676">
        <f>transport!F58</f>
        <v>0</v>
      </c>
      <c r="H49" s="676">
        <f>transport!G58</f>
        <v>1107.7566772881946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1112.2983880619292</v>
      </c>
    </row>
    <row r="50" spans="1:18">
      <c r="A50" s="807" t="s">
        <v>296</v>
      </c>
      <c r="B50" s="817"/>
      <c r="C50" s="682">
        <f ca="1">transport!B18</f>
        <v>5.7651941591701394</v>
      </c>
      <c r="D50" s="682">
        <f>transport!C18</f>
        <v>0</v>
      </c>
      <c r="E50" s="682">
        <f>transport!D18</f>
        <v>4.9969200744397684</v>
      </c>
      <c r="F50" s="682">
        <f>transport!E18</f>
        <v>225.79575009877615</v>
      </c>
      <c r="G50" s="682">
        <f>transport!F18</f>
        <v>0</v>
      </c>
      <c r="H50" s="682">
        <f>transport!G18</f>
        <v>62931.280040382881</v>
      </c>
      <c r="I50" s="682">
        <f>transport!H18</f>
        <v>10870.665657771322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74038.503562486585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10.306904932904725</v>
      </c>
      <c r="D52" s="711">
        <f t="shared" ref="D52:Q52" ca="1" si="6">SUM(D48:D51)</f>
        <v>0</v>
      </c>
      <c r="E52" s="711">
        <f t="shared" si="6"/>
        <v>4.9969200744397684</v>
      </c>
      <c r="F52" s="711">
        <f t="shared" si="6"/>
        <v>225.79575009877615</v>
      </c>
      <c r="G52" s="711">
        <f t="shared" si="6"/>
        <v>0</v>
      </c>
      <c r="H52" s="711">
        <f t="shared" si="6"/>
        <v>64039.036717671072</v>
      </c>
      <c r="I52" s="711">
        <f t="shared" si="6"/>
        <v>10870.665657771322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75150.801950548514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148.24948592903144</v>
      </c>
      <c r="D54" s="682">
        <f ca="1">+landbouw!C12</f>
        <v>0</v>
      </c>
      <c r="E54" s="682">
        <f>+landbouw!D12</f>
        <v>347.16193082048636</v>
      </c>
      <c r="F54" s="682">
        <f>+landbouw!E12</f>
        <v>1.9902419149401362</v>
      </c>
      <c r="G54" s="682">
        <f>+landbouw!F12</f>
        <v>640.95413765810486</v>
      </c>
      <c r="H54" s="682">
        <f>+landbouw!G12</f>
        <v>0</v>
      </c>
      <c r="I54" s="682">
        <f>+landbouw!H12</f>
        <v>0</v>
      </c>
      <c r="J54" s="682">
        <f>+landbouw!I12</f>
        <v>0</v>
      </c>
      <c r="K54" s="682">
        <f>+landbouw!J12</f>
        <v>37.041054062203337</v>
      </c>
      <c r="L54" s="682">
        <f>+landbouw!K12</f>
        <v>0</v>
      </c>
      <c r="M54" s="682">
        <f>+landbouw!L12</f>
        <v>0</v>
      </c>
      <c r="N54" s="682">
        <f>+landbouw!M12</f>
        <v>0</v>
      </c>
      <c r="O54" s="682">
        <f>+landbouw!N12</f>
        <v>0</v>
      </c>
      <c r="P54" s="682">
        <f>+landbouw!O12</f>
        <v>0</v>
      </c>
      <c r="Q54" s="683">
        <f>+landbouw!P12</f>
        <v>0</v>
      </c>
      <c r="R54" s="710">
        <f ca="1">SUM(C54:Q54)</f>
        <v>1175.3968503847661</v>
      </c>
    </row>
    <row r="55" spans="1:18" ht="15" thickBot="1">
      <c r="A55" s="807" t="s">
        <v>833</v>
      </c>
      <c r="B55" s="817"/>
      <c r="C55" s="682">
        <f ca="1">C25*'EF ele_warmte'!B12</f>
        <v>359.94569341685849</v>
      </c>
      <c r="D55" s="682"/>
      <c r="E55" s="682">
        <f>E25*EF_CO2_aardgas</f>
        <v>1456.3019027158671</v>
      </c>
      <c r="F55" s="682"/>
      <c r="G55" s="682"/>
      <c r="H55" s="682"/>
      <c r="I55" s="682"/>
      <c r="J55" s="682"/>
      <c r="K55" s="682"/>
      <c r="L55" s="682"/>
      <c r="M55" s="682"/>
      <c r="N55" s="682"/>
      <c r="O55" s="682"/>
      <c r="P55" s="682"/>
      <c r="Q55" s="683"/>
      <c r="R55" s="710">
        <f ca="1">SUM(C55:Q55)</f>
        <v>1816.2475961327254</v>
      </c>
    </row>
    <row r="56" spans="1:18" ht="15.75" thickBot="1">
      <c r="A56" s="805" t="s">
        <v>834</v>
      </c>
      <c r="B56" s="818"/>
      <c r="C56" s="711">
        <f ca="1">SUM(C54:C55)</f>
        <v>508.19517934588993</v>
      </c>
      <c r="D56" s="711">
        <f t="shared" ref="D56:Q56" ca="1" si="7">SUM(D54:D55)</f>
        <v>0</v>
      </c>
      <c r="E56" s="711">
        <f t="shared" si="7"/>
        <v>1803.4638335363534</v>
      </c>
      <c r="F56" s="711">
        <f t="shared" si="7"/>
        <v>1.9902419149401362</v>
      </c>
      <c r="G56" s="711">
        <f t="shared" si="7"/>
        <v>640.95413765810486</v>
      </c>
      <c r="H56" s="711">
        <f t="shared" si="7"/>
        <v>0</v>
      </c>
      <c r="I56" s="711">
        <f t="shared" si="7"/>
        <v>0</v>
      </c>
      <c r="J56" s="711">
        <f t="shared" si="7"/>
        <v>0</v>
      </c>
      <c r="K56" s="711">
        <f t="shared" si="7"/>
        <v>37.041054062203337</v>
      </c>
      <c r="L56" s="711">
        <f t="shared" si="7"/>
        <v>0</v>
      </c>
      <c r="M56" s="711">
        <f t="shared" si="7"/>
        <v>0</v>
      </c>
      <c r="N56" s="711">
        <f t="shared" si="7"/>
        <v>0</v>
      </c>
      <c r="O56" s="711">
        <f t="shared" si="7"/>
        <v>0</v>
      </c>
      <c r="P56" s="711">
        <f t="shared" si="7"/>
        <v>0</v>
      </c>
      <c r="Q56" s="712">
        <f t="shared" si="7"/>
        <v>0</v>
      </c>
      <c r="R56" s="713">
        <f ca="1">SUM(R54:R55)</f>
        <v>2991.6444465174918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17418.410155532511</v>
      </c>
      <c r="D61" s="719">
        <f t="shared" ref="D61:Q61" ca="1" si="8">D46+D52+D56</f>
        <v>0</v>
      </c>
      <c r="E61" s="719">
        <f t="shared" ca="1" si="8"/>
        <v>40050.76092221561</v>
      </c>
      <c r="F61" s="719">
        <f t="shared" si="8"/>
        <v>968.5754929247704</v>
      </c>
      <c r="G61" s="719">
        <f t="shared" ca="1" si="8"/>
        <v>22297.245016511202</v>
      </c>
      <c r="H61" s="719">
        <f t="shared" si="8"/>
        <v>64039.036717671072</v>
      </c>
      <c r="I61" s="719">
        <f t="shared" si="8"/>
        <v>10870.665657771322</v>
      </c>
      <c r="J61" s="719">
        <f t="shared" si="8"/>
        <v>0</v>
      </c>
      <c r="K61" s="719">
        <f t="shared" si="8"/>
        <v>529.48307394605058</v>
      </c>
      <c r="L61" s="719">
        <f t="shared" si="8"/>
        <v>0</v>
      </c>
      <c r="M61" s="719">
        <f t="shared" ca="1" si="8"/>
        <v>0</v>
      </c>
      <c r="N61" s="719">
        <f t="shared" si="8"/>
        <v>0</v>
      </c>
      <c r="O61" s="719">
        <f t="shared" ca="1" si="8"/>
        <v>0</v>
      </c>
      <c r="P61" s="719">
        <f t="shared" si="8"/>
        <v>0</v>
      </c>
      <c r="Q61" s="719">
        <f t="shared" si="8"/>
        <v>0</v>
      </c>
      <c r="R61" s="719">
        <f ca="1">R46+R52+R56</f>
        <v>156174.17703657254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0.21307285806675852</v>
      </c>
      <c r="D63" s="762">
        <f t="shared" ca="1" si="9"/>
        <v>0</v>
      </c>
      <c r="E63" s="984">
        <f t="shared" ca="1" si="9"/>
        <v>0.20200000000000001</v>
      </c>
      <c r="F63" s="762">
        <f t="shared" si="9"/>
        <v>0.22700000000000001</v>
      </c>
      <c r="G63" s="762">
        <f t="shared" ca="1" si="9"/>
        <v>0.26700000000000002</v>
      </c>
      <c r="H63" s="762">
        <f t="shared" si="9"/>
        <v>0.26700000000000002</v>
      </c>
      <c r="I63" s="762">
        <f t="shared" si="9"/>
        <v>0.24900000000000003</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23.235874439461885</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2909.0394242313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2932.2752986707619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45777.338455225457</v>
      </c>
      <c r="C4" s="448">
        <f>huishoudens!C8</f>
        <v>0</v>
      </c>
      <c r="D4" s="448">
        <f>huishoudens!D8</f>
        <v>143348.40768869498</v>
      </c>
      <c r="E4" s="448">
        <f>huishoudens!E8</f>
        <v>2392.7243933269588</v>
      </c>
      <c r="F4" s="448">
        <f>huishoudens!F8</f>
        <v>73326.170209735516</v>
      </c>
      <c r="G4" s="448">
        <f>huishoudens!G8</f>
        <v>0</v>
      </c>
      <c r="H4" s="448">
        <f>huishoudens!H8</f>
        <v>0</v>
      </c>
      <c r="I4" s="448">
        <f>huishoudens!I8</f>
        <v>0</v>
      </c>
      <c r="J4" s="448">
        <f>huishoudens!J8</f>
        <v>1388.6516585803656</v>
      </c>
      <c r="K4" s="448">
        <f>huishoudens!K8</f>
        <v>0</v>
      </c>
      <c r="L4" s="448">
        <f>huishoudens!L8</f>
        <v>0</v>
      </c>
      <c r="M4" s="448">
        <f>huishoudens!M8</f>
        <v>0</v>
      </c>
      <c r="N4" s="448">
        <f>huishoudens!N8</f>
        <v>15280.082862060892</v>
      </c>
      <c r="O4" s="448">
        <f>huishoudens!O8</f>
        <v>234.5</v>
      </c>
      <c r="P4" s="449">
        <f>huishoudens!P8</f>
        <v>324.13333333333333</v>
      </c>
      <c r="Q4" s="450">
        <f>SUM(B4:P4)</f>
        <v>282072.00860095746</v>
      </c>
    </row>
    <row r="5" spans="1:17">
      <c r="A5" s="447" t="s">
        <v>149</v>
      </c>
      <c r="B5" s="448">
        <f ca="1">tertiair!B16</f>
        <v>28258.444263255908</v>
      </c>
      <c r="C5" s="448">
        <f ca="1">tertiair!C16</f>
        <v>0</v>
      </c>
      <c r="D5" s="448">
        <f ca="1">tertiair!D16</f>
        <v>41943.957789926957</v>
      </c>
      <c r="E5" s="448">
        <f>tertiair!E16</f>
        <v>389.27090360704989</v>
      </c>
      <c r="F5" s="448">
        <f ca="1">tertiair!F16</f>
        <v>5980.7750085832349</v>
      </c>
      <c r="G5" s="448">
        <f>tertiair!G16</f>
        <v>0</v>
      </c>
      <c r="H5" s="448">
        <f>tertiair!H16</f>
        <v>0</v>
      </c>
      <c r="I5" s="448">
        <f>tertiair!I16</f>
        <v>0</v>
      </c>
      <c r="J5" s="448">
        <f>tertiair!J16</f>
        <v>0</v>
      </c>
      <c r="K5" s="448">
        <f>tertiair!K16</f>
        <v>0</v>
      </c>
      <c r="L5" s="448">
        <f ca="1">tertiair!L16</f>
        <v>0</v>
      </c>
      <c r="M5" s="448">
        <f>tertiair!M16</f>
        <v>0</v>
      </c>
      <c r="N5" s="448">
        <f ca="1">tertiair!N16</f>
        <v>4379.2271357125064</v>
      </c>
      <c r="O5" s="448">
        <f>tertiair!O16</f>
        <v>0</v>
      </c>
      <c r="P5" s="449">
        <f>tertiair!P16</f>
        <v>0</v>
      </c>
      <c r="Q5" s="447">
        <f t="shared" ref="Q5:Q14" ca="1" si="0">SUM(B5:P5)</f>
        <v>80951.675101085653</v>
      </c>
    </row>
    <row r="6" spans="1:17">
      <c r="A6" s="447" t="s">
        <v>187</v>
      </c>
      <c r="B6" s="448">
        <f>'openbare verlichting'!B8</f>
        <v>2014.4190000000001</v>
      </c>
      <c r="C6" s="448"/>
      <c r="D6" s="448"/>
      <c r="E6" s="448"/>
      <c r="F6" s="448"/>
      <c r="G6" s="448"/>
      <c r="H6" s="448"/>
      <c r="I6" s="448"/>
      <c r="J6" s="448"/>
      <c r="K6" s="448"/>
      <c r="L6" s="448"/>
      <c r="M6" s="448"/>
      <c r="N6" s="448"/>
      <c r="O6" s="448"/>
      <c r="P6" s="449"/>
      <c r="Q6" s="447">
        <f t="shared" si="0"/>
        <v>2014.4190000000001</v>
      </c>
    </row>
    <row r="7" spans="1:17">
      <c r="A7" s="447" t="s">
        <v>105</v>
      </c>
      <c r="B7" s="448">
        <f>landbouw!B8</f>
        <v>695.76898378386102</v>
      </c>
      <c r="C7" s="448">
        <f>landbouw!C8</f>
        <v>0</v>
      </c>
      <c r="D7" s="448">
        <f>landbouw!D8</f>
        <v>1718.6234199033977</v>
      </c>
      <c r="E7" s="448">
        <f>landbouw!E8</f>
        <v>8.7675855283706436</v>
      </c>
      <c r="F7" s="448">
        <f>landbouw!F8</f>
        <v>2400.5772945996437</v>
      </c>
      <c r="G7" s="448">
        <f>landbouw!G8</f>
        <v>0</v>
      </c>
      <c r="H7" s="448">
        <f>landbouw!H8</f>
        <v>0</v>
      </c>
      <c r="I7" s="448">
        <f>landbouw!I8</f>
        <v>0</v>
      </c>
      <c r="J7" s="448">
        <f>landbouw!J8</f>
        <v>104.63574593842752</v>
      </c>
      <c r="K7" s="448">
        <f>landbouw!K8</f>
        <v>0</v>
      </c>
      <c r="L7" s="448">
        <f>landbouw!L8</f>
        <v>0</v>
      </c>
      <c r="M7" s="448">
        <f>landbouw!M8</f>
        <v>0</v>
      </c>
      <c r="N7" s="448">
        <f>landbouw!N8</f>
        <v>0</v>
      </c>
      <c r="O7" s="448">
        <f>landbouw!O8</f>
        <v>0</v>
      </c>
      <c r="P7" s="449">
        <f>landbouw!P8</f>
        <v>0</v>
      </c>
      <c r="Q7" s="447">
        <f t="shared" si="0"/>
        <v>4928.3730297537004</v>
      </c>
    </row>
    <row r="8" spans="1:17">
      <c r="A8" s="447" t="s">
        <v>639</v>
      </c>
      <c r="B8" s="448">
        <f>industrie!B18</f>
        <v>3264.959417428081</v>
      </c>
      <c r="C8" s="448">
        <f>industrie!C18</f>
        <v>0</v>
      </c>
      <c r="D8" s="448">
        <f>industrie!D18</f>
        <v>4025.9521877385323</v>
      </c>
      <c r="E8" s="448">
        <f>industrie!E18</f>
        <v>481.39457492085529</v>
      </c>
      <c r="F8" s="448">
        <f>industrie!F18</f>
        <v>1802.7584477977125</v>
      </c>
      <c r="G8" s="448">
        <f>industrie!G18</f>
        <v>0</v>
      </c>
      <c r="H8" s="448">
        <f>industrie!H18</f>
        <v>0</v>
      </c>
      <c r="I8" s="448">
        <f>industrie!I18</f>
        <v>0</v>
      </c>
      <c r="J8" s="448">
        <f>industrie!J18</f>
        <v>2.4274936338921962</v>
      </c>
      <c r="K8" s="448">
        <f>industrie!K18</f>
        <v>0</v>
      </c>
      <c r="L8" s="448">
        <f>industrie!L18</f>
        <v>0</v>
      </c>
      <c r="M8" s="448">
        <f>industrie!M18</f>
        <v>0</v>
      </c>
      <c r="N8" s="448">
        <f>industrie!N18</f>
        <v>354.53493157815365</v>
      </c>
      <c r="O8" s="448">
        <f>industrie!O18</f>
        <v>0</v>
      </c>
      <c r="P8" s="449">
        <f>industrie!P18</f>
        <v>0</v>
      </c>
      <c r="Q8" s="447">
        <f t="shared" si="0"/>
        <v>9932.0270530972266</v>
      </c>
    </row>
    <row r="9" spans="1:17" s="453" customFormat="1">
      <c r="A9" s="451" t="s">
        <v>557</v>
      </c>
      <c r="B9" s="452">
        <f>transport!B14</f>
        <v>27.057384086732569</v>
      </c>
      <c r="C9" s="452">
        <f>transport!C14</f>
        <v>0</v>
      </c>
      <c r="D9" s="452">
        <f>transport!D14</f>
        <v>24.737228091285981</v>
      </c>
      <c r="E9" s="452">
        <f>transport!E14</f>
        <v>994.69493435584207</v>
      </c>
      <c r="F9" s="452">
        <f>transport!F14</f>
        <v>0</v>
      </c>
      <c r="G9" s="452">
        <f>transport!G14</f>
        <v>235697.67805386844</v>
      </c>
      <c r="H9" s="452">
        <f>transport!H14</f>
        <v>43657.291798278398</v>
      </c>
      <c r="I9" s="452">
        <f>transport!I14</f>
        <v>0</v>
      </c>
      <c r="J9" s="452">
        <f>transport!J14</f>
        <v>0</v>
      </c>
      <c r="K9" s="452">
        <f>transport!K14</f>
        <v>0</v>
      </c>
      <c r="L9" s="452">
        <f>transport!L14</f>
        <v>0</v>
      </c>
      <c r="M9" s="452">
        <f>transport!M14</f>
        <v>12632.100446433718</v>
      </c>
      <c r="N9" s="452">
        <f>transport!N14</f>
        <v>0</v>
      </c>
      <c r="O9" s="452">
        <f>transport!O14</f>
        <v>0</v>
      </c>
      <c r="P9" s="452">
        <f>transport!P14</f>
        <v>0</v>
      </c>
      <c r="Q9" s="451">
        <f>SUM(B9:P9)</f>
        <v>293033.55984511442</v>
      </c>
    </row>
    <row r="10" spans="1:17">
      <c r="A10" s="447" t="s">
        <v>547</v>
      </c>
      <c r="B10" s="448">
        <f>transport!B54</f>
        <v>21.315294753833026</v>
      </c>
      <c r="C10" s="448">
        <f>transport!C54</f>
        <v>0</v>
      </c>
      <c r="D10" s="448">
        <f>transport!D54</f>
        <v>0</v>
      </c>
      <c r="E10" s="448">
        <f>transport!E54</f>
        <v>0</v>
      </c>
      <c r="F10" s="448">
        <f>transport!F54</f>
        <v>0</v>
      </c>
      <c r="G10" s="448">
        <f>transport!G54</f>
        <v>4148.9014130643991</v>
      </c>
      <c r="H10" s="448">
        <f>transport!H54</f>
        <v>0</v>
      </c>
      <c r="I10" s="448">
        <f>transport!I54</f>
        <v>0</v>
      </c>
      <c r="J10" s="448">
        <f>transport!J54</f>
        <v>0</v>
      </c>
      <c r="K10" s="448">
        <f>transport!K54</f>
        <v>0</v>
      </c>
      <c r="L10" s="448">
        <f>transport!L54</f>
        <v>0</v>
      </c>
      <c r="M10" s="448">
        <f>transport!M54</f>
        <v>186.04022547615367</v>
      </c>
      <c r="N10" s="448">
        <f>transport!N54</f>
        <v>0</v>
      </c>
      <c r="O10" s="448">
        <f>transport!O54</f>
        <v>0</v>
      </c>
      <c r="P10" s="449">
        <f>transport!P54</f>
        <v>0</v>
      </c>
      <c r="Q10" s="447">
        <f t="shared" si="0"/>
        <v>4356.2569332943858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1689.3080455328702</v>
      </c>
      <c r="C14" s="455"/>
      <c r="D14" s="455">
        <f>'SEAP template'!E25</f>
        <v>7209.41535997954</v>
      </c>
      <c r="E14" s="455"/>
      <c r="F14" s="455"/>
      <c r="G14" s="455"/>
      <c r="H14" s="455"/>
      <c r="I14" s="455"/>
      <c r="J14" s="455"/>
      <c r="K14" s="455"/>
      <c r="L14" s="455"/>
      <c r="M14" s="455"/>
      <c r="N14" s="455"/>
      <c r="O14" s="455"/>
      <c r="P14" s="456"/>
      <c r="Q14" s="447">
        <f t="shared" si="0"/>
        <v>8898.72340551241</v>
      </c>
    </row>
    <row r="15" spans="1:17" s="460" customFormat="1">
      <c r="A15" s="457" t="s">
        <v>551</v>
      </c>
      <c r="B15" s="458">
        <f ca="1">SUM(B4:B14)</f>
        <v>81748.61084406673</v>
      </c>
      <c r="C15" s="458">
        <f t="shared" ref="C15:Q15" ca="1" si="1">SUM(C4:C14)</f>
        <v>0</v>
      </c>
      <c r="D15" s="458">
        <f t="shared" ca="1" si="1"/>
        <v>198271.0936743347</v>
      </c>
      <c r="E15" s="458">
        <f t="shared" si="1"/>
        <v>4266.8523917390767</v>
      </c>
      <c r="F15" s="458">
        <f t="shared" ca="1" si="1"/>
        <v>83510.280960716103</v>
      </c>
      <c r="G15" s="458">
        <f t="shared" si="1"/>
        <v>239846.57946693283</v>
      </c>
      <c r="H15" s="458">
        <f t="shared" si="1"/>
        <v>43657.291798278398</v>
      </c>
      <c r="I15" s="458">
        <f t="shared" si="1"/>
        <v>0</v>
      </c>
      <c r="J15" s="458">
        <f t="shared" si="1"/>
        <v>1495.7148981526855</v>
      </c>
      <c r="K15" s="458">
        <f t="shared" si="1"/>
        <v>0</v>
      </c>
      <c r="L15" s="458">
        <f t="shared" ca="1" si="1"/>
        <v>0</v>
      </c>
      <c r="M15" s="458">
        <f t="shared" si="1"/>
        <v>12818.140671909872</v>
      </c>
      <c r="N15" s="458">
        <f t="shared" ca="1" si="1"/>
        <v>20013.844929351551</v>
      </c>
      <c r="O15" s="458">
        <f t="shared" si="1"/>
        <v>234.5</v>
      </c>
      <c r="P15" s="458">
        <f t="shared" si="1"/>
        <v>324.13333333333333</v>
      </c>
      <c r="Q15" s="458">
        <f t="shared" ca="1" si="1"/>
        <v>686187.04296881519</v>
      </c>
    </row>
    <row r="17" spans="1:17">
      <c r="A17" s="461" t="s">
        <v>552</v>
      </c>
      <c r="B17" s="767">
        <f ca="1">huishoudens!B10</f>
        <v>0.21307285806675852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9753.9083393442197</v>
      </c>
      <c r="C22" s="448">
        <f t="shared" ref="C22:C32" ca="1" si="3">C4*$C$17</f>
        <v>0</v>
      </c>
      <c r="D22" s="448">
        <f t="shared" ref="D22:D32" si="4">D4*$D$17</f>
        <v>28956.378353116386</v>
      </c>
      <c r="E22" s="448">
        <f t="shared" ref="E22:E32" si="5">E4*$E$17</f>
        <v>543.14843728521964</v>
      </c>
      <c r="F22" s="448">
        <f t="shared" ref="F22:F32" si="6">F4*$F$17</f>
        <v>19578.087445999383</v>
      </c>
      <c r="G22" s="448">
        <f t="shared" ref="G22:G32" si="7">G4*$G$17</f>
        <v>0</v>
      </c>
      <c r="H22" s="448">
        <f t="shared" ref="H22:H32" si="8">H4*$H$17</f>
        <v>0</v>
      </c>
      <c r="I22" s="448">
        <f t="shared" ref="I22:I32" si="9">I4*$I$17</f>
        <v>0</v>
      </c>
      <c r="J22" s="448">
        <f t="shared" ref="J22:J32" si="10">J4*$J$17</f>
        <v>491.5826871374494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59323.105262882666</v>
      </c>
    </row>
    <row r="23" spans="1:17">
      <c r="A23" s="447" t="s">
        <v>149</v>
      </c>
      <c r="B23" s="448">
        <f t="shared" ca="1" si="2"/>
        <v>6021.1074836921325</v>
      </c>
      <c r="C23" s="448">
        <f t="shared" ca="1" si="3"/>
        <v>0</v>
      </c>
      <c r="D23" s="448">
        <f t="shared" ca="1" si="4"/>
        <v>8472.6794735652456</v>
      </c>
      <c r="E23" s="448">
        <f t="shared" si="5"/>
        <v>88.36449511880032</v>
      </c>
      <c r="F23" s="448">
        <f t="shared" ca="1" si="6"/>
        <v>1596.8669272917239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16179.018379667901</v>
      </c>
    </row>
    <row r="24" spans="1:17">
      <c r="A24" s="447" t="s">
        <v>187</v>
      </c>
      <c r="B24" s="448">
        <f t="shared" ca="1" si="2"/>
        <v>429.21801367398166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429.21801367398166</v>
      </c>
    </row>
    <row r="25" spans="1:17">
      <c r="A25" s="447" t="s">
        <v>105</v>
      </c>
      <c r="B25" s="448">
        <f t="shared" ca="1" si="2"/>
        <v>148.24948592903144</v>
      </c>
      <c r="C25" s="448">
        <f t="shared" ca="1" si="3"/>
        <v>0</v>
      </c>
      <c r="D25" s="448">
        <f t="shared" si="4"/>
        <v>347.16193082048636</v>
      </c>
      <c r="E25" s="448">
        <f t="shared" si="5"/>
        <v>1.9902419149401362</v>
      </c>
      <c r="F25" s="448">
        <f t="shared" si="6"/>
        <v>640.95413765810486</v>
      </c>
      <c r="G25" s="448">
        <f t="shared" si="7"/>
        <v>0</v>
      </c>
      <c r="H25" s="448">
        <f t="shared" si="8"/>
        <v>0</v>
      </c>
      <c r="I25" s="448">
        <f t="shared" si="9"/>
        <v>0</v>
      </c>
      <c r="J25" s="448">
        <f t="shared" si="10"/>
        <v>37.041054062203337</v>
      </c>
      <c r="K25" s="448">
        <f t="shared" si="11"/>
        <v>0</v>
      </c>
      <c r="L25" s="448">
        <f t="shared" si="12"/>
        <v>0</v>
      </c>
      <c r="M25" s="448">
        <f t="shared" si="13"/>
        <v>0</v>
      </c>
      <c r="N25" s="448">
        <f t="shared" si="14"/>
        <v>0</v>
      </c>
      <c r="O25" s="448">
        <f t="shared" si="15"/>
        <v>0</v>
      </c>
      <c r="P25" s="449">
        <f t="shared" si="16"/>
        <v>0</v>
      </c>
      <c r="Q25" s="447">
        <f t="shared" ca="1" si="17"/>
        <v>1175.3968503847661</v>
      </c>
    </row>
    <row r="26" spans="1:17">
      <c r="A26" s="447" t="s">
        <v>639</v>
      </c>
      <c r="B26" s="448">
        <f t="shared" ca="1" si="2"/>
        <v>695.67423454338007</v>
      </c>
      <c r="C26" s="448">
        <f t="shared" ca="1" si="3"/>
        <v>0</v>
      </c>
      <c r="D26" s="448">
        <f t="shared" si="4"/>
        <v>813.24234192318363</v>
      </c>
      <c r="E26" s="448">
        <f t="shared" si="5"/>
        <v>109.27656850703416</v>
      </c>
      <c r="F26" s="448">
        <f t="shared" si="6"/>
        <v>481.33650556198927</v>
      </c>
      <c r="G26" s="448">
        <f t="shared" si="7"/>
        <v>0</v>
      </c>
      <c r="H26" s="448">
        <f t="shared" si="8"/>
        <v>0</v>
      </c>
      <c r="I26" s="448">
        <f t="shared" si="9"/>
        <v>0</v>
      </c>
      <c r="J26" s="448">
        <f t="shared" si="10"/>
        <v>0.85933274639783741</v>
      </c>
      <c r="K26" s="448">
        <f t="shared" si="11"/>
        <v>0</v>
      </c>
      <c r="L26" s="448">
        <f t="shared" si="12"/>
        <v>0</v>
      </c>
      <c r="M26" s="448">
        <f t="shared" si="13"/>
        <v>0</v>
      </c>
      <c r="N26" s="448">
        <f t="shared" si="14"/>
        <v>0</v>
      </c>
      <c r="O26" s="448">
        <f t="shared" si="15"/>
        <v>0</v>
      </c>
      <c r="P26" s="449">
        <f t="shared" si="16"/>
        <v>0</v>
      </c>
      <c r="Q26" s="447">
        <f t="shared" ca="1" si="17"/>
        <v>2100.388983281985</v>
      </c>
    </row>
    <row r="27" spans="1:17" s="453" customFormat="1">
      <c r="A27" s="451" t="s">
        <v>557</v>
      </c>
      <c r="B27" s="761">
        <f t="shared" ca="1" si="2"/>
        <v>5.7651941591701394</v>
      </c>
      <c r="C27" s="452">
        <f t="shared" ca="1" si="3"/>
        <v>0</v>
      </c>
      <c r="D27" s="452">
        <f t="shared" si="4"/>
        <v>4.9969200744397684</v>
      </c>
      <c r="E27" s="452">
        <f t="shared" si="5"/>
        <v>225.79575009877615</v>
      </c>
      <c r="F27" s="452">
        <f t="shared" si="6"/>
        <v>0</v>
      </c>
      <c r="G27" s="452">
        <f t="shared" si="7"/>
        <v>62931.280040382881</v>
      </c>
      <c r="H27" s="452">
        <f t="shared" si="8"/>
        <v>10870.665657771322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74038.503562486585</v>
      </c>
    </row>
    <row r="28" spans="1:17">
      <c r="A28" s="447" t="s">
        <v>547</v>
      </c>
      <c r="B28" s="448">
        <f t="shared" ca="1" si="2"/>
        <v>4.5417107737345868</v>
      </c>
      <c r="C28" s="448">
        <f t="shared" ca="1" si="3"/>
        <v>0</v>
      </c>
      <c r="D28" s="448">
        <f t="shared" si="4"/>
        <v>0</v>
      </c>
      <c r="E28" s="448">
        <f t="shared" si="5"/>
        <v>0</v>
      </c>
      <c r="F28" s="448">
        <f t="shared" si="6"/>
        <v>0</v>
      </c>
      <c r="G28" s="448">
        <f t="shared" si="7"/>
        <v>1107.7566772881946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1112.2983880619292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359.94569341685849</v>
      </c>
      <c r="C32" s="448">
        <f t="shared" ca="1" si="3"/>
        <v>0</v>
      </c>
      <c r="D32" s="448">
        <f t="shared" si="4"/>
        <v>1456.3019027158671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1816.2475961327254</v>
      </c>
    </row>
    <row r="33" spans="1:17" s="460" customFormat="1">
      <c r="A33" s="457" t="s">
        <v>551</v>
      </c>
      <c r="B33" s="458">
        <f ca="1">SUM(B22:B32)</f>
        <v>17418.410155532507</v>
      </c>
      <c r="C33" s="458">
        <f t="shared" ref="C33:Q33" ca="1" si="18">SUM(C22:C32)</f>
        <v>0</v>
      </c>
      <c r="D33" s="458">
        <f t="shared" ca="1" si="18"/>
        <v>40050.76092221561</v>
      </c>
      <c r="E33" s="458">
        <f t="shared" si="18"/>
        <v>968.5754929247704</v>
      </c>
      <c r="F33" s="458">
        <f t="shared" ca="1" si="18"/>
        <v>22297.245016511202</v>
      </c>
      <c r="G33" s="458">
        <f t="shared" si="18"/>
        <v>64039.036717671072</v>
      </c>
      <c r="H33" s="458">
        <f t="shared" si="18"/>
        <v>10870.665657771322</v>
      </c>
      <c r="I33" s="458">
        <f t="shared" si="18"/>
        <v>0</v>
      </c>
      <c r="J33" s="458">
        <f t="shared" si="18"/>
        <v>529.48307394605058</v>
      </c>
      <c r="K33" s="458">
        <f t="shared" si="18"/>
        <v>0</v>
      </c>
      <c r="L33" s="458">
        <f t="shared" ca="1" si="18"/>
        <v>0</v>
      </c>
      <c r="M33" s="458">
        <f t="shared" si="18"/>
        <v>0</v>
      </c>
      <c r="N33" s="458">
        <f t="shared" ca="1" si="18"/>
        <v>0</v>
      </c>
      <c r="O33" s="458">
        <f t="shared" si="18"/>
        <v>0</v>
      </c>
      <c r="P33" s="458">
        <f t="shared" si="18"/>
        <v>0</v>
      </c>
      <c r="Q33" s="458">
        <f t="shared" ca="1" si="18"/>
        <v>156174.17703657251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23.235874439461885</v>
      </c>
      <c r="C5" s="1020"/>
      <c r="D5" s="1020"/>
      <c r="E5" s="1020"/>
      <c r="F5" s="1020"/>
      <c r="G5" s="1020"/>
      <c r="H5" s="1020"/>
      <c r="I5" s="1020"/>
      <c r="J5" s="1020"/>
      <c r="K5" s="1020"/>
      <c r="L5" s="1020"/>
      <c r="M5" s="1020"/>
      <c r="N5" s="1020"/>
      <c r="O5" s="1020"/>
      <c r="P5" s="1021">
        <f>'SEAP template'!Q73</f>
        <v>0</v>
      </c>
    </row>
    <row r="6" spans="1:16">
      <c r="A6" s="1022" t="s">
        <v>240</v>
      </c>
      <c r="B6" s="1020">
        <f>'SEAP template'!B74</f>
        <v>2909.0394242313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2932.2752986707619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0.21307285806675852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0.21307285806675852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0.21307285806675852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0.21307285806675852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9652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1540</v>
      </c>
      <c r="C14" s="327"/>
      <c r="D14" s="327"/>
      <c r="E14" s="327"/>
      <c r="F14" s="327"/>
    </row>
    <row r="15" spans="1:6">
      <c r="A15" s="1296" t="s">
        <v>177</v>
      </c>
      <c r="B15" s="1297">
        <v>2</v>
      </c>
      <c r="C15" s="327"/>
      <c r="D15" s="327"/>
      <c r="E15" s="327"/>
      <c r="F15" s="327"/>
    </row>
    <row r="16" spans="1:6">
      <c r="A16" s="1296" t="s">
        <v>6</v>
      </c>
      <c r="B16" s="1297">
        <v>131</v>
      </c>
      <c r="C16" s="327"/>
      <c r="D16" s="327"/>
      <c r="E16" s="327"/>
      <c r="F16" s="327"/>
    </row>
    <row r="17" spans="1:6">
      <c r="A17" s="1296" t="s">
        <v>7</v>
      </c>
      <c r="B17" s="1297">
        <v>57</v>
      </c>
      <c r="C17" s="327"/>
      <c r="D17" s="327"/>
      <c r="E17" s="327"/>
      <c r="F17" s="327"/>
    </row>
    <row r="18" spans="1:6">
      <c r="A18" s="1296" t="s">
        <v>8</v>
      </c>
      <c r="B18" s="1297">
        <v>135</v>
      </c>
      <c r="C18" s="327"/>
      <c r="D18" s="327"/>
      <c r="E18" s="327"/>
      <c r="F18" s="327"/>
    </row>
    <row r="19" spans="1:6">
      <c r="A19" s="1296" t="s">
        <v>9</v>
      </c>
      <c r="B19" s="1297">
        <v>186</v>
      </c>
      <c r="C19" s="327"/>
      <c r="D19" s="327"/>
      <c r="E19" s="327"/>
      <c r="F19" s="327"/>
    </row>
    <row r="20" spans="1:6">
      <c r="A20" s="1296" t="s">
        <v>10</v>
      </c>
      <c r="B20" s="1297">
        <v>88</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161</v>
      </c>
      <c r="C26" s="327"/>
      <c r="D26" s="327"/>
      <c r="E26" s="327"/>
      <c r="F26" s="327"/>
    </row>
    <row r="27" spans="1:6">
      <c r="A27" s="1296" t="s">
        <v>17</v>
      </c>
      <c r="B27" s="1297">
        <v>0</v>
      </c>
      <c r="C27" s="327"/>
      <c r="D27" s="327"/>
      <c r="E27" s="327"/>
      <c r="F27" s="327"/>
    </row>
    <row r="28" spans="1:6">
      <c r="A28" s="1296" t="s">
        <v>18</v>
      </c>
      <c r="B28" s="1298">
        <v>28</v>
      </c>
      <c r="C28" s="327"/>
      <c r="D28" s="327"/>
      <c r="E28" s="327"/>
      <c r="F28" s="327"/>
    </row>
    <row r="29" spans="1:6">
      <c r="A29" s="1296" t="s">
        <v>922</v>
      </c>
      <c r="B29" s="1298">
        <v>109</v>
      </c>
      <c r="C29" s="327"/>
      <c r="D29" s="327"/>
      <c r="E29" s="327"/>
      <c r="F29" s="327"/>
    </row>
    <row r="30" spans="1:6">
      <c r="A30" s="1291" t="s">
        <v>923</v>
      </c>
      <c r="B30" s="1299">
        <v>35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15</v>
      </c>
      <c r="F36" s="1297">
        <v>47132.189244384303</v>
      </c>
    </row>
    <row r="37" spans="1:6">
      <c r="A37" s="1296" t="s">
        <v>24</v>
      </c>
      <c r="B37" s="1296" t="s">
        <v>27</v>
      </c>
      <c r="C37" s="1297">
        <v>0</v>
      </c>
      <c r="D37" s="1297">
        <v>0</v>
      </c>
      <c r="E37" s="1297">
        <v>0</v>
      </c>
      <c r="F37" s="1297">
        <v>0</v>
      </c>
    </row>
    <row r="38" spans="1:6">
      <c r="A38" s="1296" t="s">
        <v>24</v>
      </c>
      <c r="B38" s="1296" t="s">
        <v>28</v>
      </c>
      <c r="C38" s="1297">
        <v>2</v>
      </c>
      <c r="D38" s="1297">
        <v>30034.834586368401</v>
      </c>
      <c r="E38" s="1297">
        <v>2</v>
      </c>
      <c r="F38" s="1297">
        <v>21850.459488652799</v>
      </c>
    </row>
    <row r="39" spans="1:6">
      <c r="A39" s="1296" t="s">
        <v>29</v>
      </c>
      <c r="B39" s="1296" t="s">
        <v>30</v>
      </c>
      <c r="C39" s="1297">
        <v>5755</v>
      </c>
      <c r="D39" s="1297">
        <v>158896585.166814</v>
      </c>
      <c r="E39" s="1297">
        <v>9374</v>
      </c>
      <c r="F39" s="1297">
        <v>43114366.103355199</v>
      </c>
    </row>
    <row r="40" spans="1:6">
      <c r="A40" s="1296" t="s">
        <v>29</v>
      </c>
      <c r="B40" s="1296" t="s">
        <v>28</v>
      </c>
      <c r="C40" s="1297">
        <v>1</v>
      </c>
      <c r="D40" s="1297">
        <v>26261.494710348899</v>
      </c>
      <c r="E40" s="1297">
        <v>1</v>
      </c>
      <c r="F40" s="1297">
        <v>7530.4512092061996</v>
      </c>
    </row>
    <row r="41" spans="1:6">
      <c r="A41" s="1296" t="s">
        <v>31</v>
      </c>
      <c r="B41" s="1296" t="s">
        <v>32</v>
      </c>
      <c r="C41" s="1297">
        <v>57</v>
      </c>
      <c r="D41" s="1297">
        <v>1712344.3932124299</v>
      </c>
      <c r="E41" s="1297">
        <v>145</v>
      </c>
      <c r="F41" s="1297">
        <v>1444138.07061528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8</v>
      </c>
      <c r="F44" s="1297">
        <v>91339.594173875201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9</v>
      </c>
      <c r="D47" s="1297">
        <v>303542.86115056399</v>
      </c>
      <c r="E47" s="1297">
        <v>16</v>
      </c>
      <c r="F47" s="1297">
        <v>405452.26403572201</v>
      </c>
    </row>
    <row r="48" spans="1:6">
      <c r="A48" s="1296" t="s">
        <v>31</v>
      </c>
      <c r="B48" s="1296" t="s">
        <v>28</v>
      </c>
      <c r="C48" s="1297">
        <v>27</v>
      </c>
      <c r="D48" s="1297">
        <v>2111124.6515736901</v>
      </c>
      <c r="E48" s="1297">
        <v>26</v>
      </c>
      <c r="F48" s="1297">
        <v>945151.03192484996</v>
      </c>
    </row>
    <row r="49" spans="1:6">
      <c r="A49" s="1296" t="s">
        <v>31</v>
      </c>
      <c r="B49" s="1296" t="s">
        <v>39</v>
      </c>
      <c r="C49" s="1297">
        <v>0</v>
      </c>
      <c r="D49" s="1297">
        <v>0</v>
      </c>
      <c r="E49" s="1297">
        <v>0</v>
      </c>
      <c r="F49" s="1297">
        <v>0</v>
      </c>
    </row>
    <row r="50" spans="1:6">
      <c r="A50" s="1296" t="s">
        <v>31</v>
      </c>
      <c r="B50" s="1296" t="s">
        <v>40</v>
      </c>
      <c r="C50" s="1297">
        <v>4</v>
      </c>
      <c r="D50" s="1297">
        <v>336349.721267897</v>
      </c>
      <c r="E50" s="1297">
        <v>10</v>
      </c>
      <c r="F50" s="1297">
        <v>378878.45667835401</v>
      </c>
    </row>
    <row r="51" spans="1:6">
      <c r="A51" s="1296" t="s">
        <v>41</v>
      </c>
      <c r="B51" s="1296" t="s">
        <v>42</v>
      </c>
      <c r="C51" s="1297">
        <v>22</v>
      </c>
      <c r="D51" s="1297">
        <v>1813109.12240693</v>
      </c>
      <c r="E51" s="1297">
        <v>105</v>
      </c>
      <c r="F51" s="1297">
        <v>550554.916980849</v>
      </c>
    </row>
    <row r="52" spans="1:6">
      <c r="A52" s="1296" t="s">
        <v>41</v>
      </c>
      <c r="B52" s="1296" t="s">
        <v>28</v>
      </c>
      <c r="C52" s="1297">
        <v>4</v>
      </c>
      <c r="D52" s="1297">
        <v>92238.349769786</v>
      </c>
      <c r="E52" s="1297">
        <v>13</v>
      </c>
      <c r="F52" s="1297">
        <v>145214.06680301201</v>
      </c>
    </row>
    <row r="53" spans="1:6">
      <c r="A53" s="1296" t="s">
        <v>43</v>
      </c>
      <c r="B53" s="1296" t="s">
        <v>44</v>
      </c>
      <c r="C53" s="1297">
        <v>197</v>
      </c>
      <c r="D53" s="1297">
        <v>7209415.3599795401</v>
      </c>
      <c r="E53" s="1297">
        <v>335</v>
      </c>
      <c r="F53" s="1297">
        <v>1689308.0455328701</v>
      </c>
    </row>
    <row r="54" spans="1:6">
      <c r="A54" s="1296" t="s">
        <v>45</v>
      </c>
      <c r="B54" s="1296" t="s">
        <v>46</v>
      </c>
      <c r="C54" s="1297">
        <v>0</v>
      </c>
      <c r="D54" s="1297">
        <v>0</v>
      </c>
      <c r="E54" s="1297">
        <v>1</v>
      </c>
      <c r="F54" s="1297">
        <v>2014419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41</v>
      </c>
      <c r="D57" s="1297">
        <v>1443400.0029195701</v>
      </c>
      <c r="E57" s="1297">
        <v>166</v>
      </c>
      <c r="F57" s="1297">
        <v>5713791.5605006199</v>
      </c>
    </row>
    <row r="58" spans="1:6">
      <c r="A58" s="1296" t="s">
        <v>48</v>
      </c>
      <c r="B58" s="1296" t="s">
        <v>50</v>
      </c>
      <c r="C58" s="1297">
        <v>41</v>
      </c>
      <c r="D58" s="1297">
        <v>2623191.4761431301</v>
      </c>
      <c r="E58" s="1297">
        <v>54</v>
      </c>
      <c r="F58" s="1297">
        <v>595952.01879556803</v>
      </c>
    </row>
    <row r="59" spans="1:6">
      <c r="A59" s="1296" t="s">
        <v>48</v>
      </c>
      <c r="B59" s="1296" t="s">
        <v>51</v>
      </c>
      <c r="C59" s="1297">
        <v>140</v>
      </c>
      <c r="D59" s="1297">
        <v>7152512.0232747998</v>
      </c>
      <c r="E59" s="1297">
        <v>295</v>
      </c>
      <c r="F59" s="1297">
        <v>7974397.57450487</v>
      </c>
    </row>
    <row r="60" spans="1:6">
      <c r="A60" s="1296" t="s">
        <v>48</v>
      </c>
      <c r="B60" s="1296" t="s">
        <v>52</v>
      </c>
      <c r="C60" s="1297">
        <v>65</v>
      </c>
      <c r="D60" s="1297">
        <v>4179682.0155581101</v>
      </c>
      <c r="E60" s="1297">
        <v>86</v>
      </c>
      <c r="F60" s="1297">
        <v>2966485.7757259002</v>
      </c>
    </row>
    <row r="61" spans="1:6">
      <c r="A61" s="1296" t="s">
        <v>48</v>
      </c>
      <c r="B61" s="1296" t="s">
        <v>53</v>
      </c>
      <c r="C61" s="1297">
        <v>276</v>
      </c>
      <c r="D61" s="1297">
        <v>21345171.4866076</v>
      </c>
      <c r="E61" s="1297">
        <v>527</v>
      </c>
      <c r="F61" s="1297">
        <v>6153876.30512348</v>
      </c>
    </row>
    <row r="62" spans="1:6">
      <c r="A62" s="1296" t="s">
        <v>48</v>
      </c>
      <c r="B62" s="1296" t="s">
        <v>54</v>
      </c>
      <c r="C62" s="1297">
        <v>5</v>
      </c>
      <c r="D62" s="1297">
        <v>1609697.50354997</v>
      </c>
      <c r="E62" s="1297">
        <v>13</v>
      </c>
      <c r="F62" s="1297">
        <v>220378.36310754099</v>
      </c>
    </row>
    <row r="63" spans="1:6">
      <c r="A63" s="1296" t="s">
        <v>48</v>
      </c>
      <c r="B63" s="1296" t="s">
        <v>28</v>
      </c>
      <c r="C63" s="1297">
        <v>118</v>
      </c>
      <c r="D63" s="1297">
        <v>8147407.3433070797</v>
      </c>
      <c r="E63" s="1297">
        <v>117</v>
      </c>
      <c r="F63" s="1297">
        <v>4633562.6654979298</v>
      </c>
    </row>
    <row r="64" spans="1:6">
      <c r="A64" s="1296" t="s">
        <v>55</v>
      </c>
      <c r="B64" s="1296" t="s">
        <v>56</v>
      </c>
      <c r="C64" s="1297">
        <v>0</v>
      </c>
      <c r="D64" s="1297">
        <v>0</v>
      </c>
      <c r="E64" s="1297">
        <v>0</v>
      </c>
      <c r="F64" s="1297">
        <v>0</v>
      </c>
    </row>
    <row r="65" spans="1:6">
      <c r="A65" s="1296" t="s">
        <v>55</v>
      </c>
      <c r="B65" s="1296" t="s">
        <v>28</v>
      </c>
      <c r="C65" s="1297">
        <v>1</v>
      </c>
      <c r="D65" s="1297">
        <v>4469.6684331828001</v>
      </c>
      <c r="E65" s="1297">
        <v>3</v>
      </c>
      <c r="F65" s="1297">
        <v>19075.2341769212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321382.80037798901</v>
      </c>
      <c r="E68" s="1299">
        <v>15</v>
      </c>
      <c r="F68" s="1299">
        <v>88687.636216872095</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86455065</v>
      </c>
      <c r="E73" s="446"/>
      <c r="F73" s="327"/>
    </row>
    <row r="74" spans="1:6">
      <c r="A74" s="1296" t="s">
        <v>63</v>
      </c>
      <c r="B74" s="1296" t="s">
        <v>706</v>
      </c>
      <c r="C74" s="1309" t="s">
        <v>707</v>
      </c>
      <c r="D74" s="1297">
        <v>3016073.8235852621</v>
      </c>
      <c r="E74" s="446"/>
      <c r="F74" s="327"/>
    </row>
    <row r="75" spans="1:6">
      <c r="A75" s="1296" t="s">
        <v>64</v>
      </c>
      <c r="B75" s="1296" t="s">
        <v>704</v>
      </c>
      <c r="C75" s="1309" t="s">
        <v>708</v>
      </c>
      <c r="D75" s="1297">
        <v>48392706</v>
      </c>
      <c r="E75" s="446"/>
      <c r="F75" s="327"/>
    </row>
    <row r="76" spans="1:6">
      <c r="A76" s="1296" t="s">
        <v>64</v>
      </c>
      <c r="B76" s="1296" t="s">
        <v>706</v>
      </c>
      <c r="C76" s="1309" t="s">
        <v>709</v>
      </c>
      <c r="D76" s="1297">
        <v>926042.82358526206</v>
      </c>
      <c r="E76" s="446"/>
      <c r="F76" s="327"/>
    </row>
    <row r="77" spans="1:6">
      <c r="A77" s="1296" t="s">
        <v>65</v>
      </c>
      <c r="B77" s="1296" t="s">
        <v>704</v>
      </c>
      <c r="C77" s="1309" t="s">
        <v>710</v>
      </c>
      <c r="D77" s="1297">
        <v>216069536</v>
      </c>
      <c r="E77" s="446"/>
      <c r="F77" s="327"/>
    </row>
    <row r="78" spans="1:6">
      <c r="A78" s="1291" t="s">
        <v>65</v>
      </c>
      <c r="B78" s="1291" t="s">
        <v>706</v>
      </c>
      <c r="C78" s="1291" t="s">
        <v>711</v>
      </c>
      <c r="D78" s="1299">
        <v>16212459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1152972.3528294759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23.235874439461885</v>
      </c>
      <c r="C89" s="327"/>
      <c r="D89" s="327"/>
      <c r="E89" s="327"/>
      <c r="F89" s="327"/>
    </row>
    <row r="90" spans="1:6">
      <c r="A90" s="1296" t="s">
        <v>545</v>
      </c>
      <c r="B90" s="1297">
        <v>0</v>
      </c>
      <c r="C90" s="327"/>
      <c r="D90" s="327"/>
      <c r="E90" s="327"/>
      <c r="F90" s="327"/>
    </row>
    <row r="91" spans="1:6">
      <c r="A91" s="1296" t="s">
        <v>67</v>
      </c>
      <c r="B91" s="1297">
        <v>2655.4419006610483</v>
      </c>
      <c r="C91" s="327"/>
      <c r="D91" s="327"/>
      <c r="E91" s="327"/>
      <c r="F91" s="327"/>
    </row>
    <row r="92" spans="1:6">
      <c r="A92" s="1291" t="s">
        <v>68</v>
      </c>
      <c r="B92" s="1292">
        <v>253.59752357025181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3706</v>
      </c>
      <c r="C97" s="327"/>
      <c r="D97" s="327"/>
      <c r="E97" s="327"/>
      <c r="F97" s="327"/>
    </row>
    <row r="98" spans="1:6">
      <c r="A98" s="1296" t="s">
        <v>71</v>
      </c>
      <c r="B98" s="1297">
        <v>4</v>
      </c>
      <c r="C98" s="327"/>
      <c r="D98" s="327"/>
      <c r="E98" s="327"/>
      <c r="F98" s="327"/>
    </row>
    <row r="99" spans="1:6">
      <c r="A99" s="1296" t="s">
        <v>72</v>
      </c>
      <c r="B99" s="1297">
        <v>74</v>
      </c>
      <c r="C99" s="327"/>
      <c r="D99" s="327"/>
      <c r="E99" s="327"/>
      <c r="F99" s="327"/>
    </row>
    <row r="100" spans="1:6">
      <c r="A100" s="1296" t="s">
        <v>73</v>
      </c>
      <c r="B100" s="1297">
        <v>477</v>
      </c>
      <c r="C100" s="327"/>
      <c r="D100" s="327"/>
      <c r="E100" s="327"/>
      <c r="F100" s="327"/>
    </row>
    <row r="101" spans="1:6">
      <c r="A101" s="1296" t="s">
        <v>74</v>
      </c>
      <c r="B101" s="1297">
        <v>44</v>
      </c>
      <c r="C101" s="327"/>
      <c r="D101" s="327"/>
      <c r="E101" s="327"/>
      <c r="F101" s="327"/>
    </row>
    <row r="102" spans="1:6">
      <c r="A102" s="1296" t="s">
        <v>75</v>
      </c>
      <c r="B102" s="1297">
        <v>114</v>
      </c>
      <c r="C102" s="327"/>
      <c r="D102" s="327"/>
      <c r="E102" s="327"/>
      <c r="F102" s="327"/>
    </row>
    <row r="103" spans="1:6">
      <c r="A103" s="1296" t="s">
        <v>76</v>
      </c>
      <c r="B103" s="1297">
        <v>138</v>
      </c>
      <c r="C103" s="327"/>
      <c r="D103" s="327"/>
      <c r="E103" s="327"/>
      <c r="F103" s="327"/>
    </row>
    <row r="104" spans="1:6">
      <c r="A104" s="1296" t="s">
        <v>77</v>
      </c>
      <c r="B104" s="1297">
        <v>3945</v>
      </c>
      <c r="C104" s="327"/>
      <c r="D104" s="327"/>
      <c r="E104" s="327"/>
      <c r="F104" s="327"/>
    </row>
    <row r="105" spans="1:6">
      <c r="A105" s="1291"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15</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135</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81748.610844066745</v>
      </c>
      <c r="C3" s="43" t="s">
        <v>163</v>
      </c>
      <c r="D3" s="43"/>
      <c r="E3" s="156"/>
      <c r="F3" s="43"/>
      <c r="G3" s="43"/>
      <c r="H3" s="43"/>
      <c r="I3" s="43"/>
      <c r="J3" s="43"/>
      <c r="K3" s="96"/>
    </row>
    <row r="4" spans="1:11">
      <c r="A4" s="353" t="s">
        <v>164</v>
      </c>
      <c r="B4" s="49">
        <f>IF(ISERROR('SEAP template'!B78+'SEAP template'!C78),0,'SEAP template'!B78+'SEAP template'!C78)</f>
        <v>2932.2752986707619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0.21307285806675852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2014.4190000000001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2014.4190000000001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0.21307285806675852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429.21801367398166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43121.89655456441</v>
      </c>
      <c r="C5" s="17">
        <f>IF(ISERROR('Eigen informatie GS &amp; warmtenet'!B57),0,'Eigen informatie GS &amp; warmtenet'!B57)</f>
        <v>0</v>
      </c>
      <c r="D5" s="30">
        <f>(SUM(HH_hh_gas_kWh,HH_rest_gas_kWh)/1000)*0.902</f>
        <v>143348.40768869498</v>
      </c>
      <c r="E5" s="17">
        <f>B32*B41</f>
        <v>2392.7243933269588</v>
      </c>
      <c r="F5" s="17">
        <f>B36*B45</f>
        <v>73326.170209735516</v>
      </c>
      <c r="G5" s="18"/>
      <c r="H5" s="17"/>
      <c r="I5" s="17"/>
      <c r="J5" s="17">
        <f>B35*B44+C35*C44</f>
        <v>1388.6516585803656</v>
      </c>
      <c r="K5" s="17"/>
      <c r="L5" s="17"/>
      <c r="M5" s="17"/>
      <c r="N5" s="17">
        <f>B34*B43+C34*C43</f>
        <v>15280.082862060892</v>
      </c>
      <c r="O5" s="17">
        <f>B52*B53*B54</f>
        <v>234.5</v>
      </c>
      <c r="P5" s="17">
        <f>B60*B61*B62/1000-B60*B61*B62/1000/B63</f>
        <v>324.13333333333333</v>
      </c>
    </row>
    <row r="6" spans="1:16">
      <c r="A6" s="16" t="s">
        <v>617</v>
      </c>
      <c r="B6" s="769">
        <f>kWh_PV_kleiner_dan_10kW</f>
        <v>2655.4419006610483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45777.338455225457</v>
      </c>
      <c r="C8" s="21">
        <f>C5</f>
        <v>0</v>
      </c>
      <c r="D8" s="21">
        <f>D5</f>
        <v>143348.40768869498</v>
      </c>
      <c r="E8" s="21">
        <f>E5</f>
        <v>2392.7243933269588</v>
      </c>
      <c r="F8" s="21">
        <f>F5</f>
        <v>73326.170209735516</v>
      </c>
      <c r="G8" s="21"/>
      <c r="H8" s="21"/>
      <c r="I8" s="21"/>
      <c r="J8" s="21">
        <f>J5</f>
        <v>1388.6516585803656</v>
      </c>
      <c r="K8" s="21"/>
      <c r="L8" s="21">
        <f>L5</f>
        <v>0</v>
      </c>
      <c r="M8" s="21">
        <f>M5</f>
        <v>0</v>
      </c>
      <c r="N8" s="21">
        <f>N5</f>
        <v>15280.082862060892</v>
      </c>
      <c r="O8" s="21">
        <f>O5</f>
        <v>234.5</v>
      </c>
      <c r="P8" s="21">
        <f>P5</f>
        <v>324.13333333333333</v>
      </c>
    </row>
    <row r="9" spans="1:16">
      <c r="B9" s="19"/>
      <c r="C9" s="19"/>
      <c r="D9" s="257"/>
      <c r="E9" s="19"/>
      <c r="F9" s="19"/>
      <c r="G9" s="19"/>
      <c r="H9" s="19"/>
      <c r="I9" s="19"/>
      <c r="J9" s="19"/>
      <c r="K9" s="19"/>
      <c r="L9" s="19"/>
      <c r="M9" s="19"/>
      <c r="N9" s="19"/>
      <c r="O9" s="19"/>
      <c r="P9" s="19"/>
    </row>
    <row r="10" spans="1:16">
      <c r="A10" s="24" t="s">
        <v>207</v>
      </c>
      <c r="B10" s="25">
        <f ca="1">'EF ele_warmte'!B12</f>
        <v>0.21307285806675852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9753.9083393442197</v>
      </c>
      <c r="C12" s="23">
        <f ca="1">C10*C8</f>
        <v>0</v>
      </c>
      <c r="D12" s="23">
        <f>D8*D10</f>
        <v>28956.378353116386</v>
      </c>
      <c r="E12" s="23">
        <f>E10*E8</f>
        <v>543.14843728521964</v>
      </c>
      <c r="F12" s="23">
        <f>F10*F8</f>
        <v>19578.087445999383</v>
      </c>
      <c r="G12" s="23"/>
      <c r="H12" s="23"/>
      <c r="I12" s="23"/>
      <c r="J12" s="23">
        <f>J10*J8</f>
        <v>491.5826871374494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9652</v>
      </c>
      <c r="C26" s="36"/>
      <c r="D26" s="227"/>
    </row>
    <row r="27" spans="1:5" s="15" customFormat="1">
      <c r="A27" s="229" t="s">
        <v>722</v>
      </c>
      <c r="B27" s="37">
        <f>SUM(HH_hh_gas_aantal,HH_rest_gas_aantal)</f>
        <v>5756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5468.2</v>
      </c>
      <c r="C31" s="34" t="s">
        <v>104</v>
      </c>
      <c r="D31" s="173"/>
    </row>
    <row r="32" spans="1:5">
      <c r="A32" s="170" t="s">
        <v>72</v>
      </c>
      <c r="B32" s="33">
        <f>IF((B21*($B$26-($B$27-0.05*$B$27)-$B$60))&lt;0,0,B21*($B$26-($B$27-0.05*$B$27)-$B$60))</f>
        <v>104.34318077747008</v>
      </c>
      <c r="C32" s="34" t="s">
        <v>104</v>
      </c>
      <c r="D32" s="173"/>
    </row>
    <row r="33" spans="1:6">
      <c r="A33" s="170" t="s">
        <v>73</v>
      </c>
      <c r="B33" s="33">
        <f>IF((B22*($B$26-($B$27-0.05*$B$27)-$B$60))&lt;0,0,B22*($B$26-($B$27-0.05*$B$27)-$B$60))</f>
        <v>702.35198443698937</v>
      </c>
      <c r="C33" s="34" t="s">
        <v>104</v>
      </c>
      <c r="D33" s="173"/>
    </row>
    <row r="34" spans="1:6">
      <c r="A34" s="170" t="s">
        <v>74</v>
      </c>
      <c r="B34" s="33">
        <f>IF((B24*($B$26-($B$27-0.05*$B$27)-$B$60))&lt;0,0,B24*($B$26-($B$27-0.05*$B$27)-$B$60))</f>
        <v>178.1962184941614</v>
      </c>
      <c r="C34" s="33">
        <f>B26*C24</f>
        <v>1974.4137727529737</v>
      </c>
      <c r="D34" s="232"/>
    </row>
    <row r="35" spans="1:6">
      <c r="A35" s="170" t="s">
        <v>76</v>
      </c>
      <c r="B35" s="33">
        <f>IF((B19*($B$26-($B$27-0.05*$B$27)-$B$60))&lt;0,0,B19*($B$26-($B$27-0.05*$B$27)-$B$60))</f>
        <v>66.223568129240022</v>
      </c>
      <c r="C35" s="33">
        <f>B35/2</f>
        <v>33.111784064620011</v>
      </c>
      <c r="D35" s="232"/>
    </row>
    <row r="36" spans="1:6">
      <c r="A36" s="170" t="s">
        <v>77</v>
      </c>
      <c r="B36" s="33">
        <f>IF((B18*($B$26-($B$27-0.05*$B$27)-$B$60))&lt;0,0,B18*($B$26-($B$27-0.05*$B$27)-$B$60))</f>
        <v>3115.6850481621395</v>
      </c>
      <c r="C36" s="34" t="s">
        <v>104</v>
      </c>
      <c r="D36" s="173"/>
    </row>
    <row r="37" spans="1:6">
      <c r="A37" s="170" t="s">
        <v>78</v>
      </c>
      <c r="B37" s="33">
        <f>B60</f>
        <v>17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150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28258.444263255908</v>
      </c>
      <c r="C5" s="17">
        <f>IF(ISERROR('Eigen informatie GS &amp; warmtenet'!B58),0,'Eigen informatie GS &amp; warmtenet'!B58)</f>
        <v>0</v>
      </c>
      <c r="D5" s="30">
        <f>SUM(D6:D12)</f>
        <v>41943.957789926957</v>
      </c>
      <c r="E5" s="17">
        <f>SUM(E6:E12)</f>
        <v>389.27090360704989</v>
      </c>
      <c r="F5" s="17">
        <f>SUM(F6:F12)</f>
        <v>5980.7750085832349</v>
      </c>
      <c r="G5" s="18"/>
      <c r="H5" s="17"/>
      <c r="I5" s="17"/>
      <c r="J5" s="17">
        <f>SUM(J6:J12)</f>
        <v>0</v>
      </c>
      <c r="K5" s="17"/>
      <c r="L5" s="17"/>
      <c r="M5" s="17"/>
      <c r="N5" s="17">
        <f>SUM(N6:N12)</f>
        <v>4379.2271357125064</v>
      </c>
      <c r="O5" s="17">
        <f>B38*B39*B40</f>
        <v>0</v>
      </c>
      <c r="P5" s="17">
        <f>B46*B47*B48/1000-B46*B47*B48/1000/B49</f>
        <v>0</v>
      </c>
      <c r="R5" s="32"/>
    </row>
    <row r="6" spans="1:18">
      <c r="A6" s="32" t="s">
        <v>53</v>
      </c>
      <c r="B6" s="37">
        <f>B26</f>
        <v>6153.8763051234801</v>
      </c>
      <c r="C6" s="33"/>
      <c r="D6" s="37">
        <f>IF(ISERROR(TER_kantoor_gas_kWh/1000),0,TER_kantoor_gas_kWh/1000)*0.902</f>
        <v>19253.344680920054</v>
      </c>
      <c r="E6" s="33">
        <f>$C$26*'E Balans VL '!I12/100/3.6*1000000</f>
        <v>23.909112296928949</v>
      </c>
      <c r="F6" s="33">
        <f>$C$26*('E Balans VL '!L12+'E Balans VL '!N12)/100/3.6*1000000</f>
        <v>935.94859019927799</v>
      </c>
      <c r="G6" s="34"/>
      <c r="H6" s="33"/>
      <c r="I6" s="33"/>
      <c r="J6" s="33">
        <f>$C$26*('E Balans VL '!D12+'E Balans VL '!E12)/100/3.6*1000000</f>
        <v>0</v>
      </c>
      <c r="K6" s="33"/>
      <c r="L6" s="33"/>
      <c r="M6" s="33"/>
      <c r="N6" s="33">
        <f>$C$26*'E Balans VL '!Y12/100/3.6*1000000</f>
        <v>3.3915230603490092</v>
      </c>
      <c r="O6" s="33"/>
      <c r="P6" s="33"/>
      <c r="R6" s="32"/>
    </row>
    <row r="7" spans="1:18">
      <c r="A7" s="32" t="s">
        <v>52</v>
      </c>
      <c r="B7" s="37">
        <f t="shared" ref="B7:B12" si="0">B27</f>
        <v>2966.4857757259001</v>
      </c>
      <c r="C7" s="33"/>
      <c r="D7" s="37">
        <f>IF(ISERROR(TER_horeca_gas_kWh/1000),0,TER_horeca_gas_kWh/1000)*0.902</f>
        <v>3770.0731780334154</v>
      </c>
      <c r="E7" s="33">
        <f>$C$27*'E Balans VL '!I9/100/3.6*1000000</f>
        <v>167.10293685353244</v>
      </c>
      <c r="F7" s="33">
        <f>$C$27*('E Balans VL '!L9+'E Balans VL '!N9)/100/3.6*1000000</f>
        <v>855.35689784148019</v>
      </c>
      <c r="G7" s="34"/>
      <c r="H7" s="33"/>
      <c r="I7" s="33"/>
      <c r="J7" s="33">
        <f>$C$27*('E Balans VL '!D9+'E Balans VL '!E9)/100/3.6*1000000</f>
        <v>0</v>
      </c>
      <c r="K7" s="33"/>
      <c r="L7" s="33"/>
      <c r="M7" s="33"/>
      <c r="N7" s="33">
        <f>$C$27*'E Balans VL '!Y9/100/3.6*1000000</f>
        <v>0.81903130736745111</v>
      </c>
      <c r="O7" s="33"/>
      <c r="P7" s="33"/>
      <c r="R7" s="32"/>
    </row>
    <row r="8" spans="1:18">
      <c r="A8" s="6" t="s">
        <v>51</v>
      </c>
      <c r="B8" s="37">
        <f t="shared" si="0"/>
        <v>7974.3975745048701</v>
      </c>
      <c r="C8" s="33"/>
      <c r="D8" s="37">
        <f>IF(ISERROR(TER_handel_gas_kWh/1000),0,TER_handel_gas_kWh/1000)*0.902</f>
        <v>6451.5658449938692</v>
      </c>
      <c r="E8" s="33">
        <f>$C$28*'E Balans VL '!I13/100/3.6*1000000</f>
        <v>114.93812348832678</v>
      </c>
      <c r="F8" s="33">
        <f>$C$28*('E Balans VL '!L13+'E Balans VL '!N13)/100/3.6*1000000</f>
        <v>1385.3385698794282</v>
      </c>
      <c r="G8" s="34"/>
      <c r="H8" s="33"/>
      <c r="I8" s="33"/>
      <c r="J8" s="33">
        <f>$C$28*('E Balans VL '!D13+'E Balans VL '!E13)/100/3.6*1000000</f>
        <v>0</v>
      </c>
      <c r="K8" s="33"/>
      <c r="L8" s="33"/>
      <c r="M8" s="33"/>
      <c r="N8" s="33">
        <f>$C$28*'E Balans VL '!Y13/100/3.6*1000000</f>
        <v>23.89218286144192</v>
      </c>
      <c r="O8" s="33"/>
      <c r="P8" s="33"/>
      <c r="R8" s="32"/>
    </row>
    <row r="9" spans="1:18">
      <c r="A9" s="32" t="s">
        <v>50</v>
      </c>
      <c r="B9" s="37">
        <f t="shared" si="0"/>
        <v>595.95201879556805</v>
      </c>
      <c r="C9" s="33"/>
      <c r="D9" s="37">
        <f>IF(ISERROR(TER_gezond_gas_kWh/1000),0,TER_gezond_gas_kWh/1000)*0.902</f>
        <v>2366.1187114811032</v>
      </c>
      <c r="E9" s="33">
        <f>$C$29*'E Balans VL '!I10/100/3.6*1000000</f>
        <v>0.63663122116438753</v>
      </c>
      <c r="F9" s="33">
        <f>$C$29*('E Balans VL '!L10+'E Balans VL '!N10)/100/3.6*1000000</f>
        <v>97.217885927052777</v>
      </c>
      <c r="G9" s="34"/>
      <c r="H9" s="33"/>
      <c r="I9" s="33"/>
      <c r="J9" s="33">
        <f>$C$29*('E Balans VL '!D10+'E Balans VL '!E10)/100/3.6*1000000</f>
        <v>0</v>
      </c>
      <c r="K9" s="33"/>
      <c r="L9" s="33"/>
      <c r="M9" s="33"/>
      <c r="N9" s="33">
        <f>$C$29*'E Balans VL '!Y10/100/3.6*1000000</f>
        <v>6.1349859900624173</v>
      </c>
      <c r="O9" s="33"/>
      <c r="P9" s="33"/>
      <c r="R9" s="32"/>
    </row>
    <row r="10" spans="1:18">
      <c r="A10" s="32" t="s">
        <v>49</v>
      </c>
      <c r="B10" s="37">
        <f t="shared" si="0"/>
        <v>5713.7915605006201</v>
      </c>
      <c r="C10" s="33"/>
      <c r="D10" s="37">
        <f>IF(ISERROR(TER_ander_gas_kWh/1000),0,TER_ander_gas_kWh/1000)*0.902</f>
        <v>1301.9468026334523</v>
      </c>
      <c r="E10" s="33">
        <f>$C$30*'E Balans VL '!I14/100/3.6*1000000</f>
        <v>26.276858254527152</v>
      </c>
      <c r="F10" s="33">
        <f>$C$30*('E Balans VL '!L14+'E Balans VL '!N14)/100/3.6*1000000</f>
        <v>1712.6035598665462</v>
      </c>
      <c r="G10" s="34"/>
      <c r="H10" s="33"/>
      <c r="I10" s="33"/>
      <c r="J10" s="33">
        <f>$C$30*('E Balans VL '!D14+'E Balans VL '!E14)/100/3.6*1000000</f>
        <v>0</v>
      </c>
      <c r="K10" s="33"/>
      <c r="L10" s="33"/>
      <c r="M10" s="33"/>
      <c r="N10" s="33">
        <f>$C$30*'E Balans VL '!Y14/100/3.6*1000000</f>
        <v>3977.1760978814482</v>
      </c>
      <c r="O10" s="33"/>
      <c r="P10" s="33"/>
      <c r="R10" s="32"/>
    </row>
    <row r="11" spans="1:18">
      <c r="A11" s="32" t="s">
        <v>54</v>
      </c>
      <c r="B11" s="37">
        <f t="shared" si="0"/>
        <v>220.37836310754099</v>
      </c>
      <c r="C11" s="33"/>
      <c r="D11" s="37">
        <f>IF(ISERROR(TER_onderwijs_gas_kWh/1000),0,TER_onderwijs_gas_kWh/1000)*0.902</f>
        <v>1451.9471482020729</v>
      </c>
      <c r="E11" s="33">
        <f>$C$31*'E Balans VL '!I11/100/3.6*1000000</f>
        <v>0.20442991347152342</v>
      </c>
      <c r="F11" s="33">
        <f>$C$31*('E Balans VL '!L11+'E Balans VL '!N11)/100/3.6*1000000</f>
        <v>77.413853927159749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4633.5626654979296</v>
      </c>
      <c r="C12" s="33"/>
      <c r="D12" s="37">
        <f>IF(ISERROR(TER_rest_gas_kWh/1000),0,TER_rest_gas_kWh/1000)*0.902</f>
        <v>7348.9614236629859</v>
      </c>
      <c r="E12" s="33">
        <f>$C$32*'E Balans VL '!I8/100/3.6*1000000</f>
        <v>56.202811579098629</v>
      </c>
      <c r="F12" s="33">
        <f>$C$32*('E Balans VL '!L8+'E Balans VL '!N8)/100/3.6*1000000</f>
        <v>916.89565094228999</v>
      </c>
      <c r="G12" s="34"/>
      <c r="H12" s="33"/>
      <c r="I12" s="33"/>
      <c r="J12" s="33">
        <f>$C$32*('E Balans VL '!D8+'E Balans VL '!E8)/100/3.6*1000000</f>
        <v>0</v>
      </c>
      <c r="K12" s="33"/>
      <c r="L12" s="33"/>
      <c r="M12" s="33"/>
      <c r="N12" s="33">
        <f>$C$32*'E Balans VL '!Y8/100/3.6*1000000</f>
        <v>367.81331461183754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28258.444263255908</v>
      </c>
      <c r="C16" s="21">
        <f t="shared" ca="1" si="1"/>
        <v>0</v>
      </c>
      <c r="D16" s="21">
        <f t="shared" ca="1" si="1"/>
        <v>41943.957789926957</v>
      </c>
      <c r="E16" s="21">
        <f t="shared" si="1"/>
        <v>389.27090360704989</v>
      </c>
      <c r="F16" s="21">
        <f t="shared" ca="1" si="1"/>
        <v>5980.7750085832349</v>
      </c>
      <c r="G16" s="21">
        <f t="shared" si="1"/>
        <v>0</v>
      </c>
      <c r="H16" s="21">
        <f t="shared" si="1"/>
        <v>0</v>
      </c>
      <c r="I16" s="21">
        <f t="shared" si="1"/>
        <v>0</v>
      </c>
      <c r="J16" s="21">
        <f t="shared" si="1"/>
        <v>0</v>
      </c>
      <c r="K16" s="21">
        <f t="shared" si="1"/>
        <v>0</v>
      </c>
      <c r="L16" s="21">
        <f t="shared" ca="1" si="1"/>
        <v>0</v>
      </c>
      <c r="M16" s="21">
        <f t="shared" si="1"/>
        <v>0</v>
      </c>
      <c r="N16" s="21">
        <f t="shared" ca="1" si="1"/>
        <v>4379.2271357125064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0.21307285806675852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6021.1074836921325</v>
      </c>
      <c r="C20" s="23">
        <f t="shared" ref="C20:P20" ca="1" si="2">C16*C18</f>
        <v>0</v>
      </c>
      <c r="D20" s="23">
        <f t="shared" ca="1" si="2"/>
        <v>8472.6794735652456</v>
      </c>
      <c r="E20" s="23">
        <f t="shared" si="2"/>
        <v>88.36449511880032</v>
      </c>
      <c r="F20" s="23">
        <f t="shared" ca="1" si="2"/>
        <v>1596.8669272917239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6153.8763051234801</v>
      </c>
      <c r="C26" s="39">
        <f>IF(ISERROR(B26*3.6/1000000/'E Balans VL '!Z12*100),0,B26*3.6/1000000/'E Balans VL '!Z12*100)</f>
        <v>0.13071138095487925</v>
      </c>
      <c r="D26" s="235" t="s">
        <v>672</v>
      </c>
      <c r="F26" s="6"/>
    </row>
    <row r="27" spans="1:18">
      <c r="A27" s="230" t="s">
        <v>52</v>
      </c>
      <c r="B27" s="33">
        <f>IF(ISERROR(TER_horeca_ele_kWh/1000),0,TER_horeca_ele_kWh/1000)</f>
        <v>2966.4857757259001</v>
      </c>
      <c r="C27" s="39">
        <f>IF(ISERROR(B27*3.6/1000000/'E Balans VL '!Z9*100),0,B27*3.6/1000000/'E Balans VL '!Z9*100)</f>
        <v>0.23066233519332624</v>
      </c>
      <c r="D27" s="235" t="s">
        <v>672</v>
      </c>
      <c r="F27" s="6"/>
    </row>
    <row r="28" spans="1:18">
      <c r="A28" s="170" t="s">
        <v>51</v>
      </c>
      <c r="B28" s="33">
        <f>IF(ISERROR(TER_handel_ele_kWh/1000),0,TER_handel_ele_kWh/1000)</f>
        <v>7974.3975745048701</v>
      </c>
      <c r="C28" s="39">
        <f>IF(ISERROR(B28*3.6/1000000/'E Balans VL '!Z13*100),0,B28*3.6/1000000/'E Balans VL '!Z13*100)</f>
        <v>0.2281568995337076</v>
      </c>
      <c r="D28" s="235" t="s">
        <v>672</v>
      </c>
      <c r="F28" s="6"/>
    </row>
    <row r="29" spans="1:18">
      <c r="A29" s="230" t="s">
        <v>50</v>
      </c>
      <c r="B29" s="33">
        <f>IF(ISERROR(TER_gezond_ele_kWh/1000),0,TER_gezond_ele_kWh/1000)</f>
        <v>595.95201879556805</v>
      </c>
      <c r="C29" s="39">
        <f>IF(ISERROR(B29*3.6/1000000/'E Balans VL '!Z10*100),0,B29*3.6/1000000/'E Balans VL '!Z10*100)</f>
        <v>6.4972618312786112E-2</v>
      </c>
      <c r="D29" s="235" t="s">
        <v>672</v>
      </c>
      <c r="F29" s="6"/>
    </row>
    <row r="30" spans="1:18">
      <c r="A30" s="230" t="s">
        <v>49</v>
      </c>
      <c r="B30" s="33">
        <f>IF(ISERROR(TER_ander_ele_kWh/1000),0,TER_ander_ele_kWh/1000)</f>
        <v>5713.7915605006201</v>
      </c>
      <c r="C30" s="39">
        <f>IF(ISERROR(B30*3.6/1000000/'E Balans VL '!Z14*100),0,B30*3.6/1000000/'E Balans VL '!Z14*100)</f>
        <v>0.41812230496853681</v>
      </c>
      <c r="D30" s="235" t="s">
        <v>672</v>
      </c>
      <c r="F30" s="6"/>
    </row>
    <row r="31" spans="1:18">
      <c r="A31" s="230" t="s">
        <v>54</v>
      </c>
      <c r="B31" s="33">
        <f>IF(ISERROR(TER_onderwijs_ele_kWh/1000),0,TER_onderwijs_ele_kWh/1000)</f>
        <v>220.37836310754099</v>
      </c>
      <c r="C31" s="39">
        <f>IF(ISERROR(B31*3.6/1000000/'E Balans VL '!Z11*100),0,B31*3.6/1000000/'E Balans VL '!Z11*100)</f>
        <v>4.4263157878609453E-2</v>
      </c>
      <c r="D31" s="235" t="s">
        <v>672</v>
      </c>
    </row>
    <row r="32" spans="1:18">
      <c r="A32" s="230" t="s">
        <v>249</v>
      </c>
      <c r="B32" s="33">
        <f>IF(ISERROR(TER_rest_ele_kWh/1000),0,TER_rest_ele_kWh/1000)</f>
        <v>4633.5626654979296</v>
      </c>
      <c r="C32" s="39">
        <f>IF(ISERROR(B32*3.6/1000000/'E Balans VL '!Z8*100),0,B32*3.6/1000000/'E Balans VL '!Z8*100)</f>
        <v>3.7760723757500177E-2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3264.959417428081</v>
      </c>
      <c r="C5" s="17">
        <f>IF(ISERROR('Eigen informatie GS &amp; warmtenet'!B59),0,'Eigen informatie GS &amp; warmtenet'!B59)</f>
        <v>0</v>
      </c>
      <c r="D5" s="30">
        <f>SUM(D6:D15)</f>
        <v>4025.9521877385323</v>
      </c>
      <c r="E5" s="17">
        <f>SUM(E6:E15)</f>
        <v>481.39457492085529</v>
      </c>
      <c r="F5" s="17">
        <f>SUM(F6:F15)</f>
        <v>1802.7584477977125</v>
      </c>
      <c r="G5" s="18"/>
      <c r="H5" s="17"/>
      <c r="I5" s="17"/>
      <c r="J5" s="17">
        <f>SUM(J6:J15)</f>
        <v>2.4274936338921962</v>
      </c>
      <c r="K5" s="17"/>
      <c r="L5" s="17"/>
      <c r="M5" s="17"/>
      <c r="N5" s="17">
        <f>SUM(N6:N15)</f>
        <v>354.53493157815365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91.339594173875199</v>
      </c>
      <c r="C8" s="33"/>
      <c r="D8" s="37">
        <f>IF( ISERROR(IND_metaal_Gas_kWH/1000),0,IND_metaal_Gas_kWH/1000)*0.902</f>
        <v>0</v>
      </c>
      <c r="E8" s="33">
        <f>C30*'E Balans VL '!I18/100/3.6*1000000</f>
        <v>2.6236159914502766</v>
      </c>
      <c r="F8" s="33">
        <f>C30*'E Balans VL '!L18/100/3.6*1000000+C30*'E Balans VL '!N18/100/3.6*1000000</f>
        <v>23.426849192743564</v>
      </c>
      <c r="G8" s="34"/>
      <c r="H8" s="33"/>
      <c r="I8" s="33"/>
      <c r="J8" s="40">
        <f>C30*'E Balans VL '!D18/100/3.6*1000000+C30*'E Balans VL '!E18/100/3.6*1000000</f>
        <v>0</v>
      </c>
      <c r="K8" s="33"/>
      <c r="L8" s="33"/>
      <c r="M8" s="33"/>
      <c r="N8" s="33">
        <f>C30*'E Balans VL '!Y18/100/3.6*1000000</f>
        <v>2.4800564323483067</v>
      </c>
      <c r="O8" s="33"/>
      <c r="P8" s="33"/>
      <c r="R8" s="32"/>
    </row>
    <row r="9" spans="1:18">
      <c r="A9" s="6" t="s">
        <v>32</v>
      </c>
      <c r="B9" s="37">
        <f t="shared" si="0"/>
        <v>1444.13807061528</v>
      </c>
      <c r="C9" s="33"/>
      <c r="D9" s="37">
        <f>IF( ISERROR(IND_andere_gas_kWh/1000),0,IND_andere_gas_kWh/1000)*0.902</f>
        <v>1544.5346426776118</v>
      </c>
      <c r="E9" s="33">
        <f>C31*'E Balans VL '!I19/100/3.6*1000000</f>
        <v>390.89266863440491</v>
      </c>
      <c r="F9" s="33">
        <f>C31*'E Balans VL '!L19/100/3.6*1000000+C31*'E Balans VL '!N19/100/3.6*1000000</f>
        <v>961.94877676061731</v>
      </c>
      <c r="G9" s="34"/>
      <c r="H9" s="33"/>
      <c r="I9" s="33"/>
      <c r="J9" s="40">
        <f>C31*'E Balans VL '!D19/100/3.6*1000000+C31*'E Balans VL '!E19/100/3.6*1000000</f>
        <v>0</v>
      </c>
      <c r="K9" s="33"/>
      <c r="L9" s="33"/>
      <c r="M9" s="33"/>
      <c r="N9" s="33">
        <f>C31*'E Balans VL '!Y19/100/3.6*1000000</f>
        <v>122.09230754821857</v>
      </c>
      <c r="O9" s="33"/>
      <c r="P9" s="33"/>
      <c r="R9" s="32"/>
    </row>
    <row r="10" spans="1:18">
      <c r="A10" s="6" t="s">
        <v>40</v>
      </c>
      <c r="B10" s="37">
        <f t="shared" si="0"/>
        <v>378.87845667835398</v>
      </c>
      <c r="C10" s="33"/>
      <c r="D10" s="37">
        <f>IF( ISERROR(IND_voed_gas_kWh/1000),0,IND_voed_gas_kWh/1000)*0.902</f>
        <v>303.38744858364311</v>
      </c>
      <c r="E10" s="33">
        <f>C32*'E Balans VL '!I20/100/3.6*1000000</f>
        <v>30.902197377290467</v>
      </c>
      <c r="F10" s="33">
        <f>C32*'E Balans VL '!L20/100/3.6*1000000+C32*'E Balans VL '!N20/100/3.6*1000000</f>
        <v>564.94215377298565</v>
      </c>
      <c r="G10" s="34"/>
      <c r="H10" s="33"/>
      <c r="I10" s="33"/>
      <c r="J10" s="40">
        <f>C32*'E Balans VL '!D20/100/3.6*1000000+C32*'E Balans VL '!E20/100/3.6*1000000</f>
        <v>5.0121020851036455E-3</v>
      </c>
      <c r="K10" s="33"/>
      <c r="L10" s="33"/>
      <c r="M10" s="33"/>
      <c r="N10" s="33">
        <f>C32*'E Balans VL '!Y20/100/3.6*1000000</f>
        <v>111.30112139293419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405.45226403572201</v>
      </c>
      <c r="C13" s="33"/>
      <c r="D13" s="37">
        <f>IF( ISERROR(IND_papier_gas_kWh/1000),0,IND_papier_gas_kWh/1000)*0.902</f>
        <v>273.79566075780872</v>
      </c>
      <c r="E13" s="33">
        <f>C35*'E Balans VL '!I23/100/3.6*1000000</f>
        <v>4.2478511096549738</v>
      </c>
      <c r="F13" s="33">
        <f>C35*'E Balans VL '!L23/100/3.6*1000000+C35*'E Balans VL '!N23/100/3.6*1000000</f>
        <v>30.254919807150944</v>
      </c>
      <c r="G13" s="34"/>
      <c r="H13" s="33"/>
      <c r="I13" s="33"/>
      <c r="J13" s="40">
        <f>C35*'E Balans VL '!D23/100/3.6*1000000+C35*'E Balans VL '!E23/100/3.6*1000000</f>
        <v>0</v>
      </c>
      <c r="K13" s="33"/>
      <c r="L13" s="33"/>
      <c r="M13" s="33"/>
      <c r="N13" s="33">
        <f>C35*'E Balans VL '!Y23/100/3.6*1000000</f>
        <v>74.797175830529753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945.15103192484992</v>
      </c>
      <c r="C15" s="33"/>
      <c r="D15" s="37">
        <f>IF( ISERROR(IND_rest_gas_kWh/1000),0,IND_rest_gas_kWh/1000)*0.902</f>
        <v>1904.2344357194686</v>
      </c>
      <c r="E15" s="33">
        <f>C37*'E Balans VL '!I15/100/3.6*1000000</f>
        <v>52.728241808054705</v>
      </c>
      <c r="F15" s="33">
        <f>C37*'E Balans VL '!L15/100/3.6*1000000+C37*'E Balans VL '!N15/100/3.6*1000000</f>
        <v>222.18574826421499</v>
      </c>
      <c r="G15" s="34"/>
      <c r="H15" s="33"/>
      <c r="I15" s="33"/>
      <c r="J15" s="40">
        <f>C37*'E Balans VL '!D15/100/3.6*1000000+C37*'E Balans VL '!E15/100/3.6*1000000</f>
        <v>2.4224815318070925</v>
      </c>
      <c r="K15" s="33"/>
      <c r="L15" s="33"/>
      <c r="M15" s="33"/>
      <c r="N15" s="33">
        <f>C37*'E Balans VL '!Y15/100/3.6*1000000</f>
        <v>43.864270374122846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3264.959417428081</v>
      </c>
      <c r="C18" s="21">
        <f>C5+C16</f>
        <v>0</v>
      </c>
      <c r="D18" s="21">
        <f>MAX((D5+D16),0)</f>
        <v>4025.9521877385323</v>
      </c>
      <c r="E18" s="21">
        <f>MAX((E5+E16),0)</f>
        <v>481.39457492085529</v>
      </c>
      <c r="F18" s="21">
        <f>MAX((F5+F16),0)</f>
        <v>1802.7584477977125</v>
      </c>
      <c r="G18" s="21"/>
      <c r="H18" s="21"/>
      <c r="I18" s="21"/>
      <c r="J18" s="21">
        <f>MAX((J5+J16),0)</f>
        <v>2.4274936338921962</v>
      </c>
      <c r="K18" s="21"/>
      <c r="L18" s="21">
        <f>MAX((L5+L16),0)</f>
        <v>0</v>
      </c>
      <c r="M18" s="21"/>
      <c r="N18" s="21">
        <f>MAX((N5+N16),0)</f>
        <v>354.53493157815365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0.21307285806675852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695.67423454338007</v>
      </c>
      <c r="C22" s="23">
        <f ca="1">C18*C20</f>
        <v>0</v>
      </c>
      <c r="D22" s="23">
        <f>D18*D20</f>
        <v>813.24234192318363</v>
      </c>
      <c r="E22" s="23">
        <f>E18*E20</f>
        <v>109.27656850703416</v>
      </c>
      <c r="F22" s="23">
        <f>F18*F20</f>
        <v>481.33650556198927</v>
      </c>
      <c r="G22" s="23"/>
      <c r="H22" s="23"/>
      <c r="I22" s="23"/>
      <c r="J22" s="23">
        <f>J18*J20</f>
        <v>0.85933274639783741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91.339594173875199</v>
      </c>
      <c r="C30" s="39">
        <f>IF(ISERROR(B30*3.6/1000000/'E Balans VL '!Z18*100),0,B30*3.6/1000000/'E Balans VL '!Z18*100)</f>
        <v>8.9875829015633249E-3</v>
      </c>
      <c r="D30" s="235" t="s">
        <v>672</v>
      </c>
    </row>
    <row r="31" spans="1:18">
      <c r="A31" s="6" t="s">
        <v>32</v>
      </c>
      <c r="B31" s="37">
        <f>IF( ISERROR(IND_ander_ele_kWh/1000),0,IND_ander_ele_kWh/1000)</f>
        <v>1444.13807061528</v>
      </c>
      <c r="C31" s="39">
        <f>IF(ISERROR(B31*3.6/1000000/'E Balans VL '!Z19*100),0,B31*3.6/1000000/'E Balans VL '!Z19*100)</f>
        <v>6.2891060997704251E-2</v>
      </c>
      <c r="D31" s="235" t="s">
        <v>672</v>
      </c>
    </row>
    <row r="32" spans="1:18">
      <c r="A32" s="170" t="s">
        <v>40</v>
      </c>
      <c r="B32" s="37">
        <f>IF( ISERROR(IND_voed_ele_kWh/1000),0,IND_voed_ele_kWh/1000)</f>
        <v>378.87845667835398</v>
      </c>
      <c r="C32" s="39">
        <f>IF(ISERROR(B32*3.6/1000000/'E Balans VL '!Z20*100),0,B32*3.6/1000000/'E Balans VL '!Z20*100)</f>
        <v>7.1886723132957825E-2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405.45226403572201</v>
      </c>
      <c r="C35" s="39">
        <f>IF(ISERROR(B35*3.6/1000000/'E Balans VL '!Z22*100),0,B35*3.6/1000000/'E Balans VL '!Z22*100)</f>
        <v>5.7010659748153149E-2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945.15103192484992</v>
      </c>
      <c r="C37" s="39">
        <f>IF(ISERROR(B37*3.6/1000000/'E Balans VL '!Z15*100),0,B37*3.6/1000000/'E Balans VL '!Z15*100)</f>
        <v>7.283549585739661E-3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695.76898378386102</v>
      </c>
      <c r="C5" s="17">
        <f>'Eigen informatie GS &amp; warmtenet'!B60</f>
        <v>0</v>
      </c>
      <c r="D5" s="30">
        <f>IF(ISERROR(SUM(LB_lb_gas_kWh,LB_rest_gas_kWh)/1000),0,SUM(LB_lb_gas_kWh,LB_rest_gas_kWh)/1000)*0.902</f>
        <v>1718.6234199033977</v>
      </c>
      <c r="E5" s="17">
        <f>B17*'E Balans VL '!I25/3.6*1000000/100</f>
        <v>8.7675855283706436</v>
      </c>
      <c r="F5" s="17">
        <f>B17*('E Balans VL '!L25/3.6*1000000+'E Balans VL '!N25/3.6*1000000)/100</f>
        <v>2400.5772945996437</v>
      </c>
      <c r="G5" s="18"/>
      <c r="H5" s="17"/>
      <c r="I5" s="17"/>
      <c r="J5" s="17">
        <f>('E Balans VL '!D25+'E Balans VL '!E25)/3.6*1000000*landbouw!B17/100</f>
        <v>104.63574593842752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695.76898378386102</v>
      </c>
      <c r="C8" s="21">
        <f>C5+C6</f>
        <v>0</v>
      </c>
      <c r="D8" s="21">
        <f>MAX((D5+D6),0)</f>
        <v>1718.6234199033977</v>
      </c>
      <c r="E8" s="21">
        <f>MAX((E5+E6),0)</f>
        <v>8.7675855283706436</v>
      </c>
      <c r="F8" s="21">
        <f>MAX((F5+F6),0)</f>
        <v>2400.5772945996437</v>
      </c>
      <c r="G8" s="21"/>
      <c r="H8" s="21"/>
      <c r="I8" s="21"/>
      <c r="J8" s="21">
        <f>MAX((J5+J6),0)</f>
        <v>104.63574593842752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0.21307285806675852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148.24948592903144</v>
      </c>
      <c r="C12" s="23">
        <f ca="1">C8*C10</f>
        <v>0</v>
      </c>
      <c r="D12" s="23">
        <f>D8*D10</f>
        <v>347.16193082048636</v>
      </c>
      <c r="E12" s="23">
        <f>E8*E10</f>
        <v>1.9902419149401362</v>
      </c>
      <c r="F12" s="23">
        <f>F8*F10</f>
        <v>640.95413765810486</v>
      </c>
      <c r="G12" s="23"/>
      <c r="H12" s="23"/>
      <c r="I12" s="23"/>
      <c r="J12" s="23">
        <f>J8*J10</f>
        <v>37.041054062203337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9.7037843872398291E-2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40.428940975689528</v>
      </c>
      <c r="C26" s="245">
        <f>B26*'GWP N2O_CH4'!B5</f>
        <v>849.00776048948012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5.6814199303261645</v>
      </c>
      <c r="C27" s="245">
        <f>B27*'GWP N2O_CH4'!B5</f>
        <v>119.30981853684946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0.5634732090152621</v>
      </c>
      <c r="C28" s="245">
        <f>B28*'GWP N2O_CH4'!B4</f>
        <v>174.67669479473125</v>
      </c>
      <c r="D28" s="50"/>
    </row>
    <row r="29" spans="1:4">
      <c r="A29" s="41" t="s">
        <v>266</v>
      </c>
      <c r="B29" s="245">
        <f>B34*'ha_N2O bodem landbouw'!B4</f>
        <v>9.1732011997448719</v>
      </c>
      <c r="C29" s="245">
        <f>B29*'GWP N2O_CH4'!B4</f>
        <v>2843.6923719209103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2.2904566783916234E-3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9.740658271223725E-5</v>
      </c>
      <c r="C5" s="434" t="s">
        <v>204</v>
      </c>
      <c r="D5" s="419">
        <f>SUM(D6:D11)</f>
        <v>8.9054021128629531E-5</v>
      </c>
      <c r="E5" s="419">
        <f>SUM(E6:E11)</f>
        <v>3.5809017636810312E-3</v>
      </c>
      <c r="F5" s="432" t="s">
        <v>204</v>
      </c>
      <c r="G5" s="419">
        <f>SUM(G6:G11)</f>
        <v>0.8485116409939264</v>
      </c>
      <c r="H5" s="419">
        <f>SUM(H6:H11)</f>
        <v>0.15716625047380223</v>
      </c>
      <c r="I5" s="434" t="s">
        <v>204</v>
      </c>
      <c r="J5" s="434" t="s">
        <v>204</v>
      </c>
      <c r="K5" s="434" t="s">
        <v>204</v>
      </c>
      <c r="L5" s="434" t="s">
        <v>204</v>
      </c>
      <c r="M5" s="419">
        <f>SUM(M6:M11)</f>
        <v>4.5475561607161388E-2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2.2540234999859908E-5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2.0080674562112095E-5</v>
      </c>
      <c r="E6" s="873">
        <f>vkm_GW_PW*SUMIFS(TableVerdeelsleutelVkm[LPG],TableVerdeelsleutelVkm[Voertuigtype],"Lichte voertuigen")*SUMIFS(TableECFTransport[EnergieConsumptieFactor (PJ per km)],TableECFTransport[Index],CONCATENATE($A6,"_LPG_LPG"))</f>
        <v>7.2275033015231887E-4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0.14166296635579836</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3.4729863156610766E-2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7.9794058120022816E-3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1.824204958438951E-7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2.8546251438954114E-2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6.507041426474928E-7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1.2889072373840494E-3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1.3644673574721583E-5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1.916623132232319E-5</v>
      </c>
      <c r="E8" s="422">
        <f>vkm_NGW_PW*SUMIFS(TableVerdeelsleutelVkm[LPG],TableVerdeelsleutelVkm[Voertuigtype],"Lichte voertuigen")*SUMIFS(TableECFTransport[EnergieConsumptieFactor (PJ per km)],TableECFTransport[Index],CONCATENATE($A8,"_LPG_LPG"))</f>
        <v>6.565240467678317E-4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0.12087817384816256</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3.1821026077458271E-2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6.9083550430171642E-3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5.6009634024904257E-8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1.1258440591156781E-2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2.4115102985072981E-7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5.0833523423941796E-4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6.0002669597936084E-5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4.9807115244194253E-5</v>
      </c>
      <c r="E10" s="422">
        <f>vkm_SW_PW*SUMIFS(TableVerdeelsleutelVkm[LPG],TableVerdeelsleutelVkm[Voertuigtype],"Lichte voertuigen")*SUMIFS(TableECFTransport[EnergieConsumptieFactor (PJ per km)],TableECFTransport[Index],CONCATENATE($A10,"_LPG_LPG"))</f>
        <v>2.2016273867608805E-3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0.39996374398527912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9.0610869231755736E-2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2.2189297588030062E-2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9.8057440985088462E-7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0.14620206477457542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3.6001528049419156E-6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6.6012606924884133E-3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27.057384086732569</v>
      </c>
      <c r="C14" s="21"/>
      <c r="D14" s="21">
        <f t="shared" ref="D14:M14" si="0">((D5)*10^9/3600)+D12</f>
        <v>24.737228091285981</v>
      </c>
      <c r="E14" s="21">
        <f t="shared" si="0"/>
        <v>994.69493435584207</v>
      </c>
      <c r="F14" s="21"/>
      <c r="G14" s="21">
        <f t="shared" si="0"/>
        <v>235697.67805386844</v>
      </c>
      <c r="H14" s="21">
        <f t="shared" si="0"/>
        <v>43657.291798278398</v>
      </c>
      <c r="I14" s="21"/>
      <c r="J14" s="21"/>
      <c r="K14" s="21"/>
      <c r="L14" s="21"/>
      <c r="M14" s="21">
        <f t="shared" si="0"/>
        <v>12632.100446433718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0.21307285806675852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5.7651941591701394</v>
      </c>
      <c r="C18" s="23"/>
      <c r="D18" s="23">
        <f t="shared" ref="D18:M18" si="1">D14*D16</f>
        <v>4.9969200744397684</v>
      </c>
      <c r="E18" s="23">
        <f t="shared" si="1"/>
        <v>225.79575009877615</v>
      </c>
      <c r="F18" s="23"/>
      <c r="G18" s="23">
        <f t="shared" si="1"/>
        <v>62931.280040382881</v>
      </c>
      <c r="H18" s="23">
        <f t="shared" si="1"/>
        <v>10870.665657771322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7.6735061113798893E-5</v>
      </c>
      <c r="C50" s="316">
        <f t="shared" ref="C50:P50" si="2">SUM(C51:C52)</f>
        <v>0</v>
      </c>
      <c r="D50" s="316">
        <f t="shared" si="2"/>
        <v>0</v>
      </c>
      <c r="E50" s="316">
        <f t="shared" si="2"/>
        <v>0</v>
      </c>
      <c r="F50" s="316">
        <f t="shared" si="2"/>
        <v>0</v>
      </c>
      <c r="G50" s="316">
        <f t="shared" si="2"/>
        <v>1.4936045087031837E-2</v>
      </c>
      <c r="H50" s="316">
        <f t="shared" si="2"/>
        <v>0</v>
      </c>
      <c r="I50" s="316">
        <f t="shared" si="2"/>
        <v>0</v>
      </c>
      <c r="J50" s="316">
        <f t="shared" si="2"/>
        <v>0</v>
      </c>
      <c r="K50" s="316">
        <f t="shared" si="2"/>
        <v>0</v>
      </c>
      <c r="L50" s="316">
        <f t="shared" si="2"/>
        <v>0</v>
      </c>
      <c r="M50" s="316">
        <f t="shared" si="2"/>
        <v>6.6974481171415314E-4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7.6735061113798893E-5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1.4936045087031837E-2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6.6974481171415314E-4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21.315294753833026</v>
      </c>
      <c r="C54" s="21">
        <f t="shared" ref="C54:P54" si="3">(C50)*10^9/3600</f>
        <v>0</v>
      </c>
      <c r="D54" s="21">
        <f t="shared" si="3"/>
        <v>0</v>
      </c>
      <c r="E54" s="21">
        <f t="shared" si="3"/>
        <v>0</v>
      </c>
      <c r="F54" s="21">
        <f t="shared" si="3"/>
        <v>0</v>
      </c>
      <c r="G54" s="21">
        <f t="shared" si="3"/>
        <v>4148.9014130643991</v>
      </c>
      <c r="H54" s="21">
        <f t="shared" si="3"/>
        <v>0</v>
      </c>
      <c r="I54" s="21">
        <f t="shared" si="3"/>
        <v>0</v>
      </c>
      <c r="J54" s="21">
        <f t="shared" si="3"/>
        <v>0</v>
      </c>
      <c r="K54" s="21">
        <f t="shared" si="3"/>
        <v>0</v>
      </c>
      <c r="L54" s="21">
        <f t="shared" si="3"/>
        <v>0</v>
      </c>
      <c r="M54" s="21">
        <f t="shared" si="3"/>
        <v>186.04022547615367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0.21307285806675852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4.5417107737345868</v>
      </c>
      <c r="C58" s="23">
        <f t="shared" ref="C58:P58" ca="1" si="4">C54*C56</f>
        <v>0</v>
      </c>
      <c r="D58" s="23">
        <f t="shared" si="4"/>
        <v>0</v>
      </c>
      <c r="E58" s="23">
        <f t="shared" si="4"/>
        <v>0</v>
      </c>
      <c r="F58" s="23">
        <f t="shared" si="4"/>
        <v>0</v>
      </c>
      <c r="G58" s="23">
        <f t="shared" si="4"/>
        <v>1107.7566772881946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23.235874439461885</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2909.0394242313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2932.2752986707619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2021-11-11T13:20:53Z</dcterms:modified>
</cp:coreProperties>
</file>