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366CCA71-5554-4B93-B7A5-DBB60210313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J9" i="18" l="1"/>
  <c r="B45" i="18"/>
  <c r="F49" i="18" s="1"/>
  <c r="I49" i="18"/>
  <c r="H17" i="18" s="1"/>
  <c r="G49" i="18"/>
  <c r="C49" i="18"/>
  <c r="B49" i="18"/>
  <c r="C17" i="18" s="1"/>
  <c r="C20" i="18" s="1"/>
  <c r="B20" i="18"/>
  <c r="C45" i="18"/>
  <c r="O18" i="18"/>
  <c r="H20" i="18"/>
  <c r="G20" i="18"/>
  <c r="K20" i="18"/>
  <c r="B10" i="18"/>
  <c r="O19" i="18"/>
  <c r="O9" i="18"/>
  <c r="H49" i="18"/>
  <c r="E48" i="18"/>
  <c r="E8" i="18" s="1"/>
  <c r="E10" i="18" s="1"/>
  <c r="E49" i="18"/>
  <c r="E17" i="18" s="1"/>
  <c r="E20" i="18" s="1"/>
  <c r="N6" i="17"/>
  <c r="I17" i="18" l="1"/>
  <c r="I20" i="18" s="1"/>
  <c r="D49" i="18"/>
  <c r="I48" i="18"/>
  <c r="H8" i="18" s="1"/>
  <c r="H10" i="18" s="1"/>
  <c r="G48" i="18"/>
  <c r="I8" i="18" s="1"/>
  <c r="I10" i="18" s="1"/>
  <c r="F48" i="18"/>
  <c r="D48" i="18"/>
  <c r="C48" i="18"/>
  <c r="B48" i="18"/>
  <c r="C8" i="18" s="1"/>
  <c r="C10" i="18" s="1"/>
  <c r="H48" i="18"/>
  <c r="J17" i="18"/>
  <c r="J20" i="18" s="1"/>
  <c r="L6" i="17"/>
  <c r="F6" i="17"/>
  <c r="D6" i="17"/>
  <c r="C6" i="17"/>
  <c r="N16" i="16"/>
  <c r="L16" i="16"/>
  <c r="F16" i="16"/>
  <c r="D16" i="16"/>
  <c r="C16" i="16"/>
  <c r="B16" i="16"/>
  <c r="B13" i="15"/>
  <c r="J8" i="18" l="1"/>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8" i="18" l="1"/>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<sst xmlns="http://schemas.openxmlformats.org/spreadsheetml/2006/main" count="2511" uniqueCount="926">
  <si>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</si>
  <si>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</si>
  <si>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</si>
  <si>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</si>
  <si>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</si>
  <si>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</si>
  <si>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</si>
  <si>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</si>
  <si>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</si>
  <si>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</si>
  <si>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</si>
  <si>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</si>
  <si>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</si>
  <si>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</si>
  <si>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</si>
  <si>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</si>
  <si>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</si>
  <si>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</si>
  <si>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</si>
  <si>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</si>
  <si>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</si>
  <si>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</si>
  <si>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</si>
  <si>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</si>
  <si>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</si>
  <si>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</si>
  <si>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</si>
  <si>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</si>
  <si>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</si>
  <si>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</si>
  <si>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</si>
  <si>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</si>
  <si>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</si>
  <si>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</si>
  <si>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</si>
  <si>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</si>
  <si>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</si>
  <si>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</si>
  <si>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</si>
  <si>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</si>
  <si>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</si>
  <si>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</si>
  <si>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</si>
  <si>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</si>
  <si>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</si>
  <si>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</si>
  <si>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</si>
  <si>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</si>
  <si>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</si>
  <si>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</si>
  <si>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</si>
  <si>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</si>
  <si>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</si>
  <si>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</si>
  <si>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</si>
  <si>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</si>
  <si>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</si>
  <si>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</si>
  <si>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</si>
  <si>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</si>
  <si>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</si>
  <si>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</si>
  <si>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</si>
  <si>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</si>
  <si>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</si>
  <si>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</si>
  <si>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</si>
  <si>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</si>
  <si>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</si>
  <si>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</si>
  <si>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</si>
  <si>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</si>
  <si>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</si>
  <si>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</si>
  <si>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</si>
  <si>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</si>
  <si>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</si>
  <si>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</si>
  <si>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</si>
  <si>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</si>
  <si>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</si>
  <si>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</si>
  <si>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</si>
  <si>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</si>
  <si>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</si>
  <si>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</si>
  <si>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</si>
  <si>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</si>
  <si>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</si>
  <si>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</si>
  <si>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</si>
  <si>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</si>
  <si>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</si>
  <si>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</si>
  <si>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</si>
  <si>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</si>
  <si>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</si>
  <si>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</si>
  <si>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</si>
  <si>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</si>
  <si>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</si>
  <si>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</si>
  <si>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</si>
  <si>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</si>
  <si>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</si>
  <si>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</si>
  <si>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</si>
  <si>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</si>
  <si>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</si>
  <si>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</si>
  <si>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</si>
  <si>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</si>
  <si>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</si>
  <si>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</si>
  <si>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</si>
  <si>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</si>
  <si>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</si>
  <si>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</si>
  <si>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</si>
  <si>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</si>
  <si>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</si>
  <si>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</si>
  <si>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</si>
  <si>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</si>
  <si>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</si>
  <si>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</si>
  <si>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</si>
  <si>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</si>
  <si>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</si>
  <si>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</si>
  <si>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</si>
  <si>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</si>
  <si>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</si>
  <si>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</si>
  <si>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</si>
  <si>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</si>
  <si>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</si>
  <si>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</si>
  <si>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</si>
  <si>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</si>
  <si>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</si>
  <si>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</si>
  <si>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</si>
  <si>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</si>
  <si>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</si>
  <si>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</si>
  <si>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</si>
  <si>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</si>
  <si>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</si>
  <si>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</si>
  <si>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</si>
  <si>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</si>
  <si>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</si>
  <si>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</si>
  <si>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</si>
  <si>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</si>
  <si>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</si>
  <si>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</si>
  <si>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</si>
  <si>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</si>
  <si>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</si>
  <si>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</si>
  <si>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</si>
  <si>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</si>
  <si>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</si>
  <si>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</si>
  <si>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</si>
  <si>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</si>
  <si>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</si>
  <si>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</si>
  <si>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</si>
  <si>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</si>
  <si>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</si>
  <si>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</si>
  <si>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</si>
  <si>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</si>
  <si>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</si>
  <si>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</si>
  <si>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</si>
  <si>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</si>
  <si>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</si>
  <si>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</si>
  <si>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</si>
  <si>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</si>
  <si>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</si>
  <si>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</si>
  <si>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</si>
  <si>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</si>
  <si>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</si>
  <si>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</si>
  <si>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</si>
  <si>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</si>
  <si>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</si>
  <si>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</si>
  <si>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</si>
  <si>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</si>
  <si>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</si>
  <si>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</si>
  <si>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</si>
  <si>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</si>
  <si>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</si>
  <si>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</si>
  <si>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</si>
  <si>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</si>
  <si>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</si>
  <si>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</si>
  <si>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</si>
  <si>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</si>
  <si>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</si>
  <si>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</si>
  <si>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</si>
  <si>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</si>
  <si>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</si>
  <si>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</si>
  <si>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</si>
  <si>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</si>
  <si>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</si>
  <si>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</si>
  <si>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</si>
  <si>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</si>
  <si>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</si>
  <si>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</si>
  <si>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</si>
  <si>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</si>
  <si>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</si>
  <si>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</si>
  <si>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</si>
  <si>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</si>
  <si>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</si>
  <si>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</si>
  <si>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</si>
  <si>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</si>
  <si>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</si>
  <si>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</si>
  <si>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</si>
  <si>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</si>
  <si>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</si>
  <si>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</si>
  <si>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</si>
  <si>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</si>
  <si>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</si>
  <si>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</si>
  <si>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</si>
  <si>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</si>
  <si>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</si>
  <si>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</si>
  <si>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</si>
  <si>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</si>
  <si>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</si>
  <si>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</si>
  <si>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</si>
  <si>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</si>
  <si>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</si>
  <si>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</si>
  <si>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</si>
  <si>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</si>
  <si>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</si>
  <si>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</si>
  <si>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</si>
  <si>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</si>
  <si>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</si>
  <si>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</si>
  <si>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</si>
  <si>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</si>
  <si>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</si>
  <si>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</si>
  <si>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</si>
  <si>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</si>
  <si>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</si>
  <si>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</si>
  <si>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</si>
  <si>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</si>
  <si>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</si>
  <si>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</si>
  <si>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</si>
  <si>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</si>
  <si>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</si>
  <si>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</si>
  <si>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</si>
  <si>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</si>
  <si>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</si>
  <si>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</si>
  <si>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</si>
  <si>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</si>
  <si>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</si>
  <si>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</si>
  <si>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</si>
  <si>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</si>
  <si>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</si>
  <si>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</si>
  <si>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</si>
  <si>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</si>
  <si>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</si>
  <si>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</si>
  <si>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</si>
  <si>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</si>
  <si>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</si>
  <si>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</si>
  <si>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</si>
  <si>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</si>
  <si>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</si>
  <si>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</si>
  <si>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</si>
  <si>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</si>
  <si>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</si>
  <si>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</si>
  <si>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</si>
  <si>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</si>
  <si>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</si>
  <si>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</si>
  <si>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</si>
  <si>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</si>
  <si>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</si>
  <si>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</si>
  <si>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</si>
  <si>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</si>
  <si>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</si>
  <si>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</si>
  <si>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</si>
  <si>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</si>
  <si>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</si>
  <si>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</si>
  <si>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</si>
  <si>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</si>
  <si>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</si>
  <si>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</si>
  <si>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</si>
  <si>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</si>
  <si>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</si>
  <si>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</si>
  <si>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</si>
  <si>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</si>
  <si>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</si>
  <si>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</si>
  <si>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</si>
  <si>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</si>
  <si>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</si>
  <si>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</si>
  <si>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</si>
  <si>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</si>
  <si>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</si>
  <si>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</si>
  <si>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</si>
  <si>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</si>
  <si>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</si>
  <si>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</si>
  <si>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</si>
  <si>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</si>
  <si>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</si>
  <si>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</si>
  <si>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</si>
  <si>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</si>
  <si>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</si>
  <si>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</si>
  <si>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</si>
  <si>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</si>
  <si>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</si>
  <si>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</si>
  <si>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</si>
  <si>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</si>
  <si>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</si>
  <si>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</si>
  <si>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</si>
  <si>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</si>
  <si>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</si>
  <si>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</si>
  <si>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</si>
  <si>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</si>
  <si>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</si>
  <si>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</si>
  <si>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</si>
  <si>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</si>
  <si>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</si>
  <si>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</si>
  <si>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</si>
  <si>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</si>
  <si>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</si>
  <si>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</si>
  <si>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</si>
  <si>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</si>
  <si>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</si>
  <si>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</si>
  <si>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</si>
  <si>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</si>
  <si>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</si>
  <si>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</si>
  <si>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</si>
  <si>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</si>
  <si>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</si>
  <si>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</si>
  <si>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</si>
  <si>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</si>
  <si>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</si>
  <si>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</si>
  <si>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</si>
  <si>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</si>
  <si>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</si>
  <si>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</si>
  <si>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</si>
  <si>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</si>
  <si>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</si>
  <si>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</si>
  <si>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</si>
  <si>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</si>
  <si>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</si>
  <si>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</si>
  <si>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</si>
  <si>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</si>
  <si>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</si>
  <si>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</si>
  <si>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</si>
  <si>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</si>
  <si>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</si>
  <si>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</si>
  <si>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</si>
  <si>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</si>
  <si>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</si>
  <si>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</si>
  <si>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</si>
  <si>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</si>
  <si>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</si>
  <si>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</si>
  <si>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</si>
  <si>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</si>
  <si>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</si>
  <si>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</si>
  <si>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</si>
  <si>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</si>
  <si>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</si>
  <si>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</si>
  <si>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</si>
  <si>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</si>
  <si>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</si>
  <si>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</si>
  <si>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</si>
  <si>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</si>
  <si>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</si>
  <si>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</si>
  <si>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</si>
  <si>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</si>
  <si>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</si>
  <si>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</si>
  <si>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</si>
  <si>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</si>
  <si>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</si>
  <si>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</si>
  <si>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</si>
  <si>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</si>
  <si>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</si>
  <si>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</si>
  <si>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</si>
  <si>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</si>
  <si>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</si>
  <si>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</si>
  <si>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</si>
  <si>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</si>
  <si>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</si>
  <si>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</si>
  <si>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</si>
  <si>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</si>
  <si>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</si>
  <si>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</si>
  <si>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</si>
  <si>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</si>
  <si>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</si>
  <si>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</si>
  <si>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</si>
  <si>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</si>
  <si>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</si>
  <si>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</si>
  <si>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</si>
  <si>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</si>
  <si>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</si>
  <si>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</si>
  <si>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</si>
  <si>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</si>
  <si>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</si>
  <si>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</si>
  <si>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</si>
  <si>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</si>
  <si>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</si>
  <si>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</si>
  <si>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</si>
  <si>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</si>
  <si>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</si>
  <si>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</si>
  <si>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</si>
  <si>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</si>
  <si>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</si>
  <si>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</si>
  <si>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</si>
  <si>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</si>
  <si>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</si>
  <si>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</si>
  <si>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</si>
  <si>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</si>
  <si>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</si>
  <si>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</si>
  <si>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</si>
  <si>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</si>
  <si>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</si>
  <si>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</si>
  <si>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</si>
  <si>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</si>
  <si>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</si>
  <si>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</si>
  <si>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</si>
  <si>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</si>
  <si>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</si>
  <si>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</si>
  <si>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</si>
  <si>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</si>
  <si>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</si>
  <si>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</si>
  <si>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</si>
  <si>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</si>
  <si>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</si>
  <si>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</si>
  <si>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</si>
  <si>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</si>
  <si>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</si>
  <si>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</si>
  <si>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</si>
  <si>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</si>
  <si>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</si>
  <si>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</si>
  <si>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</si>
  <si>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</si>
  <si>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</si>
  <si>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</si>
  <si>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</si>
  <si>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</si>
  <si>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</si>
  <si>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</si>
  <si>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</si>
  <si>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</si>
  <si>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</si>
  <si>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</si>
  <si>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</si>
  <si>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</si>
  <si>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</si>
  <si>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</si>
  <si>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</si>
  <si>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</si>
  <si>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</si>
  <si>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</si>
  <si>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</si>
  <si>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</si>
  <si>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</si>
  <si>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</si>
  <si>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</si>
  <si>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</si>
  <si>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</si>
  <si>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</si>
  <si>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</si>
  <si>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</si>
  <si>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</si>
  <si>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</si>
  <si>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</si>
  <si>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</si>
  <si>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</si>
  <si>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</si>
  <si>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</si>
  <si>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</si>
  <si>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</si>
  <si>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</si>
  <si>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</si>
  <si>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</si>
  <si>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</si>
  <si>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</si>
  <si>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</si>
  <si>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</si>
  <si>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</si>
  <si>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</si>
  <si>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</si>
  <si>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</si>
  <si>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</si>
  <si>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</si>
  <si>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</si>
  <si>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</si>
  <si>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</si>
  <si>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</si>
  <si>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</si>
  <si>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</si>
  <si>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</si>
  <si>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</si>
  <si>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</si>
  <si>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</si>
  <si>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</si>
  <si>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</si>
  <si>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</si>
  <si>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</si>
  <si>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</si>
  <si>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</si>
  <si>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</si>
  <si>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</si>
  <si>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</si>
  <si>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</si>
  <si>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</si>
  <si>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</si>
  <si>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</si>
  <si>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</si>
  <si>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</si>
  <si>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</si>
  <si>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</si>
  <si>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</si>
  <si>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</si>
  <si>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</si>
  <si>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</si>
  <si>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</si>
  <si>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</si>
  <si>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</si>
  <si>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</si>
  <si>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</si>
  <si>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</si>
  <si>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</si>
  <si>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</si>
  <si>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</si>
  <si>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</si>
  <si>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</si>
  <si>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</si>
  <si>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</si>
  <si>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</si>
  <si>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</si>
  <si>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</si>
  <si>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</si>
  <si>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</si>
  <si>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</si>
  <si>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</si>
  <si>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</si>
  <si>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</si>
  <si>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</si>
  <si>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</si>
  <si>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</si>
  <si>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</si>
  <si>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</si>
  <si>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</si>
  <si>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</si>
  <si>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</si>
  <si>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</si>
  <si>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</si>
  <si>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</si>
  <si>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</si>
  <si>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</si>
  <si>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</si>
  <si>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</si>
  <si>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</si>
  <si>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</si>
  <si>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</si>
  <si>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</si>
  <si>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</si>
  <si>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</si>
  <si>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</si>
  <si>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</si>
  <si>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</si>
  <si>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</si>
  <si>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</si>
  <si>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</si>
  <si>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</si>
  <si>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</si>
  <si>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</si>
  <si>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</si>
  <si>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</si>
  <si>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</si>
  <si>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</si>
  <si>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</si>
  <si>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</si>
  <si>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</si>
  <si>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</si>
  <si>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</si>
  <si>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</si>
  <si>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</si>
  <si>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</si>
  <si>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</si>
  <si>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</si>
  <si>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</si>
  <si>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</si>
  <si>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</si>
  <si>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</si>
  <si>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</si>
  <si>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</si>
  <si>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</si>
  <si>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</si>
  <si>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</si>
  <si>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</si>
  <si>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</si>
  <si>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</si>
  <si>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</si>
  <si>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</si>
  <si>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</si>
  <si>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</si>
  <si>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</si>
  <si>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</si>
  <si>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</si>
  <si>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</si>
  <si>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</si>
  <si>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</si>
  <si>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</si>
  <si>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</si>
  <si>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</si>
  <si>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</si>
  <si>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</si>
  <si>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</si>
  <si>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</si>
  <si>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</si>
  <si>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</si>
  <si>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</si>
  <si>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</si>
  <si>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</si>
  <si>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</si>
  <si>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</si>
  <si>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</si>
  <si>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</si>
  <si>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</si>
  <si>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</si>
  <si>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</si>
  <si>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</si>
  <si>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</si>
  <si>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</si>
  <si>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</si>
  <si>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</si>
  <si>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</si>
  <si>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</si>
  <si>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</si>
  <si>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</si>
  <si>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</si>
  <si>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</si>
  <si>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</si>
  <si>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</si>
  <si>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</si>
  <si>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</si>
  <si>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</si>
  <si>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</si>
  <si>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</si>
  <si>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</si>
  <si>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</si>
  <si>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</si>
  <si>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</si>
  <si>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</si>
  <si>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</si>
  <si>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</si>
  <si>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</si>
  <si>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</si>
  <si>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</si>
  <si>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</si>
  <si>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</si>
  <si>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</si>
  <si>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</si>
  <si>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</si>
  <si>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</si>
  <si>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</si>
  <si>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</si>
  <si>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</si>
  <si>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</si>
  <si>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</si>
  <si>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</si>
  <si>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</si>
  <si>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</si>
  <si>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</si>
  <si>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</si>
  <si>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</si>
  <si>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</si>
  <si>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</si>
  <si>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</si>
  <si>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</si>
  <si>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</si>
  <si>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</si>
  <si>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</si>
  <si>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</si>
  <si>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</si>
  <si>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</si>
  <si>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</si>
  <si>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</si>
  <si>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</si>
  <si>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</si>
  <si>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</si>
  <si>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</si>
  <si>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</si>
  <si>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</si>
  <si>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</si>
  <si>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</si>
  <si>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</si>
  <si>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</si>
  <si>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</si>
  <si>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</si>
  <si>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</si>
  <si>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</si>
  <si>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</si>
  <si>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</si>
  <si>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</si>
  <si>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</si>
  <si>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</si>
  <si>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</si>
  <si>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</si>
  <si>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</si>
  <si>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</si>
  <si>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</si>
  <si>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</si>
  <si>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</si>
  <si>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</si>
  <si>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</si>
  <si>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</si>
  <si>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</si>
  <si>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</si>
  <si>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</si>
  <si>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</si>
  <si>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</si>
  <si>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</si>
  <si>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</si>
  <si>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</si>
  <si>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</si>
  <si>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</si>
  <si>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</si>
  <si>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</si>
  <si>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</si>
  <si>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</si>
  <si>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</si>
  <si>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</si>
  <si>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</si>
  <si>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</si>
  <si>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</si>
  <si>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</si>
  <si>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</si>
  <si>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</si>
  <si>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</si>
  <si>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</si>
  <si>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</si>
  <si>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</si>
  <si>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</si>
  <si>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</si>
  <si>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</si>
  <si>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</si>
  <si>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</si>
  <si>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</si>
  <si>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</si>
  <si>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</si>
  <si>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</si>
  <si>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</si>
  <si>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</si>
  <si>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</si>
  <si>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</si>
  <si>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</si>
  <si>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</si>
  <si>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</si>
  <si>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</si>
  <si>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</si>
  <si>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</si>
  <si>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</si>
  <si>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</si>
  <si>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</si>
  <si>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</si>
  <si>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</si>
  <si>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</si>
  <si>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</si>
  <si>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</si>
  <si>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</si>
  <si>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</si>
  <si>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</si>
  <si>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</si>
  <si>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</si>
  <si>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</si>
  <si>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</si>
  <si>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</si>
  <si>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</si>
  <si>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</si>
  <si>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</si>
  <si>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</si>
  <si>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</si>
  <si>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</si>
  <si>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</si>
  <si>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</si>
  <si>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</si>
  <si>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</si>
  <si>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</si>
  <si>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</si>
  <si>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</si>
  <si>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</si>
  <si>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</si>
  <si>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</si>
  <si>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</si>
  <si>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</si>
  <si>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</si>
  <si>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</si>
  <si>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</si>
  <si>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</si>
  <si>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</si>
  <si>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</si>
  <si>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</si>
  <si>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</si>
  <si>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</si>
  <si>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</si>
  <si>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</si>
  <si>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</si>
  <si>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</si>
  <si>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</si>
  <si>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</si>
  <si>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</si>
  <si>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</si>
  <si>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</si>
  <si>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</si>
  <si>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</si>
  <si>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</si>
  <si>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</si>
  <si>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</si>
  <si>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</si>
  <si>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</si>
  <si>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</si>
  <si>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</si>
  <si>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</si>
  <si>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</si>
  <si>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</si>
  <si>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</si>
  <si>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</si>
  <si>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</si>
  <si>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</si>
  <si>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</si>
  <si>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</si>
  <si>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</si>
  <si>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</si>
  <si>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23024</t>
  </si>
  <si>
    <t>GOOIK</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</si>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</sst>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F3C74364-174F-4295-A77C-388F57AEFA74}"/>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89776.73627328554</c:v>
                </c:pt>
                <c:pt idx="1">
                  <c:v>12639.941296026678</c:v>
                </c:pt>
                <c:pt idx="2">
                  <c:v>531.59500000000003</c:v>
                </c:pt>
                <c:pt idx="3">
                  <c:v>4814.4066133393499</c:v>
                </c:pt>
                <c:pt idx="4">
                  <c:v>4194.9783962048932</c:v>
                </c:pt>
                <c:pt idx="5">
                  <c:v>66655.326069051298</c:v>
                </c:pt>
                <c:pt idx="6">
                  <c:v>2500.3693987466927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89776.73627328554</c:v>
                </c:pt>
                <c:pt idx="1">
                  <c:v>12639.941296026678</c:v>
                </c:pt>
                <c:pt idx="2">
                  <c:v>531.59500000000003</c:v>
                </c:pt>
                <c:pt idx="3">
                  <c:v>4814.4066133393499</c:v>
                </c:pt>
                <c:pt idx="4">
                  <c:v>4194.9783962048932</c:v>
                </c:pt>
                <c:pt idx="5">
                  <c:v>66655.326069051298</c:v>
                </c:pt>
                <c:pt idx="6">
                  <c:v>2500.3693987466927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19905.986445322942</c:v>
                </c:pt>
                <c:pt idx="2">
                  <c:v>2528.0878035102742</c:v>
                </c:pt>
                <c:pt idx="3">
                  <c:v>107.51754277088581</c:v>
                </c:pt>
                <c:pt idx="4">
                  <c:v>1224.2462840271307</c:v>
                </c:pt>
                <c:pt idx="5">
                  <c:v>897.85119191198748</c:v>
                </c:pt>
                <c:pt idx="6">
                  <c:v>16859.850886262164</c:v>
                </c:pt>
                <c:pt idx="7">
                  <c:v>638.29574888580828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19905.986445322942</c:v>
                </c:pt>
                <c:pt idx="2">
                  <c:v>2528.0878035102742</c:v>
                </c:pt>
                <c:pt idx="3">
                  <c:v>107.51754277088581</c:v>
                </c:pt>
                <c:pt idx="4">
                  <c:v>1224.2462840271307</c:v>
                </c:pt>
                <c:pt idx="5">
                  <c:v>897.85119191198748</c:v>
                </c:pt>
                <c:pt idx="6">
                  <c:v>16859.850886262164</c:v>
                </c:pt>
                <c:pt idx="7">
                  <c:v>638.29574888580828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23024</v>
      </c>
      <c r="B6" s="385"/>
      <c r="C6" s="386"/>
    </row>
    <row r="7" spans="1:7" s="383" customFormat="1" ht="15.75" customHeight="1">
      <c r="A7" s="387" t="str">
        <f>txtMunicipality</f>
        <v>GOOIK</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7193.4133392278272</v>
      </c>
      <c r="D10" s="676">
        <f ca="1">tertiair!C16</f>
        <v>0</v>
      </c>
      <c r="E10" s="676">
        <f ca="1">tertiair!D16</f>
        <v>4010.8025320000002</v>
      </c>
      <c r="F10" s="676">
        <f>tertiair!E16</f>
        <v>96.480653919590196</v>
      </c>
      <c r="G10" s="676">
        <f ca="1">tertiair!F16</f>
        <v>1305.6968962884216</v>
      </c>
      <c r="H10" s="676">
        <f>tertiair!G16</f>
        <v>0</v>
      </c>
      <c r="I10" s="676">
        <f>tertiair!H16</f>
        <v>0</v>
      </c>
      <c r="J10" s="676">
        <f>tertiair!I16</f>
        <v>0</v>
      </c>
      <c r="K10" s="676">
        <f>tertiair!J16</f>
        <v>0</v>
      </c>
      <c r="L10" s="676">
        <f>tertiair!K16</f>
        <v>0</v>
      </c>
      <c r="M10" s="676">
        <f ca="1">tertiair!L16</f>
        <v>0</v>
      </c>
      <c r="N10" s="676">
        <f>tertiair!M16</f>
        <v>0</v>
      </c>
      <c r="O10" s="676">
        <f ca="1">tertiair!N16</f>
        <v>546.07620792417026</v>
      </c>
      <c r="P10" s="676">
        <f>tertiair!O16</f>
        <v>0</v>
      </c>
      <c r="Q10" s="677">
        <f>tertiair!P16</f>
        <v>19.066666666666666</v>
      </c>
      <c r="R10" s="679">
        <f ca="1">SUM(C10:Q10)</f>
        <v>13171.536296026678</v>
      </c>
      <c r="S10" s="67"/>
    </row>
    <row r="11" spans="1:19" s="444" customFormat="1">
      <c r="A11" s="791" t="s">
        <v>214</v>
      </c>
      <c r="B11" s="796"/>
      <c r="C11" s="676">
        <f>huishoudens!B8</f>
        <v>17423.2111186607</v>
      </c>
      <c r="D11" s="676">
        <f>huishoudens!C8</f>
        <v>0</v>
      </c>
      <c r="E11" s="676">
        <f>huishoudens!D8</f>
        <v>18368.963910000002</v>
      </c>
      <c r="F11" s="676">
        <f>huishoudens!E8</f>
        <v>1470.9041791079494</v>
      </c>
      <c r="G11" s="676">
        <f>huishoudens!F8</f>
        <v>45076.553948410656</v>
      </c>
      <c r="H11" s="676">
        <f>huishoudens!G8</f>
        <v>0</v>
      </c>
      <c r="I11" s="676">
        <f>huishoudens!H8</f>
        <v>0</v>
      </c>
      <c r="J11" s="676">
        <f>huishoudens!I8</f>
        <v>0</v>
      </c>
      <c r="K11" s="676">
        <f>huishoudens!J8</f>
        <v>853.66017650321749</v>
      </c>
      <c r="L11" s="676">
        <f>huishoudens!K8</f>
        <v>0</v>
      </c>
      <c r="M11" s="676">
        <f>huishoudens!L8</f>
        <v>0</v>
      </c>
      <c r="N11" s="676">
        <f>huishoudens!M8</f>
        <v>0</v>
      </c>
      <c r="O11" s="676">
        <f>huishoudens!N8</f>
        <v>6178.3229406030096</v>
      </c>
      <c r="P11" s="676">
        <f>huishoudens!O8</f>
        <v>100.05333333333334</v>
      </c>
      <c r="Q11" s="677">
        <f>huishoudens!P8</f>
        <v>305.06666666666666</v>
      </c>
      <c r="R11" s="679">
        <f>SUM(C11:Q11)</f>
        <v>89776.73627328554</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1644.221</v>
      </c>
      <c r="D13" s="676">
        <f>industrie!C18</f>
        <v>0</v>
      </c>
      <c r="E13" s="676">
        <f>industrie!D18</f>
        <v>467.29462999999998</v>
      </c>
      <c r="F13" s="676">
        <f>industrie!E18</f>
        <v>248.08843030712256</v>
      </c>
      <c r="G13" s="676">
        <f>industrie!F18</f>
        <v>1552.6887916502276</v>
      </c>
      <c r="H13" s="676">
        <f>industrie!G18</f>
        <v>0</v>
      </c>
      <c r="I13" s="676">
        <f>industrie!H18</f>
        <v>0</v>
      </c>
      <c r="J13" s="676">
        <f>industrie!I18</f>
        <v>0</v>
      </c>
      <c r="K13" s="676">
        <f>industrie!J18</f>
        <v>6.3299649263613367E-2</v>
      </c>
      <c r="L13" s="676">
        <f>industrie!K18</f>
        <v>0</v>
      </c>
      <c r="M13" s="676">
        <f>industrie!L18</f>
        <v>0</v>
      </c>
      <c r="N13" s="676">
        <f>industrie!M18</f>
        <v>0</v>
      </c>
      <c r="O13" s="676">
        <f>industrie!N18</f>
        <v>282.62224459827996</v>
      </c>
      <c r="P13" s="676">
        <f>industrie!O18</f>
        <v>0</v>
      </c>
      <c r="Q13" s="677">
        <f>industrie!P18</f>
        <v>0</v>
      </c>
      <c r="R13" s="679">
        <f>SUM(C13:Q13)</f>
        <v>4194.9783962048932</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26260.845457888528</v>
      </c>
      <c r="D16" s="711">
        <f t="shared" ref="D16:R16" ca="1" si="0">SUM(D9:D15)</f>
        <v>0</v>
      </c>
      <c r="E16" s="711">
        <f t="shared" ca="1" si="0"/>
        <v>22847.061072000004</v>
      </c>
      <c r="F16" s="711">
        <f t="shared" si="0"/>
        <v>1815.4732633346621</v>
      </c>
      <c r="G16" s="711">
        <f t="shared" ca="1" si="0"/>
        <v>47934.939636349307</v>
      </c>
      <c r="H16" s="711">
        <f t="shared" si="0"/>
        <v>0</v>
      </c>
      <c r="I16" s="711">
        <f t="shared" si="0"/>
        <v>0</v>
      </c>
      <c r="J16" s="711">
        <f t="shared" si="0"/>
        <v>0</v>
      </c>
      <c r="K16" s="711">
        <f t="shared" si="0"/>
        <v>853.72347615248111</v>
      </c>
      <c r="L16" s="711">
        <f t="shared" si="0"/>
        <v>0</v>
      </c>
      <c r="M16" s="711">
        <f t="shared" ca="1" si="0"/>
        <v>0</v>
      </c>
      <c r="N16" s="711">
        <f t="shared" si="0"/>
        <v>0</v>
      </c>
      <c r="O16" s="711">
        <f t="shared" ca="1" si="0"/>
        <v>7007.0213931254602</v>
      </c>
      <c r="P16" s="711">
        <f t="shared" si="0"/>
        <v>100.05333333333334</v>
      </c>
      <c r="Q16" s="711">
        <f t="shared" si="0"/>
        <v>324.13333333333333</v>
      </c>
      <c r="R16" s="711">
        <f t="shared" ca="1" si="0"/>
        <v>107143.25096551712</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12.234381842910546</v>
      </c>
      <c r="D19" s="676">
        <f>transport!C54</f>
        <v>0</v>
      </c>
      <c r="E19" s="676">
        <f>transport!D54</f>
        <v>0</v>
      </c>
      <c r="F19" s="676">
        <f>transport!E54</f>
        <v>0</v>
      </c>
      <c r="G19" s="676">
        <f>transport!F54</f>
        <v>0</v>
      </c>
      <c r="H19" s="676">
        <f>transport!G54</f>
        <v>2381.35314112385</v>
      </c>
      <c r="I19" s="676">
        <f>transport!H54</f>
        <v>0</v>
      </c>
      <c r="J19" s="676">
        <f>transport!I54</f>
        <v>0</v>
      </c>
      <c r="K19" s="676">
        <f>transport!J54</f>
        <v>0</v>
      </c>
      <c r="L19" s="676">
        <f>transport!K54</f>
        <v>0</v>
      </c>
      <c r="M19" s="676">
        <f>transport!L54</f>
        <v>0</v>
      </c>
      <c r="N19" s="676">
        <f>transport!M54</f>
        <v>106.78187577993218</v>
      </c>
      <c r="O19" s="676">
        <f>transport!N54</f>
        <v>0</v>
      </c>
      <c r="P19" s="676">
        <f>transport!O54</f>
        <v>0</v>
      </c>
      <c r="Q19" s="677">
        <f>transport!P54</f>
        <v>0</v>
      </c>
      <c r="R19" s="679">
        <f>SUM(C19:Q19)</f>
        <v>2500.3693987466927</v>
      </c>
      <c r="S19" s="67"/>
    </row>
    <row r="20" spans="1:19" s="444" customFormat="1">
      <c r="A20" s="791" t="s">
        <v>296</v>
      </c>
      <c r="B20" s="796"/>
      <c r="C20" s="676">
        <f>transport!B14</f>
        <v>5.3914880908086644</v>
      </c>
      <c r="D20" s="676">
        <f>transport!C14</f>
        <v>0</v>
      </c>
      <c r="E20" s="676">
        <f>transport!D14</f>
        <v>5.2448343637289145</v>
      </c>
      <c r="F20" s="676">
        <f>transport!E14</f>
        <v>186.17670785206374</v>
      </c>
      <c r="G20" s="676">
        <f>transport!F14</f>
        <v>0</v>
      </c>
      <c r="H20" s="676">
        <f>transport!G14</f>
        <v>54615.776668528095</v>
      </c>
      <c r="I20" s="676">
        <f>transport!H14</f>
        <v>8967.9778842810647</v>
      </c>
      <c r="J20" s="676">
        <f>transport!I14</f>
        <v>0</v>
      </c>
      <c r="K20" s="676">
        <f>transport!J14</f>
        <v>0</v>
      </c>
      <c r="L20" s="676">
        <f>transport!K14</f>
        <v>0</v>
      </c>
      <c r="M20" s="676">
        <f>transport!L14</f>
        <v>0</v>
      </c>
      <c r="N20" s="676">
        <f>transport!M14</f>
        <v>2874.7584859355356</v>
      </c>
      <c r="O20" s="676">
        <f>transport!N14</f>
        <v>0</v>
      </c>
      <c r="P20" s="676">
        <f>transport!O14</f>
        <v>0</v>
      </c>
      <c r="Q20" s="677">
        <f>transport!P14</f>
        <v>0</v>
      </c>
      <c r="R20" s="679">
        <f>SUM(C20:Q20)</f>
        <v>66655.326069051298</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17.625869933719208</v>
      </c>
      <c r="D22" s="794">
        <f t="shared" ref="D22:R22" si="1">SUM(D18:D21)</f>
        <v>0</v>
      </c>
      <c r="E22" s="794">
        <f t="shared" si="1"/>
        <v>5.2448343637289145</v>
      </c>
      <c r="F22" s="794">
        <f t="shared" si="1"/>
        <v>186.17670785206374</v>
      </c>
      <c r="G22" s="794">
        <f t="shared" si="1"/>
        <v>0</v>
      </c>
      <c r="H22" s="794">
        <f t="shared" si="1"/>
        <v>56997.129809651946</v>
      </c>
      <c r="I22" s="794">
        <f t="shared" si="1"/>
        <v>8967.9778842810647</v>
      </c>
      <c r="J22" s="794">
        <f t="shared" si="1"/>
        <v>0</v>
      </c>
      <c r="K22" s="794">
        <f t="shared" si="1"/>
        <v>0</v>
      </c>
      <c r="L22" s="794">
        <f t="shared" si="1"/>
        <v>0</v>
      </c>
      <c r="M22" s="794">
        <f t="shared" si="1"/>
        <v>0</v>
      </c>
      <c r="N22" s="794">
        <f t="shared" si="1"/>
        <v>2981.540361715468</v>
      </c>
      <c r="O22" s="794">
        <f t="shared" si="1"/>
        <v>0</v>
      </c>
      <c r="P22" s="794">
        <f t="shared" si="1"/>
        <v>0</v>
      </c>
      <c r="Q22" s="794">
        <f t="shared" si="1"/>
        <v>0</v>
      </c>
      <c r="R22" s="794">
        <f t="shared" si="1"/>
        <v>69155.695467797996</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1016.3150000000001</v>
      </c>
      <c r="D24" s="676">
        <f>+landbouw!C8</f>
        <v>0</v>
      </c>
      <c r="E24" s="676">
        <f>+landbouw!D8</f>
        <v>125.90116000000002</v>
      </c>
      <c r="F24" s="676">
        <f>+landbouw!E8</f>
        <v>12.806878279923549</v>
      </c>
      <c r="G24" s="676">
        <f>+landbouw!F8</f>
        <v>3506.5413521206005</v>
      </c>
      <c r="H24" s="676">
        <f>+landbouw!G8</f>
        <v>0</v>
      </c>
      <c r="I24" s="676">
        <f>+landbouw!H8</f>
        <v>0</v>
      </c>
      <c r="J24" s="676">
        <f>+landbouw!I8</f>
        <v>0</v>
      </c>
      <c r="K24" s="676">
        <f>+landbouw!J8</f>
        <v>152.8422229388255</v>
      </c>
      <c r="L24" s="676">
        <f>+landbouw!K8</f>
        <v>0</v>
      </c>
      <c r="M24" s="676">
        <f>+landbouw!L8</f>
        <v>0</v>
      </c>
      <c r="N24" s="676">
        <f>+landbouw!M8</f>
        <v>0</v>
      </c>
      <c r="O24" s="676">
        <f>+landbouw!N8</f>
        <v>0</v>
      </c>
      <c r="P24" s="676">
        <f>+landbouw!O8</f>
        <v>0</v>
      </c>
      <c r="Q24" s="677">
        <f>+landbouw!P8</f>
        <v>0</v>
      </c>
      <c r="R24" s="679">
        <f>SUM(C24:Q24)</f>
        <v>4814.4066133393499</v>
      </c>
      <c r="S24" s="67"/>
    </row>
    <row r="25" spans="1:19" s="444" customFormat="1" ht="15" thickBot="1">
      <c r="A25" s="813" t="s">
        <v>833</v>
      </c>
      <c r="B25" s="977"/>
      <c r="C25" s="978">
        <f>IF(Onbekend_ele_kWh="---",0,Onbekend_ele_kWh)/1000+IF(REST_rest_ele_kWh="---",0,REST_rest_ele_kWh)/1000</f>
        <v>787.28099999999995</v>
      </c>
      <c r="D25" s="978"/>
      <c r="E25" s="978">
        <f>IF(onbekend_gas_kWh="---",0,onbekend_gas_kWh)/1000+IF(REST_rest_gas_kWh="---",0,REST_rest_gas_kWh)/1000</f>
        <v>1726.222</v>
      </c>
      <c r="F25" s="978"/>
      <c r="G25" s="978"/>
      <c r="H25" s="978"/>
      <c r="I25" s="978"/>
      <c r="J25" s="978"/>
      <c r="K25" s="978"/>
      <c r="L25" s="978"/>
      <c r="M25" s="978"/>
      <c r="N25" s="978"/>
      <c r="O25" s="978"/>
      <c r="P25" s="978"/>
      <c r="Q25" s="979"/>
      <c r="R25" s="679">
        <f>SUM(C25:Q25)</f>
        <v>2513.5029999999997</v>
      </c>
      <c r="S25" s="67"/>
    </row>
    <row r="26" spans="1:19" s="444" customFormat="1" ht="15.75" thickBot="1">
      <c r="A26" s="684" t="s">
        <v>834</v>
      </c>
      <c r="B26" s="799"/>
      <c r="C26" s="794">
        <f>SUM(C24:C25)</f>
        <v>1803.596</v>
      </c>
      <c r="D26" s="794">
        <f t="shared" ref="D26:R26" si="2">SUM(D24:D25)</f>
        <v>0</v>
      </c>
      <c r="E26" s="794">
        <f t="shared" si="2"/>
        <v>1852.1231600000001</v>
      </c>
      <c r="F26" s="794">
        <f t="shared" si="2"/>
        <v>12.806878279923549</v>
      </c>
      <c r="G26" s="794">
        <f t="shared" si="2"/>
        <v>3506.5413521206005</v>
      </c>
      <c r="H26" s="794">
        <f t="shared" si="2"/>
        <v>0</v>
      </c>
      <c r="I26" s="794">
        <f t="shared" si="2"/>
        <v>0</v>
      </c>
      <c r="J26" s="794">
        <f t="shared" si="2"/>
        <v>0</v>
      </c>
      <c r="K26" s="794">
        <f t="shared" si="2"/>
        <v>152.8422229388255</v>
      </c>
      <c r="L26" s="794">
        <f t="shared" si="2"/>
        <v>0</v>
      </c>
      <c r="M26" s="794">
        <f t="shared" si="2"/>
        <v>0</v>
      </c>
      <c r="N26" s="794">
        <f t="shared" si="2"/>
        <v>0</v>
      </c>
      <c r="O26" s="794">
        <f t="shared" si="2"/>
        <v>0</v>
      </c>
      <c r="P26" s="794">
        <f t="shared" si="2"/>
        <v>0</v>
      </c>
      <c r="Q26" s="794">
        <f t="shared" si="2"/>
        <v>0</v>
      </c>
      <c r="R26" s="794">
        <f t="shared" si="2"/>
        <v>7327.9096133393496</v>
      </c>
      <c r="S26" s="67"/>
    </row>
    <row r="27" spans="1:19" s="444" customFormat="1" ht="17.25" thickTop="1" thickBot="1">
      <c r="A27" s="685" t="s">
        <v>109</v>
      </c>
      <c r="B27" s="786"/>
      <c r="C27" s="686">
        <f ca="1">C22+C16+C26</f>
        <v>28082.067327822249</v>
      </c>
      <c r="D27" s="686">
        <f t="shared" ref="D27:R27" ca="1" si="3">D22+D16+D26</f>
        <v>0</v>
      </c>
      <c r="E27" s="686">
        <f t="shared" ca="1" si="3"/>
        <v>24704.429066363733</v>
      </c>
      <c r="F27" s="686">
        <f t="shared" si="3"/>
        <v>2014.4568494666494</v>
      </c>
      <c r="G27" s="686">
        <f t="shared" ca="1" si="3"/>
        <v>51441.480988469906</v>
      </c>
      <c r="H27" s="686">
        <f t="shared" si="3"/>
        <v>56997.129809651946</v>
      </c>
      <c r="I27" s="686">
        <f t="shared" si="3"/>
        <v>8967.9778842810647</v>
      </c>
      <c r="J27" s="686">
        <f t="shared" si="3"/>
        <v>0</v>
      </c>
      <c r="K27" s="686">
        <f t="shared" si="3"/>
        <v>1006.5656990913067</v>
      </c>
      <c r="L27" s="686">
        <f t="shared" si="3"/>
        <v>0</v>
      </c>
      <c r="M27" s="686">
        <f t="shared" ca="1" si="3"/>
        <v>0</v>
      </c>
      <c r="N27" s="686">
        <f t="shared" si="3"/>
        <v>2981.540361715468</v>
      </c>
      <c r="O27" s="686">
        <f t="shared" ca="1" si="3"/>
        <v>7007.0213931254602</v>
      </c>
      <c r="P27" s="686">
        <f t="shared" si="3"/>
        <v>100.05333333333334</v>
      </c>
      <c r="Q27" s="686">
        <f t="shared" si="3"/>
        <v>324.13333333333333</v>
      </c>
      <c r="R27" s="686">
        <f t="shared" ca="1" si="3"/>
        <v>183626.85604665446</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1454.901055068404</v>
      </c>
      <c r="D40" s="676">
        <f ca="1">tertiair!C20</f>
        <v>0</v>
      </c>
      <c r="E40" s="676">
        <f ca="1">tertiair!D20</f>
        <v>810.18211146400006</v>
      </c>
      <c r="F40" s="676">
        <f>tertiair!E20</f>
        <v>21.901108439746974</v>
      </c>
      <c r="G40" s="676">
        <f ca="1">tertiair!F20</f>
        <v>348.62107130900858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2635.6053462811597</v>
      </c>
    </row>
    <row r="41" spans="1:18">
      <c r="A41" s="804" t="s">
        <v>214</v>
      </c>
      <c r="B41" s="811"/>
      <c r="C41" s="676">
        <f ca="1">huishoudens!B12</f>
        <v>3523.9248801376516</v>
      </c>
      <c r="D41" s="676">
        <f ca="1">huishoudens!C12</f>
        <v>0</v>
      </c>
      <c r="E41" s="676">
        <f>huishoudens!D12</f>
        <v>3710.5307098200005</v>
      </c>
      <c r="F41" s="676">
        <f>huishoudens!E12</f>
        <v>333.89524865750451</v>
      </c>
      <c r="G41" s="676">
        <f>huishoudens!F12</f>
        <v>12035.439904225646</v>
      </c>
      <c r="H41" s="676">
        <f>huishoudens!G12</f>
        <v>0</v>
      </c>
      <c r="I41" s="676">
        <f>huishoudens!H12</f>
        <v>0</v>
      </c>
      <c r="J41" s="676">
        <f>huishoudens!I12</f>
        <v>0</v>
      </c>
      <c r="K41" s="676">
        <f>huishoudens!J12</f>
        <v>302.19570248213898</v>
      </c>
      <c r="L41" s="676">
        <f>huishoudens!K12</f>
        <v>0</v>
      </c>
      <c r="M41" s="676">
        <f>huishoudens!L12</f>
        <v>0</v>
      </c>
      <c r="N41" s="676">
        <f>huishoudens!M12</f>
        <v>0</v>
      </c>
      <c r="O41" s="676">
        <f>huishoudens!N12</f>
        <v>0</v>
      </c>
      <c r="P41" s="676">
        <f>huishoudens!O12</f>
        <v>0</v>
      </c>
      <c r="Q41" s="753">
        <f>huishoudens!P12</f>
        <v>0</v>
      </c>
      <c r="R41" s="832">
        <f t="shared" ca="1" si="4"/>
        <v>19905.986445322942</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332.55128752582061</v>
      </c>
      <c r="D43" s="676">
        <f ca="1">industrie!C22</f>
        <v>0</v>
      </c>
      <c r="E43" s="676">
        <f>industrie!D22</f>
        <v>94.393515260000001</v>
      </c>
      <c r="F43" s="676">
        <f>industrie!E22</f>
        <v>56.316073679716823</v>
      </c>
      <c r="G43" s="676">
        <f>industrie!F22</f>
        <v>414.56790737061078</v>
      </c>
      <c r="H43" s="676">
        <f>industrie!G22</f>
        <v>0</v>
      </c>
      <c r="I43" s="676">
        <f>industrie!H22</f>
        <v>0</v>
      </c>
      <c r="J43" s="676">
        <f>industrie!I22</f>
        <v>0</v>
      </c>
      <c r="K43" s="676">
        <f>industrie!J22</f>
        <v>2.2408075839319131E-2</v>
      </c>
      <c r="L43" s="676">
        <f>industrie!K22</f>
        <v>0</v>
      </c>
      <c r="M43" s="676">
        <f>industrie!L22</f>
        <v>0</v>
      </c>
      <c r="N43" s="676">
        <f>industrie!M22</f>
        <v>0</v>
      </c>
      <c r="O43" s="676">
        <f>industrie!N22</f>
        <v>0</v>
      </c>
      <c r="P43" s="676">
        <f>industrie!O22</f>
        <v>0</v>
      </c>
      <c r="Q43" s="753">
        <f>industrie!P22</f>
        <v>0</v>
      </c>
      <c r="R43" s="831">
        <f t="shared" ca="1" si="4"/>
        <v>897.85119191198748</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5311.3772227318768</v>
      </c>
      <c r="D46" s="711">
        <f t="shared" ref="D46:Q46" ca="1" si="5">SUM(D39:D45)</f>
        <v>0</v>
      </c>
      <c r="E46" s="711">
        <f t="shared" ca="1" si="5"/>
        <v>4615.1063365440004</v>
      </c>
      <c r="F46" s="711">
        <f t="shared" si="5"/>
        <v>412.11243077696827</v>
      </c>
      <c r="G46" s="711">
        <f t="shared" ca="1" si="5"/>
        <v>12798.628882905266</v>
      </c>
      <c r="H46" s="711">
        <f t="shared" si="5"/>
        <v>0</v>
      </c>
      <c r="I46" s="711">
        <f t="shared" si="5"/>
        <v>0</v>
      </c>
      <c r="J46" s="711">
        <f t="shared" si="5"/>
        <v>0</v>
      </c>
      <c r="K46" s="711">
        <f t="shared" si="5"/>
        <v>302.21811055797832</v>
      </c>
      <c r="L46" s="711">
        <f t="shared" si="5"/>
        <v>0</v>
      </c>
      <c r="M46" s="711">
        <f t="shared" ca="1" si="5"/>
        <v>0</v>
      </c>
      <c r="N46" s="711">
        <f t="shared" si="5"/>
        <v>0</v>
      </c>
      <c r="O46" s="711">
        <f t="shared" ca="1" si="5"/>
        <v>0</v>
      </c>
      <c r="P46" s="711">
        <f t="shared" si="5"/>
        <v>0</v>
      </c>
      <c r="Q46" s="711">
        <f t="shared" si="5"/>
        <v>0</v>
      </c>
      <c r="R46" s="711">
        <f ca="1">SUM(R39:R45)</f>
        <v>23439.442983516088</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2.4744602057402405</v>
      </c>
      <c r="D49" s="676">
        <f ca="1">transport!C58</f>
        <v>0</v>
      </c>
      <c r="E49" s="676">
        <f>transport!D58</f>
        <v>0</v>
      </c>
      <c r="F49" s="676">
        <f>transport!E58</f>
        <v>0</v>
      </c>
      <c r="G49" s="676">
        <f>transport!F58</f>
        <v>0</v>
      </c>
      <c r="H49" s="676">
        <f>transport!G58</f>
        <v>635.82128868006805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638.29574888580828</v>
      </c>
    </row>
    <row r="50" spans="1:18">
      <c r="A50" s="807" t="s">
        <v>296</v>
      </c>
      <c r="B50" s="817"/>
      <c r="C50" s="682">
        <f ca="1">transport!B18</f>
        <v>1.0904533552840827</v>
      </c>
      <c r="D50" s="682">
        <f>transport!C18</f>
        <v>0</v>
      </c>
      <c r="E50" s="682">
        <f>transport!D18</f>
        <v>1.0594565414732409</v>
      </c>
      <c r="F50" s="682">
        <f>transport!E18</f>
        <v>42.262112682418469</v>
      </c>
      <c r="G50" s="682">
        <f>transport!F18</f>
        <v>0</v>
      </c>
      <c r="H50" s="682">
        <f>transport!G18</f>
        <v>14582.412370497002</v>
      </c>
      <c r="I50" s="682">
        <f>transport!H18</f>
        <v>2233.0264931859851</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16859.850886262164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3.5649135610243232</v>
      </c>
      <c r="D52" s="711">
        <f t="shared" ref="D52:Q52" ca="1" si="6">SUM(D48:D51)</f>
        <v>0</v>
      </c>
      <c r="E52" s="711">
        <f t="shared" si="6"/>
        <v>1.0594565414732409</v>
      </c>
      <c r="F52" s="711">
        <f t="shared" si="6"/>
        <v>42.262112682418469</v>
      </c>
      <c r="G52" s="711">
        <f t="shared" si="6"/>
        <v>0</v>
      </c>
      <c r="H52" s="711">
        <f t="shared" si="6"/>
        <v>15218.233659177071</v>
      </c>
      <c r="I52" s="711">
        <f t="shared" si="6"/>
        <v>2233.0264931859851</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17498.146635147972</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205.55440040104367</v>
      </c>
      <c r="D54" s="682">
        <f ca="1">+landbouw!C12</f>
        <v>0</v>
      </c>
      <c r="E54" s="682">
        <f>+landbouw!D12</f>
        <v>25.432034320000007</v>
      </c>
      <c r="F54" s="682">
        <f>+landbouw!E12</f>
        <v>2.9071613695426457</v>
      </c>
      <c r="G54" s="682">
        <f>+landbouw!F12</f>
        <v>936.24654101620035</v>
      </c>
      <c r="H54" s="682">
        <f>+landbouw!G12</f>
        <v>0</v>
      </c>
      <c r="I54" s="682">
        <f>+landbouw!H12</f>
        <v>0</v>
      </c>
      <c r="J54" s="682">
        <f>+landbouw!I12</f>
        <v>0</v>
      </c>
      <c r="K54" s="682">
        <f>+landbouw!J12</f>
        <v>54.106146920344223</v>
      </c>
      <c r="L54" s="682">
        <f>+landbouw!K12</f>
        <v>0</v>
      </c>
      <c r="M54" s="682">
        <f>+landbouw!L12</f>
        <v>0</v>
      </c>
      <c r="N54" s="682">
        <f>+landbouw!M12</f>
        <v>0</v>
      </c>
      <c r="O54" s="682">
        <f>+landbouw!N12</f>
        <v>0</v>
      </c>
      <c r="P54" s="682">
        <f>+landbouw!O12</f>
        <v>0</v>
      </c>
      <c r="Q54" s="683">
        <f>+landbouw!P12</f>
        <v>0</v>
      </c>
      <c r="R54" s="710">
        <f ca="1">SUM(C54:Q54)</f>
        <v>1224.2462840271307</v>
      </c>
    </row>
    <row r="55" spans="1:18" ht="15" thickBot="1">
      <c r="A55" s="807" t="s">
        <v>833</v>
      </c>
      <c r="B55" s="817"/>
      <c r="C55" s="682">
        <f ca="1">C25*'EF ele_warmte'!B12</f>
        <v>159.23121660325199</v>
      </c>
      <c r="D55" s="682"/>
      <c r="E55" s="682">
        <f>E25*EF_CO2_aardgas</f>
        <v>348.696844</v>
      </c>
      <c r="F55" s="682"/>
      <c r="G55" s="682"/>
      <c r="H55" s="682"/>
      <c r="I55" s="682"/>
      <c r="J55" s="682"/>
      <c r="K55" s="682"/>
      <c r="L55" s="682"/>
      <c r="M55" s="682"/>
      <c r="N55" s="682"/>
      <c r="O55" s="682"/>
      <c r="P55" s="682"/>
      <c r="Q55" s="683"/>
      <c r="R55" s="710">
        <f ca="1">SUM(C55:Q55)</f>
        <v>507.92806060325199</v>
      </c>
    </row>
    <row r="56" spans="1:18" ht="15.75" thickBot="1">
      <c r="A56" s="805" t="s">
        <v>834</v>
      </c>
      <c r="B56" s="818"/>
      <c r="C56" s="711">
        <f ca="1">SUM(C54:C55)</f>
        <v>364.78561700429566</v>
      </c>
      <c r="D56" s="711">
        <f t="shared" ref="D56:Q56" ca="1" si="7">SUM(D54:D55)</f>
        <v>0</v>
      </c>
      <c r="E56" s="711">
        <f t="shared" si="7"/>
        <v>374.12887832000001</v>
      </c>
      <c r="F56" s="711">
        <f t="shared" si="7"/>
        <v>2.9071613695426457</v>
      </c>
      <c r="G56" s="711">
        <f t="shared" si="7"/>
        <v>936.24654101620035</v>
      </c>
      <c r="H56" s="711">
        <f t="shared" si="7"/>
        <v>0</v>
      </c>
      <c r="I56" s="711">
        <f t="shared" si="7"/>
        <v>0</v>
      </c>
      <c r="J56" s="711">
        <f t="shared" si="7"/>
        <v>0</v>
      </c>
      <c r="K56" s="711">
        <f t="shared" si="7"/>
        <v>54.106146920344223</v>
      </c>
      <c r="L56" s="711">
        <f t="shared" si="7"/>
        <v>0</v>
      </c>
      <c r="M56" s="711">
        <f t="shared" si="7"/>
        <v>0</v>
      </c>
      <c r="N56" s="711">
        <f t="shared" si="7"/>
        <v>0</v>
      </c>
      <c r="O56" s="711">
        <f t="shared" si="7"/>
        <v>0</v>
      </c>
      <c r="P56" s="711">
        <f t="shared" si="7"/>
        <v>0</v>
      </c>
      <c r="Q56" s="712">
        <f t="shared" si="7"/>
        <v>0</v>
      </c>
      <c r="R56" s="713">
        <f ca="1">SUM(R54:R55)</f>
        <v>1732.1743446303826</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5679.7277532971975</v>
      </c>
      <c r="D61" s="719">
        <f t="shared" ref="D61:Q61" ca="1" si="8">D46+D52+D56</f>
        <v>0</v>
      </c>
      <c r="E61" s="719">
        <f t="shared" ca="1" si="8"/>
        <v>4990.2946714054733</v>
      </c>
      <c r="F61" s="719">
        <f t="shared" si="8"/>
        <v>457.28170482892938</v>
      </c>
      <c r="G61" s="719">
        <f t="shared" ca="1" si="8"/>
        <v>13734.875423921467</v>
      </c>
      <c r="H61" s="719">
        <f t="shared" si="8"/>
        <v>15218.233659177071</v>
      </c>
      <c r="I61" s="719">
        <f t="shared" si="8"/>
        <v>2233.0264931859851</v>
      </c>
      <c r="J61" s="719">
        <f t="shared" si="8"/>
        <v>0</v>
      </c>
      <c r="K61" s="719">
        <f t="shared" si="8"/>
        <v>356.32425747832252</v>
      </c>
      <c r="L61" s="719">
        <f t="shared" si="8"/>
        <v>0</v>
      </c>
      <c r="M61" s="719">
        <f t="shared" ca="1" si="8"/>
        <v>0</v>
      </c>
      <c r="N61" s="719">
        <f t="shared" si="8"/>
        <v>0</v>
      </c>
      <c r="O61" s="719">
        <f t="shared" ca="1" si="8"/>
        <v>0</v>
      </c>
      <c r="P61" s="719">
        <f t="shared" si="8"/>
        <v>0</v>
      </c>
      <c r="Q61" s="719">
        <f t="shared" si="8"/>
        <v>0</v>
      </c>
      <c r="R61" s="719">
        <f ca="1">R46+R52+R56</f>
        <v>42669.763963294441</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0.20225461633552952</v>
      </c>
      <c r="D63" s="762">
        <f t="shared" ca="1" si="9"/>
        <v>0</v>
      </c>
      <c r="E63" s="984">
        <f t="shared" ca="1" si="9"/>
        <v>0.20199999999999996</v>
      </c>
      <c r="F63" s="762">
        <f t="shared" si="9"/>
        <v>0.22699999999999998</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2381.9417472919476</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2381.9417472919476</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17423.2111186607</v>
      </c>
      <c r="C4" s="448">
        <f>huishoudens!C8</f>
        <v>0</v>
      </c>
      <c r="D4" s="448">
        <f>huishoudens!D8</f>
        <v>18368.963910000002</v>
      </c>
      <c r="E4" s="448">
        <f>huishoudens!E8</f>
        <v>1470.9041791079494</v>
      </c>
      <c r="F4" s="448">
        <f>huishoudens!F8</f>
        <v>45076.553948410656</v>
      </c>
      <c r="G4" s="448">
        <f>huishoudens!G8</f>
        <v>0</v>
      </c>
      <c r="H4" s="448">
        <f>huishoudens!H8</f>
        <v>0</v>
      </c>
      <c r="I4" s="448">
        <f>huishoudens!I8</f>
        <v>0</v>
      </c>
      <c r="J4" s="448">
        <f>huishoudens!J8</f>
        <v>853.66017650321749</v>
      </c>
      <c r="K4" s="448">
        <f>huishoudens!K8</f>
        <v>0</v>
      </c>
      <c r="L4" s="448">
        <f>huishoudens!L8</f>
        <v>0</v>
      </c>
      <c r="M4" s="448">
        <f>huishoudens!M8</f>
        <v>0</v>
      </c>
      <c r="N4" s="448">
        <f>huishoudens!N8</f>
        <v>6178.3229406030096</v>
      </c>
      <c r="O4" s="448">
        <f>huishoudens!O8</f>
        <v>100.05333333333334</v>
      </c>
      <c r="P4" s="449">
        <f>huishoudens!P8</f>
        <v>305.06666666666666</v>
      </c>
      <c r="Q4" s="450">
        <f>SUM(B4:P4)</f>
        <v>89776.73627328554</v>
      </c>
    </row>
    <row r="5" spans="1:17">
      <c r="A5" s="447" t="s">
        <v>149</v>
      </c>
      <c r="B5" s="448">
        <f ca="1">tertiair!B16</f>
        <v>6661.818339227827</v>
      </c>
      <c r="C5" s="448">
        <f ca="1">tertiair!C16</f>
        <v>0</v>
      </c>
      <c r="D5" s="448">
        <f ca="1">tertiair!D16</f>
        <v>4010.8025320000002</v>
      </c>
      <c r="E5" s="448">
        <f>tertiair!E16</f>
        <v>96.480653919590196</v>
      </c>
      <c r="F5" s="448">
        <f ca="1">tertiair!F16</f>
        <v>1305.6968962884216</v>
      </c>
      <c r="G5" s="448">
        <f>tertiair!G16</f>
        <v>0</v>
      </c>
      <c r="H5" s="448">
        <f>tertiair!H16</f>
        <v>0</v>
      </c>
      <c r="I5" s="448">
        <f>tertiair!I16</f>
        <v>0</v>
      </c>
      <c r="J5" s="448">
        <f>tertiair!J16</f>
        <v>0</v>
      </c>
      <c r="K5" s="448">
        <f>tertiair!K16</f>
        <v>0</v>
      </c>
      <c r="L5" s="448">
        <f ca="1">tertiair!L16</f>
        <v>0</v>
      </c>
      <c r="M5" s="448">
        <f>tertiair!M16</f>
        <v>0</v>
      </c>
      <c r="N5" s="448">
        <f ca="1">tertiair!N16</f>
        <v>546.07620792417026</v>
      </c>
      <c r="O5" s="448">
        <f>tertiair!O16</f>
        <v>0</v>
      </c>
      <c r="P5" s="449">
        <f>tertiair!P16</f>
        <v>19.066666666666666</v>
      </c>
      <c r="Q5" s="447">
        <f t="shared" ref="Q5:Q14" ca="1" si="0">SUM(B5:P5)</f>
        <v>12639.941296026678</v>
      </c>
    </row>
    <row r="6" spans="1:17">
      <c r="A6" s="447" t="s">
        <v>187</v>
      </c>
      <c r="B6" s="448">
        <f>'openbare verlichting'!B8</f>
        <v>531.59500000000003</v>
      </c>
      <c r="C6" s="448"/>
      <c r="D6" s="448"/>
      <c r="E6" s="448"/>
      <c r="F6" s="448"/>
      <c r="G6" s="448"/>
      <c r="H6" s="448"/>
      <c r="I6" s="448"/>
      <c r="J6" s="448"/>
      <c r="K6" s="448"/>
      <c r="L6" s="448"/>
      <c r="M6" s="448"/>
      <c r="N6" s="448"/>
      <c r="O6" s="448"/>
      <c r="P6" s="449"/>
      <c r="Q6" s="447">
        <f t="shared" si="0"/>
        <v>531.59500000000003</v>
      </c>
    </row>
    <row r="7" spans="1:17">
      <c r="A7" s="447" t="s">
        <v>105</v>
      </c>
      <c r="B7" s="448">
        <f>landbouw!B8</f>
        <v>1016.3150000000001</v>
      </c>
      <c r="C7" s="448">
        <f>landbouw!C8</f>
        <v>0</v>
      </c>
      <c r="D7" s="448">
        <f>landbouw!D8</f>
        <v>125.90116000000002</v>
      </c>
      <c r="E7" s="448">
        <f>landbouw!E8</f>
        <v>12.806878279923549</v>
      </c>
      <c r="F7" s="448">
        <f>landbouw!F8</f>
        <v>3506.5413521206005</v>
      </c>
      <c r="G7" s="448">
        <f>landbouw!G8</f>
        <v>0</v>
      </c>
      <c r="H7" s="448">
        <f>landbouw!H8</f>
        <v>0</v>
      </c>
      <c r="I7" s="448">
        <f>landbouw!I8</f>
        <v>0</v>
      </c>
      <c r="J7" s="448">
        <f>landbouw!J8</f>
        <v>152.8422229388255</v>
      </c>
      <c r="K7" s="448">
        <f>landbouw!K8</f>
        <v>0</v>
      </c>
      <c r="L7" s="448">
        <f>landbouw!L8</f>
        <v>0</v>
      </c>
      <c r="M7" s="448">
        <f>landbouw!M8</f>
        <v>0</v>
      </c>
      <c r="N7" s="448">
        <f>landbouw!N8</f>
        <v>0</v>
      </c>
      <c r="O7" s="448">
        <f>landbouw!O8</f>
        <v>0</v>
      </c>
      <c r="P7" s="449">
        <f>landbouw!P8</f>
        <v>0</v>
      </c>
      <c r="Q7" s="447">
        <f t="shared" si="0"/>
        <v>4814.4066133393499</v>
      </c>
    </row>
    <row r="8" spans="1:17">
      <c r="A8" s="447" t="s">
        <v>639</v>
      </c>
      <c r="B8" s="448">
        <f>industrie!B18</f>
        <v>1644.221</v>
      </c>
      <c r="C8" s="448">
        <f>industrie!C18</f>
        <v>0</v>
      </c>
      <c r="D8" s="448">
        <f>industrie!D18</f>
        <v>467.29462999999998</v>
      </c>
      <c r="E8" s="448">
        <f>industrie!E18</f>
        <v>248.08843030712256</v>
      </c>
      <c r="F8" s="448">
        <f>industrie!F18</f>
        <v>1552.6887916502276</v>
      </c>
      <c r="G8" s="448">
        <f>industrie!G18</f>
        <v>0</v>
      </c>
      <c r="H8" s="448">
        <f>industrie!H18</f>
        <v>0</v>
      </c>
      <c r="I8" s="448">
        <f>industrie!I18</f>
        <v>0</v>
      </c>
      <c r="J8" s="448">
        <f>industrie!J18</f>
        <v>6.3299649263613367E-2</v>
      </c>
      <c r="K8" s="448">
        <f>industrie!K18</f>
        <v>0</v>
      </c>
      <c r="L8" s="448">
        <f>industrie!L18</f>
        <v>0</v>
      </c>
      <c r="M8" s="448">
        <f>industrie!M18</f>
        <v>0</v>
      </c>
      <c r="N8" s="448">
        <f>industrie!N18</f>
        <v>282.62224459827996</v>
      </c>
      <c r="O8" s="448">
        <f>industrie!O18</f>
        <v>0</v>
      </c>
      <c r="P8" s="449">
        <f>industrie!P18</f>
        <v>0</v>
      </c>
      <c r="Q8" s="447">
        <f t="shared" si="0"/>
        <v>4194.9783962048932</v>
      </c>
    </row>
    <row r="9" spans="1:17" s="453" customFormat="1">
      <c r="A9" s="451" t="s">
        <v>557</v>
      </c>
      <c r="B9" s="452">
        <f>transport!B14</f>
        <v>5.3914880908086644</v>
      </c>
      <c r="C9" s="452">
        <f>transport!C14</f>
        <v>0</v>
      </c>
      <c r="D9" s="452">
        <f>transport!D14</f>
        <v>5.2448343637289145</v>
      </c>
      <c r="E9" s="452">
        <f>transport!E14</f>
        <v>186.17670785206374</v>
      </c>
      <c r="F9" s="452">
        <f>transport!F14</f>
        <v>0</v>
      </c>
      <c r="G9" s="452">
        <f>transport!G14</f>
        <v>54615.776668528095</v>
      </c>
      <c r="H9" s="452">
        <f>transport!H14</f>
        <v>8967.9778842810647</v>
      </c>
      <c r="I9" s="452">
        <f>transport!I14</f>
        <v>0</v>
      </c>
      <c r="J9" s="452">
        <f>transport!J14</f>
        <v>0</v>
      </c>
      <c r="K9" s="452">
        <f>transport!K14</f>
        <v>0</v>
      </c>
      <c r="L9" s="452">
        <f>transport!L14</f>
        <v>0</v>
      </c>
      <c r="M9" s="452">
        <f>transport!M14</f>
        <v>2874.7584859355356</v>
      </c>
      <c r="N9" s="452">
        <f>transport!N14</f>
        <v>0</v>
      </c>
      <c r="O9" s="452">
        <f>transport!O14</f>
        <v>0</v>
      </c>
      <c r="P9" s="452">
        <f>transport!P14</f>
        <v>0</v>
      </c>
      <c r="Q9" s="451">
        <f>SUM(B9:P9)</f>
        <v>66655.326069051298</v>
      </c>
    </row>
    <row r="10" spans="1:17">
      <c r="A10" s="447" t="s">
        <v>547</v>
      </c>
      <c r="B10" s="448">
        <f>transport!B54</f>
        <v>12.234381842910546</v>
      </c>
      <c r="C10" s="448">
        <f>transport!C54</f>
        <v>0</v>
      </c>
      <c r="D10" s="448">
        <f>transport!D54</f>
        <v>0</v>
      </c>
      <c r="E10" s="448">
        <f>transport!E54</f>
        <v>0</v>
      </c>
      <c r="F10" s="448">
        <f>transport!F54</f>
        <v>0</v>
      </c>
      <c r="G10" s="448">
        <f>transport!G54</f>
        <v>2381.35314112385</v>
      </c>
      <c r="H10" s="448">
        <f>transport!H54</f>
        <v>0</v>
      </c>
      <c r="I10" s="448">
        <f>transport!I54</f>
        <v>0</v>
      </c>
      <c r="J10" s="448">
        <f>transport!J54</f>
        <v>0</v>
      </c>
      <c r="K10" s="448">
        <f>transport!K54</f>
        <v>0</v>
      </c>
      <c r="L10" s="448">
        <f>transport!L54</f>
        <v>0</v>
      </c>
      <c r="M10" s="448">
        <f>transport!M54</f>
        <v>106.78187577993218</v>
      </c>
      <c r="N10" s="448">
        <f>transport!N54</f>
        <v>0</v>
      </c>
      <c r="O10" s="448">
        <f>transport!O54</f>
        <v>0</v>
      </c>
      <c r="P10" s="449">
        <f>transport!P54</f>
        <v>0</v>
      </c>
      <c r="Q10" s="447">
        <f t="shared" si="0"/>
        <v>2500.3693987466927</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787.28099999999995</v>
      </c>
      <c r="C14" s="455"/>
      <c r="D14" s="455">
        <f>'SEAP template'!E25</f>
        <v>1726.222</v>
      </c>
      <c r="E14" s="455"/>
      <c r="F14" s="455"/>
      <c r="G14" s="455"/>
      <c r="H14" s="455"/>
      <c r="I14" s="455"/>
      <c r="J14" s="455"/>
      <c r="K14" s="455"/>
      <c r="L14" s="455"/>
      <c r="M14" s="455"/>
      <c r="N14" s="455"/>
      <c r="O14" s="455"/>
      <c r="P14" s="456"/>
      <c r="Q14" s="447">
        <f t="shared" si="0"/>
        <v>2513.5029999999997</v>
      </c>
    </row>
    <row r="15" spans="1:17" s="460" customFormat="1">
      <c r="A15" s="457" t="s">
        <v>551</v>
      </c>
      <c r="B15" s="458">
        <f ca="1">SUM(B4:B14)</f>
        <v>28082.067327822246</v>
      </c>
      <c r="C15" s="458">
        <f t="shared" ref="C15:Q15" ca="1" si="1">SUM(C4:C14)</f>
        <v>0</v>
      </c>
      <c r="D15" s="458">
        <f t="shared" ca="1" si="1"/>
        <v>24704.429066363737</v>
      </c>
      <c r="E15" s="458">
        <f t="shared" si="1"/>
        <v>2014.4568494666494</v>
      </c>
      <c r="F15" s="458">
        <f t="shared" ca="1" si="1"/>
        <v>51441.480988469906</v>
      </c>
      <c r="G15" s="458">
        <f t="shared" si="1"/>
        <v>56997.129809651946</v>
      </c>
      <c r="H15" s="458">
        <f t="shared" si="1"/>
        <v>8967.9778842810647</v>
      </c>
      <c r="I15" s="458">
        <f t="shared" si="1"/>
        <v>0</v>
      </c>
      <c r="J15" s="458">
        <f t="shared" si="1"/>
        <v>1006.5656990913067</v>
      </c>
      <c r="K15" s="458">
        <f t="shared" si="1"/>
        <v>0</v>
      </c>
      <c r="L15" s="458">
        <f t="shared" ca="1" si="1"/>
        <v>0</v>
      </c>
      <c r="M15" s="458">
        <f t="shared" si="1"/>
        <v>2981.540361715468</v>
      </c>
      <c r="N15" s="458">
        <f t="shared" ca="1" si="1"/>
        <v>7007.0213931254602</v>
      </c>
      <c r="O15" s="458">
        <f t="shared" si="1"/>
        <v>100.05333333333334</v>
      </c>
      <c r="P15" s="458">
        <f t="shared" si="1"/>
        <v>324.13333333333333</v>
      </c>
      <c r="Q15" s="458">
        <f t="shared" ca="1" si="1"/>
        <v>183626.85604665446</v>
      </c>
    </row>
    <row r="17" spans="1:17">
      <c r="A17" s="461" t="s">
        <v>552</v>
      </c>
      <c r="B17" s="767">
        <f ca="1">huishoudens!B10</f>
        <v>0.20225461633552949</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3523.9248801376516</v>
      </c>
      <c r="C22" s="448">
        <f t="shared" ref="C22:C32" ca="1" si="3">C4*$C$17</f>
        <v>0</v>
      </c>
      <c r="D22" s="448">
        <f t="shared" ref="D22:D32" si="4">D4*$D$17</f>
        <v>3710.5307098200005</v>
      </c>
      <c r="E22" s="448">
        <f t="shared" ref="E22:E32" si="5">E4*$E$17</f>
        <v>333.89524865750451</v>
      </c>
      <c r="F22" s="448">
        <f t="shared" ref="F22:F32" si="6">F4*$F$17</f>
        <v>12035.439904225646</v>
      </c>
      <c r="G22" s="448">
        <f t="shared" ref="G22:G32" si="7">G4*$G$17</f>
        <v>0</v>
      </c>
      <c r="H22" s="448">
        <f t="shared" ref="H22:H32" si="8">H4*$H$17</f>
        <v>0</v>
      </c>
      <c r="I22" s="448">
        <f t="shared" ref="I22:I32" si="9">I4*$I$17</f>
        <v>0</v>
      </c>
      <c r="J22" s="448">
        <f t="shared" ref="J22:J32" si="10">J4*$J$17</f>
        <v>302.19570248213898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19905.986445322942</v>
      </c>
    </row>
    <row r="23" spans="1:17">
      <c r="A23" s="447" t="s">
        <v>149</v>
      </c>
      <c r="B23" s="448">
        <f t="shared" ca="1" si="2"/>
        <v>1347.3835122975183</v>
      </c>
      <c r="C23" s="448">
        <f t="shared" ca="1" si="3"/>
        <v>0</v>
      </c>
      <c r="D23" s="448">
        <f t="shared" ca="1" si="4"/>
        <v>810.18211146400006</v>
      </c>
      <c r="E23" s="448">
        <f t="shared" si="5"/>
        <v>21.901108439746974</v>
      </c>
      <c r="F23" s="448">
        <f t="shared" ca="1" si="6"/>
        <v>348.62107130900858</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2528.0878035102742</v>
      </c>
    </row>
    <row r="24" spans="1:17">
      <c r="A24" s="447" t="s">
        <v>187</v>
      </c>
      <c r="B24" s="448">
        <f t="shared" ca="1" si="2"/>
        <v>107.51754277088581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107.51754277088581</v>
      </c>
    </row>
    <row r="25" spans="1:17">
      <c r="A25" s="447" t="s">
        <v>105</v>
      </c>
      <c r="B25" s="448">
        <f t="shared" ca="1" si="2"/>
        <v>205.55440040104367</v>
      </c>
      <c r="C25" s="448">
        <f t="shared" ca="1" si="3"/>
        <v>0</v>
      </c>
      <c r="D25" s="448">
        <f t="shared" si="4"/>
        <v>25.432034320000007</v>
      </c>
      <c r="E25" s="448">
        <f t="shared" si="5"/>
        <v>2.9071613695426457</v>
      </c>
      <c r="F25" s="448">
        <f t="shared" si="6"/>
        <v>936.24654101620035</v>
      </c>
      <c r="G25" s="448">
        <f t="shared" si="7"/>
        <v>0</v>
      </c>
      <c r="H25" s="448">
        <f t="shared" si="8"/>
        <v>0</v>
      </c>
      <c r="I25" s="448">
        <f t="shared" si="9"/>
        <v>0</v>
      </c>
      <c r="J25" s="448">
        <f t="shared" si="10"/>
        <v>54.106146920344223</v>
      </c>
      <c r="K25" s="448">
        <f t="shared" si="11"/>
        <v>0</v>
      </c>
      <c r="L25" s="448">
        <f t="shared" si="12"/>
        <v>0</v>
      </c>
      <c r="M25" s="448">
        <f t="shared" si="13"/>
        <v>0</v>
      </c>
      <c r="N25" s="448">
        <f t="shared" si="14"/>
        <v>0</v>
      </c>
      <c r="O25" s="448">
        <f t="shared" si="15"/>
        <v>0</v>
      </c>
      <c r="P25" s="449">
        <f t="shared" si="16"/>
        <v>0</v>
      </c>
      <c r="Q25" s="447">
        <f t="shared" ca="1" si="17"/>
        <v>1224.2462840271307</v>
      </c>
    </row>
    <row r="26" spans="1:17">
      <c r="A26" s="447" t="s">
        <v>639</v>
      </c>
      <c r="B26" s="448">
        <f t="shared" ca="1" si="2"/>
        <v>332.55128752582061</v>
      </c>
      <c r="C26" s="448">
        <f t="shared" ca="1" si="3"/>
        <v>0</v>
      </c>
      <c r="D26" s="448">
        <f t="shared" si="4"/>
        <v>94.393515260000001</v>
      </c>
      <c r="E26" s="448">
        <f t="shared" si="5"/>
        <v>56.316073679716823</v>
      </c>
      <c r="F26" s="448">
        <f t="shared" si="6"/>
        <v>414.56790737061078</v>
      </c>
      <c r="G26" s="448">
        <f t="shared" si="7"/>
        <v>0</v>
      </c>
      <c r="H26" s="448">
        <f t="shared" si="8"/>
        <v>0</v>
      </c>
      <c r="I26" s="448">
        <f t="shared" si="9"/>
        <v>0</v>
      </c>
      <c r="J26" s="448">
        <f t="shared" si="10"/>
        <v>2.2408075839319131E-2</v>
      </c>
      <c r="K26" s="448">
        <f t="shared" si="11"/>
        <v>0</v>
      </c>
      <c r="L26" s="448">
        <f t="shared" si="12"/>
        <v>0</v>
      </c>
      <c r="M26" s="448">
        <f t="shared" si="13"/>
        <v>0</v>
      </c>
      <c r="N26" s="448">
        <f t="shared" si="14"/>
        <v>0</v>
      </c>
      <c r="O26" s="448">
        <f t="shared" si="15"/>
        <v>0</v>
      </c>
      <c r="P26" s="449">
        <f t="shared" si="16"/>
        <v>0</v>
      </c>
      <c r="Q26" s="447">
        <f t="shared" ca="1" si="17"/>
        <v>897.85119191198748</v>
      </c>
    </row>
    <row r="27" spans="1:17" s="453" customFormat="1">
      <c r="A27" s="451" t="s">
        <v>557</v>
      </c>
      <c r="B27" s="761">
        <f t="shared" ca="1" si="2"/>
        <v>1.0904533552840827</v>
      </c>
      <c r="C27" s="452">
        <f t="shared" ca="1" si="3"/>
        <v>0</v>
      </c>
      <c r="D27" s="452">
        <f t="shared" si="4"/>
        <v>1.0594565414732409</v>
      </c>
      <c r="E27" s="452">
        <f t="shared" si="5"/>
        <v>42.262112682418469</v>
      </c>
      <c r="F27" s="452">
        <f t="shared" si="6"/>
        <v>0</v>
      </c>
      <c r="G27" s="452">
        <f t="shared" si="7"/>
        <v>14582.412370497002</v>
      </c>
      <c r="H27" s="452">
        <f t="shared" si="8"/>
        <v>2233.0264931859851</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16859.850886262164</v>
      </c>
    </row>
    <row r="28" spans="1:17">
      <c r="A28" s="447" t="s">
        <v>547</v>
      </c>
      <c r="B28" s="448">
        <f t="shared" ca="1" si="2"/>
        <v>2.4744602057402405</v>
      </c>
      <c r="C28" s="448">
        <f t="shared" ca="1" si="3"/>
        <v>0</v>
      </c>
      <c r="D28" s="448">
        <f t="shared" si="4"/>
        <v>0</v>
      </c>
      <c r="E28" s="448">
        <f t="shared" si="5"/>
        <v>0</v>
      </c>
      <c r="F28" s="448">
        <f t="shared" si="6"/>
        <v>0</v>
      </c>
      <c r="G28" s="448">
        <f t="shared" si="7"/>
        <v>635.82128868006805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638.29574888580828</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159.23121660325199</v>
      </c>
      <c r="C32" s="448">
        <f t="shared" ca="1" si="3"/>
        <v>0</v>
      </c>
      <c r="D32" s="448">
        <f t="shared" si="4"/>
        <v>348.696844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507.92806060325199</v>
      </c>
    </row>
    <row r="33" spans="1:17" s="460" customFormat="1">
      <c r="A33" s="457" t="s">
        <v>551</v>
      </c>
      <c r="B33" s="458">
        <f ca="1">SUM(B22:B32)</f>
        <v>5679.7277532971957</v>
      </c>
      <c r="C33" s="458">
        <f t="shared" ref="C33:Q33" ca="1" si="18">SUM(C22:C32)</f>
        <v>0</v>
      </c>
      <c r="D33" s="458">
        <f t="shared" ca="1" si="18"/>
        <v>4990.2946714054733</v>
      </c>
      <c r="E33" s="458">
        <f t="shared" si="18"/>
        <v>457.28170482892943</v>
      </c>
      <c r="F33" s="458">
        <f t="shared" ca="1" si="18"/>
        <v>13734.875423921467</v>
      </c>
      <c r="G33" s="458">
        <f t="shared" si="18"/>
        <v>15218.233659177071</v>
      </c>
      <c r="H33" s="458">
        <f t="shared" si="18"/>
        <v>2233.0264931859851</v>
      </c>
      <c r="I33" s="458">
        <f t="shared" si="18"/>
        <v>0</v>
      </c>
      <c r="J33" s="458">
        <f t="shared" si="18"/>
        <v>356.32425747832252</v>
      </c>
      <c r="K33" s="458">
        <f t="shared" si="18"/>
        <v>0</v>
      </c>
      <c r="L33" s="458">
        <f t="shared" ca="1" si="18"/>
        <v>0</v>
      </c>
      <c r="M33" s="458">
        <f t="shared" si="18"/>
        <v>0</v>
      </c>
      <c r="N33" s="458">
        <f t="shared" ca="1" si="18"/>
        <v>0</v>
      </c>
      <c r="O33" s="458">
        <f t="shared" si="18"/>
        <v>0</v>
      </c>
      <c r="P33" s="458">
        <f t="shared" si="18"/>
        <v>0</v>
      </c>
      <c r="Q33" s="458">
        <f t="shared" ca="1" si="18"/>
        <v>42669.763963294448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2381.9417472919476</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2381.9417472919476</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0.20225461633552949</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0.20225461633552949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0.20225461633552949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0.20225461633552949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3594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2686</v>
      </c>
      <c r="C14" s="327"/>
      <c r="D14" s="327"/>
      <c r="E14" s="327"/>
      <c r="F14" s="327"/>
    </row>
    <row r="15" spans="1:6">
      <c r="A15" s="1296" t="s">
        <v>177</v>
      </c>
      <c r="B15" s="1297">
        <v>42</v>
      </c>
      <c r="C15" s="327"/>
      <c r="D15" s="327"/>
      <c r="E15" s="327"/>
      <c r="F15" s="327"/>
    </row>
    <row r="16" spans="1:6">
      <c r="A16" s="1296" t="s">
        <v>6</v>
      </c>
      <c r="B16" s="1297">
        <v>1588</v>
      </c>
      <c r="C16" s="327"/>
      <c r="D16" s="327"/>
      <c r="E16" s="327"/>
      <c r="F16" s="327"/>
    </row>
    <row r="17" spans="1:6">
      <c r="A17" s="1296" t="s">
        <v>7</v>
      </c>
      <c r="B17" s="1297">
        <v>563</v>
      </c>
      <c r="C17" s="327"/>
      <c r="D17" s="327"/>
      <c r="E17" s="327"/>
      <c r="F17" s="327"/>
    </row>
    <row r="18" spans="1:6">
      <c r="A18" s="1296" t="s">
        <v>8</v>
      </c>
      <c r="B18" s="1297">
        <v>1182</v>
      </c>
      <c r="C18" s="327"/>
      <c r="D18" s="327"/>
      <c r="E18" s="327"/>
      <c r="F18" s="327"/>
    </row>
    <row r="19" spans="1:6">
      <c r="A19" s="1296" t="s">
        <v>9</v>
      </c>
      <c r="B19" s="1297">
        <v>1096</v>
      </c>
      <c r="C19" s="327"/>
      <c r="D19" s="327"/>
      <c r="E19" s="327"/>
      <c r="F19" s="327"/>
    </row>
    <row r="20" spans="1:6">
      <c r="A20" s="1296" t="s">
        <v>10</v>
      </c>
      <c r="B20" s="1297">
        <v>849</v>
      </c>
      <c r="C20" s="327"/>
      <c r="D20" s="327"/>
      <c r="E20" s="327"/>
      <c r="F20" s="327"/>
    </row>
    <row r="21" spans="1:6">
      <c r="A21" s="1296" t="s">
        <v>11</v>
      </c>
      <c r="B21" s="1297">
        <v>422</v>
      </c>
      <c r="C21" s="327"/>
      <c r="D21" s="327"/>
      <c r="E21" s="327"/>
      <c r="F21" s="327"/>
    </row>
    <row r="22" spans="1:6">
      <c r="A22" s="1296" t="s">
        <v>12</v>
      </c>
      <c r="B22" s="1297">
        <v>1352</v>
      </c>
      <c r="C22" s="327"/>
      <c r="D22" s="327"/>
      <c r="E22" s="327"/>
      <c r="F22" s="327"/>
    </row>
    <row r="23" spans="1:6">
      <c r="A23" s="1296" t="s">
        <v>13</v>
      </c>
      <c r="B23" s="1297">
        <v>10</v>
      </c>
      <c r="C23" s="327"/>
      <c r="D23" s="327"/>
      <c r="E23" s="327"/>
      <c r="F23" s="327"/>
    </row>
    <row r="24" spans="1:6">
      <c r="A24" s="1296" t="s">
        <v>14</v>
      </c>
      <c r="B24" s="1297">
        <v>5</v>
      </c>
      <c r="C24" s="327"/>
      <c r="D24" s="327"/>
      <c r="E24" s="327"/>
      <c r="F24" s="327"/>
    </row>
    <row r="25" spans="1:6">
      <c r="A25" s="1296" t="s">
        <v>15</v>
      </c>
      <c r="B25" s="1297">
        <v>196</v>
      </c>
      <c r="C25" s="327"/>
      <c r="D25" s="327"/>
      <c r="E25" s="327"/>
      <c r="F25" s="327"/>
    </row>
    <row r="26" spans="1:6">
      <c r="A26" s="1296" t="s">
        <v>16</v>
      </c>
      <c r="B26" s="1297">
        <v>207</v>
      </c>
      <c r="C26" s="327"/>
      <c r="D26" s="327"/>
      <c r="E26" s="327"/>
      <c r="F26" s="327"/>
    </row>
    <row r="27" spans="1:6">
      <c r="A27" s="1296" t="s">
        <v>17</v>
      </c>
      <c r="B27" s="1297">
        <v>102</v>
      </c>
      <c r="C27" s="327"/>
      <c r="D27" s="327"/>
      <c r="E27" s="327"/>
      <c r="F27" s="327"/>
    </row>
    <row r="28" spans="1:6">
      <c r="A28" s="1296" t="s">
        <v>18</v>
      </c>
      <c r="B28" s="1298">
        <v>2031</v>
      </c>
      <c r="C28" s="327"/>
      <c r="D28" s="327"/>
      <c r="E28" s="327"/>
      <c r="F28" s="327"/>
    </row>
    <row r="29" spans="1:6">
      <c r="A29" s="1296" t="s">
        <v>922</v>
      </c>
      <c r="B29" s="1298">
        <v>145</v>
      </c>
      <c r="C29" s="327"/>
      <c r="D29" s="327"/>
      <c r="E29" s="327"/>
      <c r="F29" s="327"/>
    </row>
    <row r="30" spans="1:6">
      <c r="A30" s="1291" t="s">
        <v>923</v>
      </c>
      <c r="B30" s="1299">
        <v>35</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444</v>
      </c>
    </row>
    <row r="39" spans="1:6">
      <c r="A39" s="1296" t="s">
        <v>29</v>
      </c>
      <c r="B39" s="1296" t="s">
        <v>30</v>
      </c>
      <c r="C39" s="1297">
        <v>1070</v>
      </c>
      <c r="D39" s="1297">
        <v>20364705</v>
      </c>
      <c r="E39" s="1297">
        <v>3438</v>
      </c>
      <c r="F39" s="1297">
        <v>15680330.708195981</v>
      </c>
    </row>
    <row r="40" spans="1:6">
      <c r="A40" s="1296" t="s">
        <v>29</v>
      </c>
      <c r="B40" s="1296" t="s">
        <v>28</v>
      </c>
      <c r="C40" s="1297">
        <v>0</v>
      </c>
      <c r="D40" s="1297">
        <v>0</v>
      </c>
      <c r="E40" s="1297">
        <v>0</v>
      </c>
      <c r="F40" s="1297">
        <v>0</v>
      </c>
    </row>
    <row r="41" spans="1:6">
      <c r="A41" s="1296" t="s">
        <v>31</v>
      </c>
      <c r="B41" s="1296" t="s">
        <v>32</v>
      </c>
      <c r="C41" s="1297">
        <v>14</v>
      </c>
      <c r="D41" s="1297">
        <v>440592</v>
      </c>
      <c r="E41" s="1297">
        <v>79</v>
      </c>
      <c r="F41" s="1297">
        <v>680116</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4</v>
      </c>
      <c r="F44" s="1297">
        <v>168392</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4</v>
      </c>
      <c r="F47" s="1297">
        <v>73096</v>
      </c>
    </row>
    <row r="48" spans="1:6">
      <c r="A48" s="1296" t="s">
        <v>31</v>
      </c>
      <c r="B48" s="1296" t="s">
        <v>28</v>
      </c>
      <c r="C48" s="1297">
        <v>2</v>
      </c>
      <c r="D48" s="1297">
        <v>77473</v>
      </c>
      <c r="E48" s="1297">
        <v>2</v>
      </c>
      <c r="F48" s="1297">
        <v>21076</v>
      </c>
    </row>
    <row r="49" spans="1:6">
      <c r="A49" s="1296" t="s">
        <v>31</v>
      </c>
      <c r="B49" s="1296" t="s">
        <v>39</v>
      </c>
      <c r="C49" s="1297">
        <v>0</v>
      </c>
      <c r="D49" s="1297">
        <v>0</v>
      </c>
      <c r="E49" s="1297">
        <v>0</v>
      </c>
      <c r="F49" s="1297">
        <v>0</v>
      </c>
    </row>
    <row r="50" spans="1:6">
      <c r="A50" s="1296" t="s">
        <v>31</v>
      </c>
      <c r="B50" s="1296" t="s">
        <v>40</v>
      </c>
      <c r="C50" s="1297">
        <v>0</v>
      </c>
      <c r="D50" s="1297">
        <v>0</v>
      </c>
      <c r="E50" s="1297">
        <v>20</v>
      </c>
      <c r="F50" s="1297">
        <v>701541</v>
      </c>
    </row>
    <row r="51" spans="1:6">
      <c r="A51" s="1296" t="s">
        <v>41</v>
      </c>
      <c r="B51" s="1296" t="s">
        <v>42</v>
      </c>
      <c r="C51" s="1297">
        <v>6</v>
      </c>
      <c r="D51" s="1297">
        <v>139580</v>
      </c>
      <c r="E51" s="1297">
        <v>93</v>
      </c>
      <c r="F51" s="1297">
        <v>1016315</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0</v>
      </c>
      <c r="F54" s="1297">
        <v>0</v>
      </c>
    </row>
    <row r="55" spans="1:6">
      <c r="A55" s="1296" t="s">
        <v>45</v>
      </c>
      <c r="B55" s="1296" t="s">
        <v>28</v>
      </c>
      <c r="C55" s="1297">
        <v>0</v>
      </c>
      <c r="D55" s="1297">
        <v>0</v>
      </c>
      <c r="E55" s="1297">
        <v>1</v>
      </c>
      <c r="F55" s="1297">
        <v>531595</v>
      </c>
    </row>
    <row r="56" spans="1:6">
      <c r="A56" s="1296" t="s">
        <v>47</v>
      </c>
      <c r="B56" s="1296" t="s">
        <v>28</v>
      </c>
      <c r="C56" s="1297">
        <v>38</v>
      </c>
      <c r="D56" s="1297">
        <v>1726222</v>
      </c>
      <c r="E56" s="1297">
        <v>65</v>
      </c>
      <c r="F56" s="1297">
        <v>787281</v>
      </c>
    </row>
    <row r="57" spans="1:6">
      <c r="A57" s="1296" t="s">
        <v>48</v>
      </c>
      <c r="B57" s="1296" t="s">
        <v>49</v>
      </c>
      <c r="C57" s="1297">
        <v>9</v>
      </c>
      <c r="D57" s="1297">
        <v>288298</v>
      </c>
      <c r="E57" s="1297">
        <v>55</v>
      </c>
      <c r="F57" s="1297">
        <v>756794</v>
      </c>
    </row>
    <row r="58" spans="1:6">
      <c r="A58" s="1296" t="s">
        <v>48</v>
      </c>
      <c r="B58" s="1296" t="s">
        <v>50</v>
      </c>
      <c r="C58" s="1297">
        <v>7</v>
      </c>
      <c r="D58" s="1297">
        <v>480180</v>
      </c>
      <c r="E58" s="1297">
        <v>26</v>
      </c>
      <c r="F58" s="1297">
        <v>689710</v>
      </c>
    </row>
    <row r="59" spans="1:6">
      <c r="A59" s="1296" t="s">
        <v>48</v>
      </c>
      <c r="B59" s="1296" t="s">
        <v>51</v>
      </c>
      <c r="C59" s="1297">
        <v>17</v>
      </c>
      <c r="D59" s="1297">
        <v>1133477</v>
      </c>
      <c r="E59" s="1297">
        <v>83</v>
      </c>
      <c r="F59" s="1297">
        <v>2603964</v>
      </c>
    </row>
    <row r="60" spans="1:6">
      <c r="A60" s="1296" t="s">
        <v>48</v>
      </c>
      <c r="B60" s="1296" t="s">
        <v>52</v>
      </c>
      <c r="C60" s="1297">
        <v>13</v>
      </c>
      <c r="D60" s="1297">
        <v>1271599</v>
      </c>
      <c r="E60" s="1297">
        <v>36</v>
      </c>
      <c r="F60" s="1297">
        <v>843786</v>
      </c>
    </row>
    <row r="61" spans="1:6">
      <c r="A61" s="1296" t="s">
        <v>48</v>
      </c>
      <c r="B61" s="1296" t="s">
        <v>53</v>
      </c>
      <c r="C61" s="1297">
        <v>23</v>
      </c>
      <c r="D61" s="1297">
        <v>1185889</v>
      </c>
      <c r="E61" s="1297">
        <v>177</v>
      </c>
      <c r="F61" s="1297">
        <v>1727115</v>
      </c>
    </row>
    <row r="62" spans="1:6">
      <c r="A62" s="1296" t="s">
        <v>48</v>
      </c>
      <c r="B62" s="1296" t="s">
        <v>54</v>
      </c>
      <c r="C62" s="1297">
        <v>0</v>
      </c>
      <c r="D62" s="1297">
        <v>0</v>
      </c>
      <c r="E62" s="1297">
        <v>0</v>
      </c>
      <c r="F62" s="1297">
        <v>0</v>
      </c>
    </row>
    <row r="63" spans="1:6">
      <c r="A63" s="1296" t="s">
        <v>48</v>
      </c>
      <c r="B63" s="1296" t="s">
        <v>28</v>
      </c>
      <c r="C63" s="1297">
        <v>1</v>
      </c>
      <c r="D63" s="1297">
        <v>87123</v>
      </c>
      <c r="E63" s="1297">
        <v>2</v>
      </c>
      <c r="F63" s="1297">
        <v>40449.3392278272</v>
      </c>
    </row>
    <row r="64" spans="1:6">
      <c r="A64" s="1296" t="s">
        <v>55</v>
      </c>
      <c r="B64" s="1296" t="s">
        <v>56</v>
      </c>
      <c r="C64" s="1297">
        <v>0</v>
      </c>
      <c r="D64" s="1297">
        <v>0</v>
      </c>
      <c r="E64" s="1297">
        <v>0</v>
      </c>
      <c r="F64" s="1297">
        <v>0</v>
      </c>
    </row>
    <row r="65" spans="1:6">
      <c r="A65" s="1296" t="s">
        <v>55</v>
      </c>
      <c r="B65" s="1296" t="s">
        <v>28</v>
      </c>
      <c r="C65" s="1297">
        <v>0</v>
      </c>
      <c r="D65" s="1297">
        <v>0</v>
      </c>
      <c r="E65" s="1297">
        <v>1</v>
      </c>
      <c r="F65" s="1297">
        <v>6385.8091467903996</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7</v>
      </c>
      <c r="F68" s="1299">
        <v>158497</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58132466</v>
      </c>
      <c r="E73" s="446"/>
      <c r="F73" s="327"/>
    </row>
    <row r="74" spans="1:6">
      <c r="A74" s="1296" t="s">
        <v>63</v>
      </c>
      <c r="B74" s="1296" t="s">
        <v>706</v>
      </c>
      <c r="C74" s="1309" t="s">
        <v>707</v>
      </c>
      <c r="D74" s="1297">
        <v>6592176.0903479951</v>
      </c>
      <c r="E74" s="446"/>
      <c r="F74" s="327"/>
    </row>
    <row r="75" spans="1:6">
      <c r="A75" s="1296" t="s">
        <v>64</v>
      </c>
      <c r="B75" s="1296" t="s">
        <v>704</v>
      </c>
      <c r="C75" s="1309" t="s">
        <v>708</v>
      </c>
      <c r="D75" s="1297">
        <v>13581758</v>
      </c>
      <c r="E75" s="446"/>
      <c r="F75" s="327"/>
    </row>
    <row r="76" spans="1:6">
      <c r="A76" s="1296" t="s">
        <v>64</v>
      </c>
      <c r="B76" s="1296" t="s">
        <v>706</v>
      </c>
      <c r="C76" s="1309" t="s">
        <v>709</v>
      </c>
      <c r="D76" s="1297">
        <v>414898.0903479954</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661773.8193040092</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1742.8804104647181</v>
      </c>
      <c r="C91" s="327"/>
      <c r="D91" s="327"/>
      <c r="E91" s="327"/>
      <c r="F91" s="327"/>
    </row>
    <row r="92" spans="1:6">
      <c r="A92" s="1291" t="s">
        <v>68</v>
      </c>
      <c r="B92" s="1292">
        <v>639.06133682722941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344</v>
      </c>
      <c r="C97" s="327"/>
      <c r="D97" s="327"/>
      <c r="E97" s="327"/>
      <c r="F97" s="327"/>
    </row>
    <row r="98" spans="1:6">
      <c r="A98" s="1296" t="s">
        <v>71</v>
      </c>
      <c r="B98" s="1297">
        <v>0</v>
      </c>
      <c r="C98" s="327"/>
      <c r="D98" s="327"/>
      <c r="E98" s="327"/>
      <c r="F98" s="327"/>
    </row>
    <row r="99" spans="1:6">
      <c r="A99" s="1296" t="s">
        <v>72</v>
      </c>
      <c r="B99" s="1297">
        <v>89</v>
      </c>
      <c r="C99" s="327"/>
      <c r="D99" s="327"/>
      <c r="E99" s="327"/>
      <c r="F99" s="327"/>
    </row>
    <row r="100" spans="1:6">
      <c r="A100" s="1296" t="s">
        <v>73</v>
      </c>
      <c r="B100" s="1297">
        <v>289</v>
      </c>
      <c r="C100" s="327"/>
      <c r="D100" s="327"/>
      <c r="E100" s="327"/>
      <c r="F100" s="327"/>
    </row>
    <row r="101" spans="1:6">
      <c r="A101" s="1296" t="s">
        <v>74</v>
      </c>
      <c r="B101" s="1297">
        <v>74</v>
      </c>
      <c r="C101" s="327"/>
      <c r="D101" s="327"/>
      <c r="E101" s="327"/>
      <c r="F101" s="327"/>
    </row>
    <row r="102" spans="1:6">
      <c r="A102" s="1296" t="s">
        <v>75</v>
      </c>
      <c r="B102" s="1297">
        <v>31</v>
      </c>
      <c r="C102" s="327"/>
      <c r="D102" s="327"/>
      <c r="E102" s="327"/>
      <c r="F102" s="327"/>
    </row>
    <row r="103" spans="1:6">
      <c r="A103" s="1296" t="s">
        <v>76</v>
      </c>
      <c r="B103" s="1297">
        <v>85</v>
      </c>
      <c r="C103" s="327"/>
      <c r="D103" s="327"/>
      <c r="E103" s="327"/>
      <c r="F103" s="327"/>
    </row>
    <row r="104" spans="1:6">
      <c r="A104" s="1296" t="s">
        <v>77</v>
      </c>
      <c r="B104" s="1297">
        <v>2326</v>
      </c>
      <c r="C104" s="327"/>
      <c r="D104" s="327"/>
      <c r="E104" s="327"/>
      <c r="F104" s="327"/>
    </row>
    <row r="105" spans="1:6">
      <c r="A105" s="1291"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6</v>
      </c>
      <c r="C123" s="1297">
        <v>14</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50</v>
      </c>
      <c r="C129" s="327"/>
      <c r="D129" s="327"/>
      <c r="E129" s="327"/>
      <c r="F129" s="327"/>
    </row>
    <row r="130" spans="1:6">
      <c r="A130" s="1296" t="s">
        <v>284</v>
      </c>
      <c r="B130" s="1297">
        <v>0</v>
      </c>
      <c r="C130" s="327"/>
      <c r="D130" s="327"/>
      <c r="E130" s="327"/>
      <c r="F130" s="327"/>
    </row>
    <row r="131" spans="1:6">
      <c r="A131" s="1296" t="s">
        <v>285</v>
      </c>
      <c r="B131" s="1297">
        <v>1</v>
      </c>
      <c r="C131" s="327"/>
      <c r="D131" s="327"/>
      <c r="E131" s="327"/>
      <c r="F131" s="327"/>
    </row>
    <row r="132" spans="1:6">
      <c r="A132" s="1291" t="s">
        <v>286</v>
      </c>
      <c r="B132" s="1292">
        <v>10</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28082.067327822249</v>
      </c>
      <c r="C3" s="43" t="s">
        <v>163</v>
      </c>
      <c r="D3" s="43"/>
      <c r="E3" s="156"/>
      <c r="F3" s="43"/>
      <c r="G3" s="43"/>
      <c r="H3" s="43"/>
      <c r="I3" s="43"/>
      <c r="J3" s="43"/>
      <c r="K3" s="96"/>
    </row>
    <row r="4" spans="1:11">
      <c r="A4" s="353" t="s">
        <v>164</v>
      </c>
      <c r="B4" s="49">
        <f>IF(ISERROR('SEAP template'!B78+'SEAP template'!C78),0,'SEAP template'!B78+'SEAP template'!C78)</f>
        <v>2381.9417472919476</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0.20225461633552949</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531.59500000000003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531.59500000000003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0.20225461633552949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107.51754277088581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15680.330708195981</v>
      </c>
      <c r="C5" s="17">
        <f>IF(ISERROR('Eigen informatie GS &amp; warmtenet'!B57),0,'Eigen informatie GS &amp; warmtenet'!B57)</f>
        <v>0</v>
      </c>
      <c r="D5" s="30">
        <f>(SUM(HH_hh_gas_kWh,HH_rest_gas_kWh)/1000)*0.902</f>
        <v>18368.963910000002</v>
      </c>
      <c r="E5" s="17">
        <f>B32*B41</f>
        <v>1470.9041791079494</v>
      </c>
      <c r="F5" s="17">
        <f>B36*B45</f>
        <v>45076.553948410656</v>
      </c>
      <c r="G5" s="18"/>
      <c r="H5" s="17"/>
      <c r="I5" s="17"/>
      <c r="J5" s="17">
        <f>B35*B44+C35*C44</f>
        <v>853.66017650321749</v>
      </c>
      <c r="K5" s="17"/>
      <c r="L5" s="17"/>
      <c r="M5" s="17"/>
      <c r="N5" s="17">
        <f>B34*B43+C34*C43</f>
        <v>6178.3229406030096</v>
      </c>
      <c r="O5" s="17">
        <f>B52*B53*B54</f>
        <v>100.05333333333334</v>
      </c>
      <c r="P5" s="17">
        <f>B60*B61*B62/1000-B60*B61*B62/1000/B63</f>
        <v>305.06666666666666</v>
      </c>
    </row>
    <row r="6" spans="1:16">
      <c r="A6" s="16" t="s">
        <v>617</v>
      </c>
      <c r="B6" s="769">
        <f>kWh_PV_kleiner_dan_10kW</f>
        <v>1742.8804104647181</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17423.2111186607</v>
      </c>
      <c r="C8" s="21">
        <f>C5</f>
        <v>0</v>
      </c>
      <c r="D8" s="21">
        <f>D5</f>
        <v>18368.963910000002</v>
      </c>
      <c r="E8" s="21">
        <f>E5</f>
        <v>1470.9041791079494</v>
      </c>
      <c r="F8" s="21">
        <f>F5</f>
        <v>45076.553948410656</v>
      </c>
      <c r="G8" s="21"/>
      <c r="H8" s="21"/>
      <c r="I8" s="21"/>
      <c r="J8" s="21">
        <f>J5</f>
        <v>853.66017650321749</v>
      </c>
      <c r="K8" s="21"/>
      <c r="L8" s="21">
        <f>L5</f>
        <v>0</v>
      </c>
      <c r="M8" s="21">
        <f>M5</f>
        <v>0</v>
      </c>
      <c r="N8" s="21">
        <f>N5</f>
        <v>6178.3229406030096</v>
      </c>
      <c r="O8" s="21">
        <f>O5</f>
        <v>100.05333333333334</v>
      </c>
      <c r="P8" s="21">
        <f>P5</f>
        <v>305.06666666666666</v>
      </c>
    </row>
    <row r="9" spans="1:16">
      <c r="B9" s="19"/>
      <c r="C9" s="19"/>
      <c r="D9" s="257"/>
      <c r="E9" s="19"/>
      <c r="F9" s="19"/>
      <c r="G9" s="19"/>
      <c r="H9" s="19"/>
      <c r="I9" s="19"/>
      <c r="J9" s="19"/>
      <c r="K9" s="19"/>
      <c r="L9" s="19"/>
      <c r="M9" s="19"/>
      <c r="N9" s="19"/>
      <c r="O9" s="19"/>
      <c r="P9" s="19"/>
    </row>
    <row r="10" spans="1:16">
      <c r="A10" s="24" t="s">
        <v>207</v>
      </c>
      <c r="B10" s="25">
        <f ca="1">'EF ele_warmte'!B12</f>
        <v>0.20225461633552949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3523.9248801376516</v>
      </c>
      <c r="C12" s="23">
        <f ca="1">C10*C8</f>
        <v>0</v>
      </c>
      <c r="D12" s="23">
        <f>D8*D10</f>
        <v>3710.5307098200005</v>
      </c>
      <c r="E12" s="23">
        <f>E10*E8</f>
        <v>333.89524865750451</v>
      </c>
      <c r="F12" s="23">
        <f>F10*F8</f>
        <v>12035.439904225646</v>
      </c>
      <c r="G12" s="23"/>
      <c r="H12" s="23"/>
      <c r="I12" s="23"/>
      <c r="J12" s="23">
        <f>J10*J8</f>
        <v>302.19570248213898</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3594</v>
      </c>
      <c r="C26" s="36"/>
      <c r="D26" s="227"/>
    </row>
    <row r="27" spans="1:5" s="15" customFormat="1">
      <c r="A27" s="229" t="s">
        <v>722</v>
      </c>
      <c r="B27" s="37">
        <f>SUM(HH_hh_gas_aantal,HH_rest_gas_aantal)</f>
        <v>1070</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1016.5</v>
      </c>
      <c r="C31" s="34" t="s">
        <v>104</v>
      </c>
      <c r="D31" s="173"/>
    </row>
    <row r="32" spans="1:5">
      <c r="A32" s="170" t="s">
        <v>72</v>
      </c>
      <c r="B32" s="33">
        <f>IF((B21*($B$26-($B$27-0.05*$B$27)-$B$60))&lt;0,0,B21*($B$26-($B$27-0.05*$B$27)-$B$60))</f>
        <v>64.143961207998842</v>
      </c>
      <c r="C32" s="34" t="s">
        <v>104</v>
      </c>
      <c r="D32" s="173"/>
    </row>
    <row r="33" spans="1:6">
      <c r="A33" s="170" t="s">
        <v>73</v>
      </c>
      <c r="B33" s="33">
        <f>IF((B22*($B$26-($B$27-0.05*$B$27)-$B$60))&lt;0,0,B22*($B$26-($B$27-0.05*$B$27)-$B$60))</f>
        <v>431.76408950161954</v>
      </c>
      <c r="C33" s="34" t="s">
        <v>104</v>
      </c>
      <c r="D33" s="173"/>
    </row>
    <row r="34" spans="1:6">
      <c r="A34" s="170" t="s">
        <v>74</v>
      </c>
      <c r="B34" s="33">
        <f>IF((B24*($B$26-($B$27-0.05*$B$27)-$B$60))&lt;0,0,B24*($B$26-($B$27-0.05*$B$27)-$B$60))</f>
        <v>109.54440186061112</v>
      </c>
      <c r="C34" s="33">
        <f>B26*C24</f>
        <v>735.18888305783128</v>
      </c>
      <c r="D34" s="232"/>
    </row>
    <row r="35" spans="1:6">
      <c r="A35" s="170" t="s">
        <v>76</v>
      </c>
      <c r="B35" s="33">
        <f>IF((B19*($B$26-($B$27-0.05*$B$27)-$B$60))&lt;0,0,B19*($B$26-($B$27-0.05*$B$27)-$B$60))</f>
        <v>40.710298013595157</v>
      </c>
      <c r="C35" s="33">
        <f>B35/2</f>
        <v>20.355149006797578</v>
      </c>
      <c r="D35" s="232"/>
    </row>
    <row r="36" spans="1:6">
      <c r="A36" s="170" t="s">
        <v>77</v>
      </c>
      <c r="B36" s="33">
        <f>IF((B18*($B$26-($B$27-0.05*$B$27)-$B$60))&lt;0,0,B18*($B$26-($B$27-0.05*$B$27)-$B$60))</f>
        <v>1915.3372494161756</v>
      </c>
      <c r="C36" s="34" t="s">
        <v>104</v>
      </c>
      <c r="D36" s="173"/>
    </row>
    <row r="37" spans="1:6">
      <c r="A37" s="170" t="s">
        <v>78</v>
      </c>
      <c r="B37" s="33">
        <f>B60</f>
        <v>16</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64</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16</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6661.818339227827</v>
      </c>
      <c r="C5" s="17">
        <f>IF(ISERROR('Eigen informatie GS &amp; warmtenet'!B58),0,'Eigen informatie GS &amp; warmtenet'!B58)</f>
        <v>0</v>
      </c>
      <c r="D5" s="30">
        <f>SUM(D6:D12)</f>
        <v>4010.8025320000002</v>
      </c>
      <c r="E5" s="17">
        <f>SUM(E6:E12)</f>
        <v>96.480653919590196</v>
      </c>
      <c r="F5" s="17">
        <f>SUM(F6:F12)</f>
        <v>1305.6968962884216</v>
      </c>
      <c r="G5" s="18"/>
      <c r="H5" s="17"/>
      <c r="I5" s="17"/>
      <c r="J5" s="17">
        <f>SUM(J6:J12)</f>
        <v>0</v>
      </c>
      <c r="K5" s="17"/>
      <c r="L5" s="17"/>
      <c r="M5" s="17"/>
      <c r="N5" s="17">
        <f>SUM(N6:N12)</f>
        <v>546.07620792417026</v>
      </c>
      <c r="O5" s="17">
        <f>B38*B39*B40</f>
        <v>0</v>
      </c>
      <c r="P5" s="17">
        <f>B46*B47*B48/1000-B46*B47*B48/1000/B49</f>
        <v>19.066666666666666</v>
      </c>
      <c r="R5" s="32"/>
    </row>
    <row r="6" spans="1:18">
      <c r="A6" s="32" t="s">
        <v>53</v>
      </c>
      <c r="B6" s="37">
        <f>B26</f>
        <v>1727.115</v>
      </c>
      <c r="C6" s="33"/>
      <c r="D6" s="37">
        <f>IF(ISERROR(TER_kantoor_gas_kWh/1000),0,TER_kantoor_gas_kWh/1000)*0.902</f>
        <v>1069.6718779999999</v>
      </c>
      <c r="E6" s="33">
        <f>$C$26*'E Balans VL '!I12/100/3.6*1000000</f>
        <v>6.7102074265501308</v>
      </c>
      <c r="F6" s="33">
        <f>$C$26*('E Balans VL '!L12+'E Balans VL '!N12)/100/3.6*1000000</f>
        <v>262.67847600644785</v>
      </c>
      <c r="G6" s="34"/>
      <c r="H6" s="33"/>
      <c r="I6" s="33"/>
      <c r="J6" s="33">
        <f>$C$26*('E Balans VL '!D12+'E Balans VL '!E12)/100/3.6*1000000</f>
        <v>0</v>
      </c>
      <c r="K6" s="33"/>
      <c r="L6" s="33"/>
      <c r="M6" s="33"/>
      <c r="N6" s="33">
        <f>$C$26*'E Balans VL '!Y12/100/3.6*1000000</f>
        <v>0.95184726828160482</v>
      </c>
      <c r="O6" s="33"/>
      <c r="P6" s="33"/>
      <c r="R6" s="32"/>
    </row>
    <row r="7" spans="1:18">
      <c r="A7" s="32" t="s">
        <v>52</v>
      </c>
      <c r="B7" s="37">
        <f t="shared" ref="B7:B12" si="0">B27</f>
        <v>843.78599999999994</v>
      </c>
      <c r="C7" s="33"/>
      <c r="D7" s="37">
        <f>IF(ISERROR(TER_horeca_gas_kWh/1000),0,TER_horeca_gas_kWh/1000)*0.902</f>
        <v>1146.9822979999999</v>
      </c>
      <c r="E7" s="33">
        <f>$C$27*'E Balans VL '!I9/100/3.6*1000000</f>
        <v>47.530690970999906</v>
      </c>
      <c r="F7" s="33">
        <f>$C$27*('E Balans VL '!L9+'E Balans VL '!N9)/100/3.6*1000000</f>
        <v>243.29736596342235</v>
      </c>
      <c r="G7" s="34"/>
      <c r="H7" s="33"/>
      <c r="I7" s="33"/>
      <c r="J7" s="33">
        <f>$C$27*('E Balans VL '!D9+'E Balans VL '!E9)/100/3.6*1000000</f>
        <v>0</v>
      </c>
      <c r="K7" s="33"/>
      <c r="L7" s="33"/>
      <c r="M7" s="33"/>
      <c r="N7" s="33">
        <f>$C$27*'E Balans VL '!Y9/100/3.6*1000000</f>
        <v>0.23296492987539866</v>
      </c>
      <c r="O7" s="33"/>
      <c r="P7" s="33"/>
      <c r="R7" s="32"/>
    </row>
    <row r="8" spans="1:18">
      <c r="A8" s="6" t="s">
        <v>51</v>
      </c>
      <c r="B8" s="37">
        <f t="shared" si="0"/>
        <v>2603.9639999999999</v>
      </c>
      <c r="C8" s="33"/>
      <c r="D8" s="37">
        <f>IF(ISERROR(TER_handel_gas_kWh/1000),0,TER_handel_gas_kWh/1000)*0.902</f>
        <v>1022.3962540000001</v>
      </c>
      <c r="E8" s="33">
        <f>$C$28*'E Balans VL '!I13/100/3.6*1000000</f>
        <v>37.531955611046968</v>
      </c>
      <c r="F8" s="33">
        <f>$C$28*('E Balans VL '!L13+'E Balans VL '!N13)/100/3.6*1000000</f>
        <v>452.36918902949191</v>
      </c>
      <c r="G8" s="34"/>
      <c r="H8" s="33"/>
      <c r="I8" s="33"/>
      <c r="J8" s="33">
        <f>$C$28*('E Balans VL '!D13+'E Balans VL '!E13)/100/3.6*1000000</f>
        <v>0</v>
      </c>
      <c r="K8" s="33"/>
      <c r="L8" s="33"/>
      <c r="M8" s="33"/>
      <c r="N8" s="33">
        <f>$C$28*'E Balans VL '!Y13/100/3.6*1000000</f>
        <v>7.8017660232440367</v>
      </c>
      <c r="O8" s="33"/>
      <c r="P8" s="33"/>
      <c r="R8" s="32"/>
    </row>
    <row r="9" spans="1:18">
      <c r="A9" s="32" t="s">
        <v>50</v>
      </c>
      <c r="B9" s="37">
        <f t="shared" si="0"/>
        <v>689.71</v>
      </c>
      <c r="C9" s="33"/>
      <c r="D9" s="37">
        <f>IF(ISERROR(TER_gezond_gas_kWh/1000),0,TER_gezond_gas_kWh/1000)*0.902</f>
        <v>433.12236000000001</v>
      </c>
      <c r="E9" s="33">
        <f>$C$29*'E Balans VL '!I10/100/3.6*1000000</f>
        <v>0.73678904626701691</v>
      </c>
      <c r="F9" s="33">
        <f>$C$29*('E Balans VL '!L10+'E Balans VL '!N10)/100/3.6*1000000</f>
        <v>112.51266207346931</v>
      </c>
      <c r="G9" s="34"/>
      <c r="H9" s="33"/>
      <c r="I9" s="33"/>
      <c r="J9" s="33">
        <f>$C$29*('E Balans VL '!D10+'E Balans VL '!E10)/100/3.6*1000000</f>
        <v>0</v>
      </c>
      <c r="K9" s="33"/>
      <c r="L9" s="33"/>
      <c r="M9" s="33"/>
      <c r="N9" s="33">
        <f>$C$29*'E Balans VL '!Y10/100/3.6*1000000</f>
        <v>7.1001709093252581</v>
      </c>
      <c r="O9" s="33"/>
      <c r="P9" s="33"/>
      <c r="R9" s="32"/>
    </row>
    <row r="10" spans="1:18">
      <c r="A10" s="32" t="s">
        <v>49</v>
      </c>
      <c r="B10" s="37">
        <f t="shared" si="0"/>
        <v>756.79399999999998</v>
      </c>
      <c r="C10" s="33"/>
      <c r="D10" s="37">
        <f>IF(ISERROR(TER_ander_gas_kWh/1000),0,TER_ander_gas_kWh/1000)*0.902</f>
        <v>260.04479600000002</v>
      </c>
      <c r="E10" s="33">
        <f>$C$30*'E Balans VL '!I14/100/3.6*1000000</f>
        <v>3.4803804890870533</v>
      </c>
      <c r="F10" s="33">
        <f>$C$30*('E Balans VL '!L14+'E Balans VL '!N14)/100/3.6*1000000</f>
        <v>226.83503322828335</v>
      </c>
      <c r="G10" s="34"/>
      <c r="H10" s="33"/>
      <c r="I10" s="33"/>
      <c r="J10" s="33">
        <f>$C$30*('E Balans VL '!D14+'E Balans VL '!E14)/100/3.6*1000000</f>
        <v>0</v>
      </c>
      <c r="K10" s="33"/>
      <c r="L10" s="33"/>
      <c r="M10" s="33"/>
      <c r="N10" s="33">
        <f>$C$30*'E Balans VL '!Y14/100/3.6*1000000</f>
        <v>526.77858055367665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40.449339227827203</v>
      </c>
      <c r="C12" s="33"/>
      <c r="D12" s="37">
        <f>IF(ISERROR(TER_rest_gas_kWh/1000),0,TER_rest_gas_kWh/1000)*0.902</f>
        <v>78.584946000000002</v>
      </c>
      <c r="E12" s="33">
        <f>$C$32*'E Balans VL '!I8/100/3.6*1000000</f>
        <v>0.49063037563911216</v>
      </c>
      <c r="F12" s="33">
        <f>$C$32*('E Balans VL '!L8+'E Balans VL '!N8)/100/3.6*1000000</f>
        <v>8.0041699873068648</v>
      </c>
      <c r="G12" s="34"/>
      <c r="H12" s="33"/>
      <c r="I12" s="33"/>
      <c r="J12" s="33">
        <f>$C$32*('E Balans VL '!D8+'E Balans VL '!E8)/100/3.6*1000000</f>
        <v>0</v>
      </c>
      <c r="K12" s="33"/>
      <c r="L12" s="33"/>
      <c r="M12" s="33"/>
      <c r="N12" s="33">
        <f>$C$32*'E Balans VL '!Y8/100/3.6*1000000</f>
        <v>3.2108782397673603</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6661.818339227827</v>
      </c>
      <c r="C16" s="21">
        <f t="shared" ca="1" si="1"/>
        <v>0</v>
      </c>
      <c r="D16" s="21">
        <f t="shared" ca="1" si="1"/>
        <v>4010.8025320000002</v>
      </c>
      <c r="E16" s="21">
        <f t="shared" si="1"/>
        <v>96.480653919590196</v>
      </c>
      <c r="F16" s="21">
        <f t="shared" ca="1" si="1"/>
        <v>1305.6968962884216</v>
      </c>
      <c r="G16" s="21">
        <f t="shared" si="1"/>
        <v>0</v>
      </c>
      <c r="H16" s="21">
        <f t="shared" si="1"/>
        <v>0</v>
      </c>
      <c r="I16" s="21">
        <f t="shared" si="1"/>
        <v>0</v>
      </c>
      <c r="J16" s="21">
        <f t="shared" si="1"/>
        <v>0</v>
      </c>
      <c r="K16" s="21">
        <f t="shared" si="1"/>
        <v>0</v>
      </c>
      <c r="L16" s="21">
        <f t="shared" ca="1" si="1"/>
        <v>0</v>
      </c>
      <c r="M16" s="21">
        <f t="shared" si="1"/>
        <v>0</v>
      </c>
      <c r="N16" s="21">
        <f t="shared" ca="1" si="1"/>
        <v>546.07620792417026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0.20225461633552949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1347.3835122975183</v>
      </c>
      <c r="C20" s="23">
        <f t="shared" ref="C20:P20" ca="1" si="2">C16*C18</f>
        <v>0</v>
      </c>
      <c r="D20" s="23">
        <f t="shared" ca="1" si="2"/>
        <v>810.18211146400006</v>
      </c>
      <c r="E20" s="23">
        <f t="shared" si="2"/>
        <v>21.901108439746974</v>
      </c>
      <c r="F20" s="23">
        <f t="shared" ca="1" si="2"/>
        <v>348.62107130900858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1727.115</v>
      </c>
      <c r="C26" s="39">
        <f>IF(ISERROR(B26*3.6/1000000/'E Balans VL '!Z12*100),0,B26*3.6/1000000/'E Balans VL '!Z12*100)</f>
        <v>3.6684778101557319E-2</v>
      </c>
      <c r="D26" s="235" t="s">
        <v>672</v>
      </c>
      <c r="F26" s="6"/>
    </row>
    <row r="27" spans="1:18">
      <c r="A27" s="230" t="s">
        <v>52</v>
      </c>
      <c r="B27" s="33">
        <f>IF(ISERROR(TER_horeca_ele_kWh/1000),0,TER_horeca_ele_kWh/1000)</f>
        <v>843.78599999999994</v>
      </c>
      <c r="C27" s="39">
        <f>IF(ISERROR(B27*3.6/1000000/'E Balans VL '!Z9*100),0,B27*3.6/1000000/'E Balans VL '!Z9*100)</f>
        <v>6.5609500222804873E-2</v>
      </c>
      <c r="D27" s="235" t="s">
        <v>672</v>
      </c>
      <c r="F27" s="6"/>
    </row>
    <row r="28" spans="1:18">
      <c r="A28" s="170" t="s">
        <v>51</v>
      </c>
      <c r="B28" s="33">
        <f>IF(ISERROR(TER_handel_ele_kWh/1000),0,TER_handel_ele_kWh/1000)</f>
        <v>2603.9639999999999</v>
      </c>
      <c r="C28" s="39">
        <f>IF(ISERROR(B28*3.6/1000000/'E Balans VL '!Z13*100),0,B28*3.6/1000000/'E Balans VL '!Z13*100)</f>
        <v>7.4502474599064589E-2</v>
      </c>
      <c r="D28" s="235" t="s">
        <v>672</v>
      </c>
      <c r="F28" s="6"/>
    </row>
    <row r="29" spans="1:18">
      <c r="A29" s="230" t="s">
        <v>50</v>
      </c>
      <c r="B29" s="33">
        <f>IF(ISERROR(TER_gezond_ele_kWh/1000),0,TER_gezond_ele_kWh/1000)</f>
        <v>689.71</v>
      </c>
      <c r="C29" s="39">
        <f>IF(ISERROR(B29*3.6/1000000/'E Balans VL '!Z10*100),0,B29*3.6/1000000/'E Balans VL '!Z10*100)</f>
        <v>7.5194416938260039E-2</v>
      </c>
      <c r="D29" s="235" t="s">
        <v>672</v>
      </c>
      <c r="F29" s="6"/>
    </row>
    <row r="30" spans="1:18">
      <c r="A30" s="230" t="s">
        <v>49</v>
      </c>
      <c r="B30" s="33">
        <f>IF(ISERROR(TER_ander_ele_kWh/1000),0,TER_ander_ele_kWh/1000)</f>
        <v>756.79399999999998</v>
      </c>
      <c r="C30" s="39">
        <f>IF(ISERROR(B30*3.6/1000000/'E Balans VL '!Z14*100),0,B30*3.6/1000000/'E Balans VL '!Z14*100)</f>
        <v>5.5380468173507245E-2</v>
      </c>
      <c r="D30" s="235" t="s">
        <v>672</v>
      </c>
      <c r="F30" s="6"/>
    </row>
    <row r="31" spans="1:18">
      <c r="A31" s="230" t="s">
        <v>54</v>
      </c>
      <c r="B31" s="33">
        <f>IF(ISERROR(TER_onderwijs_ele_kWh/1000),0,TER_onderwijs_ele_kWh/1000)</f>
        <v>0</v>
      </c>
      <c r="C31" s="39">
        <f>IF(ISERROR(B31*3.6/1000000/'E Balans VL '!Z11*100),0,B31*3.6/1000000/'E Balans VL '!Z11*100)</f>
        <v>0</v>
      </c>
      <c r="D31" s="235" t="s">
        <v>672</v>
      </c>
    </row>
    <row r="32" spans="1:18">
      <c r="A32" s="230" t="s">
        <v>249</v>
      </c>
      <c r="B32" s="33">
        <f>IF(ISERROR(TER_rest_ele_kWh/1000),0,TER_rest_ele_kWh/1000)</f>
        <v>40.449339227827203</v>
      </c>
      <c r="C32" s="39">
        <f>IF(ISERROR(B32*3.6/1000000/'E Balans VL '!Z8*100),0,B32*3.6/1000000/'E Balans VL '!Z8*100)</f>
        <v>3.2963756725005083E-4</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1644.221</v>
      </c>
      <c r="C5" s="17">
        <f>IF(ISERROR('Eigen informatie GS &amp; warmtenet'!B59),0,'Eigen informatie GS &amp; warmtenet'!B59)</f>
        <v>0</v>
      </c>
      <c r="D5" s="30">
        <f>SUM(D6:D15)</f>
        <v>467.29462999999998</v>
      </c>
      <c r="E5" s="17">
        <f>SUM(E6:E15)</f>
        <v>248.08843030712256</v>
      </c>
      <c r="F5" s="17">
        <f>SUM(F6:F15)</f>
        <v>1552.6887916502276</v>
      </c>
      <c r="G5" s="18"/>
      <c r="H5" s="17"/>
      <c r="I5" s="17"/>
      <c r="J5" s="17">
        <f>SUM(J6:J15)</f>
        <v>6.3299649263613367E-2</v>
      </c>
      <c r="K5" s="17"/>
      <c r="L5" s="17"/>
      <c r="M5" s="17"/>
      <c r="N5" s="17">
        <f>SUM(N6:N15)</f>
        <v>282.62224459827996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168.392</v>
      </c>
      <c r="C8" s="33"/>
      <c r="D8" s="37">
        <f>IF( ISERROR(IND_metaal_Gas_kWH/1000),0,IND_metaal_Gas_kWH/1000)*0.902</f>
        <v>0</v>
      </c>
      <c r="E8" s="33">
        <f>C30*'E Balans VL '!I18/100/3.6*1000000</f>
        <v>4.8368503060270509</v>
      </c>
      <c r="F8" s="33">
        <f>C30*'E Balans VL '!L18/100/3.6*1000000+C30*'E Balans VL '!N18/100/3.6*1000000</f>
        <v>43.189309356410376</v>
      </c>
      <c r="G8" s="34"/>
      <c r="H8" s="33"/>
      <c r="I8" s="33"/>
      <c r="J8" s="40">
        <f>C30*'E Balans VL '!D18/100/3.6*1000000+C30*'E Balans VL '!E18/100/3.6*1000000</f>
        <v>0</v>
      </c>
      <c r="K8" s="33"/>
      <c r="L8" s="33"/>
      <c r="M8" s="33"/>
      <c r="N8" s="33">
        <f>C30*'E Balans VL '!Y18/100/3.6*1000000</f>
        <v>4.5721865367718433</v>
      </c>
      <c r="O8" s="33"/>
      <c r="P8" s="33"/>
      <c r="R8" s="32"/>
    </row>
    <row r="9" spans="1:18">
      <c r="A9" s="6" t="s">
        <v>32</v>
      </c>
      <c r="B9" s="37">
        <f t="shared" si="0"/>
        <v>680.11599999999999</v>
      </c>
      <c r="C9" s="33"/>
      <c r="D9" s="37">
        <f>IF( ISERROR(IND_andere_gas_kWh/1000),0,IND_andere_gas_kWh/1000)*0.902</f>
        <v>397.41398399999997</v>
      </c>
      <c r="E9" s="33">
        <f>C31*'E Balans VL '!I19/100/3.6*1000000</f>
        <v>184.09067916040024</v>
      </c>
      <c r="F9" s="33">
        <f>C31*'E Balans VL '!L19/100/3.6*1000000+C31*'E Balans VL '!N19/100/3.6*1000000</f>
        <v>453.02922730690437</v>
      </c>
      <c r="G9" s="34"/>
      <c r="H9" s="33"/>
      <c r="I9" s="33"/>
      <c r="J9" s="40">
        <f>C31*'E Balans VL '!D19/100/3.6*1000000+C31*'E Balans VL '!E19/100/3.6*1000000</f>
        <v>0</v>
      </c>
      <c r="K9" s="33"/>
      <c r="L9" s="33"/>
      <c r="M9" s="33"/>
      <c r="N9" s="33">
        <f>C31*'E Balans VL '!Y19/100/3.6*1000000</f>
        <v>57.499302545971979</v>
      </c>
      <c r="O9" s="33"/>
      <c r="P9" s="33"/>
      <c r="R9" s="32"/>
    </row>
    <row r="10" spans="1:18">
      <c r="A10" s="6" t="s">
        <v>40</v>
      </c>
      <c r="B10" s="37">
        <f t="shared" si="0"/>
        <v>701.54100000000005</v>
      </c>
      <c r="C10" s="33"/>
      <c r="D10" s="37">
        <f>IF( ISERROR(IND_voed_gas_kWh/1000),0,IND_voed_gas_kWh/1000)*0.902</f>
        <v>0</v>
      </c>
      <c r="E10" s="33">
        <f>C32*'E Balans VL '!I20/100/3.6*1000000</f>
        <v>57.219295708507623</v>
      </c>
      <c r="F10" s="33">
        <f>C32*'E Balans VL '!L20/100/3.6*1000000+C32*'E Balans VL '!N20/100/3.6*1000000</f>
        <v>1046.0612803765605</v>
      </c>
      <c r="G10" s="34"/>
      <c r="H10" s="33"/>
      <c r="I10" s="33"/>
      <c r="J10" s="40">
        <f>C32*'E Balans VL '!D20/100/3.6*1000000+C32*'E Balans VL '!E20/100/3.6*1000000</f>
        <v>9.2805358734628293E-3</v>
      </c>
      <c r="K10" s="33"/>
      <c r="L10" s="33"/>
      <c r="M10" s="33"/>
      <c r="N10" s="33">
        <f>C32*'E Balans VL '!Y20/100/3.6*1000000</f>
        <v>206.08799108735766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73.096000000000004</v>
      </c>
      <c r="C13" s="33"/>
      <c r="D13" s="37">
        <f>IF( ISERROR(IND_papier_gas_kWh/1000),0,IND_papier_gas_kWh/1000)*0.902</f>
        <v>0</v>
      </c>
      <c r="E13" s="33">
        <f>C35*'E Balans VL '!I23/100/3.6*1000000</f>
        <v>0.76581376466055118</v>
      </c>
      <c r="F13" s="33">
        <f>C35*'E Balans VL '!L23/100/3.6*1000000+C35*'E Balans VL '!N23/100/3.6*1000000</f>
        <v>5.4544364759760287</v>
      </c>
      <c r="G13" s="34"/>
      <c r="H13" s="33"/>
      <c r="I13" s="33"/>
      <c r="J13" s="40">
        <f>C35*'E Balans VL '!D23/100/3.6*1000000+C35*'E Balans VL '!E23/100/3.6*1000000</f>
        <v>0</v>
      </c>
      <c r="K13" s="33"/>
      <c r="L13" s="33"/>
      <c r="M13" s="33"/>
      <c r="N13" s="33">
        <f>C35*'E Balans VL '!Y23/100/3.6*1000000</f>
        <v>13.484631483095397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21.076000000000001</v>
      </c>
      <c r="C15" s="33"/>
      <c r="D15" s="37">
        <f>IF( ISERROR(IND_rest_gas_kWh/1000),0,IND_rest_gas_kWh/1000)*0.902</f>
        <v>69.880645999999999</v>
      </c>
      <c r="E15" s="33">
        <f>C37*'E Balans VL '!I15/100/3.6*1000000</f>
        <v>1.1757913675270915</v>
      </c>
      <c r="F15" s="33">
        <f>C37*'E Balans VL '!L15/100/3.6*1000000+C37*'E Balans VL '!N15/100/3.6*1000000</f>
        <v>4.9545381343761044</v>
      </c>
      <c r="G15" s="34"/>
      <c r="H15" s="33"/>
      <c r="I15" s="33"/>
      <c r="J15" s="40">
        <f>C37*'E Balans VL '!D15/100/3.6*1000000+C37*'E Balans VL '!E15/100/3.6*1000000</f>
        <v>5.4019113390150544E-2</v>
      </c>
      <c r="K15" s="33"/>
      <c r="L15" s="33"/>
      <c r="M15" s="33"/>
      <c r="N15" s="33">
        <f>C37*'E Balans VL '!Y15/100/3.6*1000000</f>
        <v>0.97813294508313031</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1644.221</v>
      </c>
      <c r="C18" s="21">
        <f>C5+C16</f>
        <v>0</v>
      </c>
      <c r="D18" s="21">
        <f>MAX((D5+D16),0)</f>
        <v>467.29462999999998</v>
      </c>
      <c r="E18" s="21">
        <f>MAX((E5+E16),0)</f>
        <v>248.08843030712256</v>
      </c>
      <c r="F18" s="21">
        <f>MAX((F5+F16),0)</f>
        <v>1552.6887916502276</v>
      </c>
      <c r="G18" s="21"/>
      <c r="H18" s="21"/>
      <c r="I18" s="21"/>
      <c r="J18" s="21">
        <f>MAX((J5+J16),0)</f>
        <v>6.3299649263613367E-2</v>
      </c>
      <c r="K18" s="21"/>
      <c r="L18" s="21">
        <f>MAX((L5+L16),0)</f>
        <v>0</v>
      </c>
      <c r="M18" s="21"/>
      <c r="N18" s="21">
        <f>MAX((N5+N16),0)</f>
        <v>282.62224459827996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0.20225461633552949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332.55128752582061</v>
      </c>
      <c r="C22" s="23">
        <f ca="1">C18*C20</f>
        <v>0</v>
      </c>
      <c r="D22" s="23">
        <f>D18*D20</f>
        <v>94.393515260000001</v>
      </c>
      <c r="E22" s="23">
        <f>E18*E20</f>
        <v>56.316073679716823</v>
      </c>
      <c r="F22" s="23">
        <f>F18*F20</f>
        <v>414.56790737061078</v>
      </c>
      <c r="G22" s="23"/>
      <c r="H22" s="23"/>
      <c r="I22" s="23"/>
      <c r="J22" s="23">
        <f>J18*J20</f>
        <v>2.2408075839319131E-2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168.392</v>
      </c>
      <c r="C30" s="39">
        <f>IF(ISERROR(B30*3.6/1000000/'E Balans VL '!Z18*100),0,B30*3.6/1000000/'E Balans VL '!Z18*100)</f>
        <v>1.6569342941014753E-2</v>
      </c>
      <c r="D30" s="235" t="s">
        <v>672</v>
      </c>
    </row>
    <row r="31" spans="1:18">
      <c r="A31" s="6" t="s">
        <v>32</v>
      </c>
      <c r="B31" s="37">
        <f>IF( ISERROR(IND_ander_ele_kWh/1000),0,IND_ander_ele_kWh/1000)</f>
        <v>680.11599999999999</v>
      </c>
      <c r="C31" s="39">
        <f>IF(ISERROR(B31*3.6/1000000/'E Balans VL '!Z19*100),0,B31*3.6/1000000/'E Balans VL '!Z19*100)</f>
        <v>2.9618509276811013E-2</v>
      </c>
      <c r="D31" s="235" t="s">
        <v>672</v>
      </c>
    </row>
    <row r="32" spans="1:18">
      <c r="A32" s="170" t="s">
        <v>40</v>
      </c>
      <c r="B32" s="37">
        <f>IF( ISERROR(IND_voed_ele_kWh/1000),0,IND_voed_ele_kWh/1000)</f>
        <v>701.54100000000005</v>
      </c>
      <c r="C32" s="39">
        <f>IF(ISERROR(B32*3.6/1000000/'E Balans VL '!Z20*100),0,B32*3.6/1000000/'E Balans VL '!Z20*100)</f>
        <v>0.1331072874281469</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73.096000000000004</v>
      </c>
      <c r="C35" s="39">
        <f>IF(ISERROR(B35*3.6/1000000/'E Balans VL '!Z22*100),0,B35*3.6/1000000/'E Balans VL '!Z22*100)</f>
        <v>1.0278031607153269E-2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21.076000000000001</v>
      </c>
      <c r="C37" s="39">
        <f>IF(ISERROR(B37*3.6/1000000/'E Balans VL '!Z15*100),0,B37*3.6/1000000/'E Balans VL '!Z15*100)</f>
        <v>1.6241646666398043E-4</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1016.3150000000001</v>
      </c>
      <c r="C5" s="17">
        <f>'Eigen informatie GS &amp; warmtenet'!B60</f>
        <v>0</v>
      </c>
      <c r="D5" s="30">
        <f>IF(ISERROR(SUM(LB_lb_gas_kWh,LB_rest_gas_kWh)/1000),0,SUM(LB_lb_gas_kWh,LB_rest_gas_kWh)/1000)*0.902</f>
        <v>125.90116000000002</v>
      </c>
      <c r="E5" s="17">
        <f>B17*'E Balans VL '!I25/3.6*1000000/100</f>
        <v>12.806878279923549</v>
      </c>
      <c r="F5" s="17">
        <f>B17*('E Balans VL '!L25/3.6*1000000+'E Balans VL '!N25/3.6*1000000)/100</f>
        <v>3506.5413521206005</v>
      </c>
      <c r="G5" s="18"/>
      <c r="H5" s="17"/>
      <c r="I5" s="17"/>
      <c r="J5" s="17">
        <f>('E Balans VL '!D25+'E Balans VL '!E25)/3.6*1000000*landbouw!B17/100</f>
        <v>152.8422229388255</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1016.3150000000001</v>
      </c>
      <c r="C8" s="21">
        <f>C5+C6</f>
        <v>0</v>
      </c>
      <c r="D8" s="21">
        <f>MAX((D5+D6),0)</f>
        <v>125.90116000000002</v>
      </c>
      <c r="E8" s="21">
        <f>MAX((E5+E6),0)</f>
        <v>12.806878279923549</v>
      </c>
      <c r="F8" s="21">
        <f>MAX((F5+F6),0)</f>
        <v>3506.5413521206005</v>
      </c>
      <c r="G8" s="21"/>
      <c r="H8" s="21"/>
      <c r="I8" s="21"/>
      <c r="J8" s="21">
        <f>MAX((J5+J6),0)</f>
        <v>152.8422229388255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0.20225461633552949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205.55440040104367</v>
      </c>
      <c r="C12" s="23">
        <f ca="1">C8*C10</f>
        <v>0</v>
      </c>
      <c r="D12" s="23">
        <f>D8*D10</f>
        <v>25.432034320000007</v>
      </c>
      <c r="E12" s="23">
        <f>E8*E10</f>
        <v>2.9071613695426457</v>
      </c>
      <c r="F12" s="23">
        <f>F8*F10</f>
        <v>936.24654101620035</v>
      </c>
      <c r="G12" s="23"/>
      <c r="H12" s="23"/>
      <c r="I12" s="23"/>
      <c r="J12" s="23">
        <f>J8*J10</f>
        <v>54.106146920344223</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0.1417439101105617</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366.85668875376638</v>
      </c>
      <c r="C26" s="245">
        <f>B26*'GWP N2O_CH4'!B5</f>
        <v>7703.9904638290936</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69.179447320388149</v>
      </c>
      <c r="C27" s="245">
        <f>B27*'GWP N2O_CH4'!B5</f>
        <v>1452.7683937281511</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4.9672076690709872</v>
      </c>
      <c r="C28" s="245">
        <f>B28*'GWP N2O_CH4'!B4</f>
        <v>1539.834377412006</v>
      </c>
      <c r="D28" s="50"/>
    </row>
    <row r="29" spans="1:4">
      <c r="A29" s="41" t="s">
        <v>266</v>
      </c>
      <c r="B29" s="245">
        <f>B34*'ha_N2O bodem landbouw'!B4</f>
        <v>15.999492482152419</v>
      </c>
      <c r="C29" s="245">
        <f>B29*'GWP N2O_CH4'!B4</f>
        <v>4959.8426694672498</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3.9949134014025329E-3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1.9409357126911194E-5</v>
      </c>
      <c r="C5" s="434" t="s">
        <v>204</v>
      </c>
      <c r="D5" s="419">
        <f>SUM(D6:D11)</f>
        <v>1.8881403709424093E-5</v>
      </c>
      <c r="E5" s="419">
        <f>SUM(E6:E11)</f>
        <v>6.7023614826742942E-4</v>
      </c>
      <c r="F5" s="432" t="s">
        <v>204</v>
      </c>
      <c r="G5" s="419">
        <f>SUM(G6:G11)</f>
        <v>0.19661679600670115</v>
      </c>
      <c r="H5" s="419">
        <f>SUM(H6:H11)</f>
        <v>3.2284720383411833E-2</v>
      </c>
      <c r="I5" s="434" t="s">
        <v>204</v>
      </c>
      <c r="J5" s="434" t="s">
        <v>204</v>
      </c>
      <c r="K5" s="434" t="s">
        <v>204</v>
      </c>
      <c r="L5" s="434" t="s">
        <v>204</v>
      </c>
      <c r="M5" s="419">
        <f>SUM(M6:M11)</f>
        <v>1.0349130549367929E-2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1.5156074947851419E-5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1.3502264225225513E-5</v>
      </c>
      <c r="E6" s="873">
        <f>vkm_GW_PW*SUMIFS(TableVerdeelsleutelVkm[LPG],TableVerdeelsleutelVkm[Voertuigtype],"Lichte voertuigen")*SUMIFS(TableECFTransport[EnergieConsumptieFactor (PJ per km)],TableECFTransport[Index],CONCATENATE($A6,"_LPG_LPG"))</f>
        <v>4.859779932392445E-4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9.5254310145248211E-2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2.335239224140688E-2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5.3653598787581159E-3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3.9871306255430455E-7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6.2393007337346956E-2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1.422231862332905E-6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2.8171404182870535E-3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3.8294749312192512E-6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5.3791394841985796E-6</v>
      </c>
      <c r="E8" s="422">
        <f>vkm_NGW_PW*SUMIFS(TableVerdeelsleutelVkm[LPG],TableVerdeelsleutelVkm[Voertuigtype],"Lichte voertuigen")*SUMIFS(TableECFTransport[EnergieConsumptieFactor (PJ per km)],TableECFTransport[Index],CONCATENATE($A8,"_LPG_LPG"))</f>
        <v>1.8425815502818487E-4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3.392532140458672E-2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8.9307978664331673E-3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1.9388791024072655E-3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2.5094185286219972E-8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5.0441571195192474E-3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1.0804370945088178E-7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2.2775114991549519E-4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5.3914880908086644</v>
      </c>
      <c r="C14" s="21"/>
      <c r="D14" s="21">
        <f t="shared" ref="D14:M14" si="0">((D5)*10^9/3600)+D12</f>
        <v>5.2448343637289145</v>
      </c>
      <c r="E14" s="21">
        <f t="shared" si="0"/>
        <v>186.17670785206374</v>
      </c>
      <c r="F14" s="21"/>
      <c r="G14" s="21">
        <f t="shared" si="0"/>
        <v>54615.776668528095</v>
      </c>
      <c r="H14" s="21">
        <f t="shared" si="0"/>
        <v>8967.9778842810647</v>
      </c>
      <c r="I14" s="21"/>
      <c r="J14" s="21"/>
      <c r="K14" s="21"/>
      <c r="L14" s="21"/>
      <c r="M14" s="21">
        <f t="shared" si="0"/>
        <v>2874.7584859355356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0.20225461633552949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1.0904533552840827</v>
      </c>
      <c r="C18" s="23"/>
      <c r="D18" s="23">
        <f t="shared" ref="D18:M18" si="1">D14*D16</f>
        <v>1.0594565414732409</v>
      </c>
      <c r="E18" s="23">
        <f t="shared" si="1"/>
        <v>42.262112682418469</v>
      </c>
      <c r="F18" s="23"/>
      <c r="G18" s="23">
        <f t="shared" si="1"/>
        <v>14582.412370497002</v>
      </c>
      <c r="H18" s="23">
        <f t="shared" si="1"/>
        <v>2233.0264931859851</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4.4043774634477966E-5</v>
      </c>
      <c r="C50" s="316">
        <f t="shared" ref="C50:P50" si="2">SUM(C51:C52)</f>
        <v>0</v>
      </c>
      <c r="D50" s="316">
        <f t="shared" si="2"/>
        <v>0</v>
      </c>
      <c r="E50" s="316">
        <f t="shared" si="2"/>
        <v>0</v>
      </c>
      <c r="F50" s="316">
        <f t="shared" si="2"/>
        <v>0</v>
      </c>
      <c r="G50" s="316">
        <f t="shared" si="2"/>
        <v>8.5728713080458607E-3</v>
      </c>
      <c r="H50" s="316">
        <f t="shared" si="2"/>
        <v>0</v>
      </c>
      <c r="I50" s="316">
        <f t="shared" si="2"/>
        <v>0</v>
      </c>
      <c r="J50" s="316">
        <f t="shared" si="2"/>
        <v>0</v>
      </c>
      <c r="K50" s="316">
        <f t="shared" si="2"/>
        <v>0</v>
      </c>
      <c r="L50" s="316">
        <f t="shared" si="2"/>
        <v>0</v>
      </c>
      <c r="M50" s="316">
        <f t="shared" si="2"/>
        <v>3.8441475280775583E-4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4.4043774634477966E-5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8.5728713080458607E-3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3.8441475280775583E-4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12.234381842910546</v>
      </c>
      <c r="C54" s="21">
        <f t="shared" ref="C54:P54" si="3">(C50)*10^9/3600</f>
        <v>0</v>
      </c>
      <c r="D54" s="21">
        <f t="shared" si="3"/>
        <v>0</v>
      </c>
      <c r="E54" s="21">
        <f t="shared" si="3"/>
        <v>0</v>
      </c>
      <c r="F54" s="21">
        <f t="shared" si="3"/>
        <v>0</v>
      </c>
      <c r="G54" s="21">
        <f t="shared" si="3"/>
        <v>2381.35314112385</v>
      </c>
      <c r="H54" s="21">
        <f t="shared" si="3"/>
        <v>0</v>
      </c>
      <c r="I54" s="21">
        <f t="shared" si="3"/>
        <v>0</v>
      </c>
      <c r="J54" s="21">
        <f t="shared" si="3"/>
        <v>0</v>
      </c>
      <c r="K54" s="21">
        <f t="shared" si="3"/>
        <v>0</v>
      </c>
      <c r="L54" s="21">
        <f t="shared" si="3"/>
        <v>0</v>
      </c>
      <c r="M54" s="21">
        <f t="shared" si="3"/>
        <v>106.78187577993218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0.20225461633552949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2.4744602057402405</v>
      </c>
      <c r="C58" s="23">
        <f t="shared" ref="C58:P58" ca="1" si="4">C54*C56</f>
        <v>0</v>
      </c>
      <c r="D58" s="23">
        <f t="shared" si="4"/>
        <v>0</v>
      </c>
      <c r="E58" s="23">
        <f t="shared" si="4"/>
        <v>0</v>
      </c>
      <c r="F58" s="23">
        <f t="shared" si="4"/>
        <v>0</v>
      </c>
      <c r="G58" s="23">
        <f t="shared" si="4"/>
        <v>635.82128868006805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2381.9417472919476</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2381.9417472919476</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2021-11-11T13:20:25Z</dcterms:modified>
</cp:coreProperties>
</file>