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70DECB56-3194-4AED-A8DF-5B122191DD3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D20" i="18"/>
  <c r="G12" i="18"/>
  <c r="F12" i="18"/>
  <c r="E12" i="18"/>
  <c r="D12" i="18"/>
  <c r="C12" i="18"/>
  <c r="L10" i="18"/>
  <c r="K10" i="18"/>
  <c r="G10" i="18"/>
  <c r="D10" i="18"/>
  <c r="B6" i="18"/>
  <c r="B5" i="18"/>
  <c r="B4" i="18"/>
  <c r="J9" i="18" l="1"/>
  <c r="B47" i="18"/>
  <c r="G51" i="18" s="1"/>
  <c r="I17" i="18" s="1"/>
  <c r="I20" i="18" s="1"/>
  <c r="B17" i="18"/>
  <c r="B20" i="18" s="1"/>
  <c r="F51" i="18"/>
  <c r="C51" i="18"/>
  <c r="B51" i="18"/>
  <c r="C17" i="18" s="1"/>
  <c r="C20" i="18" s="1"/>
  <c r="C47" i="18"/>
  <c r="O18" i="18"/>
  <c r="G20" i="18"/>
  <c r="K20" i="18"/>
  <c r="B10" i="18"/>
  <c r="O19" i="18"/>
  <c r="O9" i="18"/>
  <c r="D51" i="18"/>
  <c r="H51" i="18"/>
  <c r="E50" i="18"/>
  <c r="E8" i="18" s="1"/>
  <c r="E10" i="18" s="1"/>
  <c r="N6" i="17"/>
  <c r="I51" i="18" l="1"/>
  <c r="H17" i="18" s="1"/>
  <c r="H20" i="18" s="1"/>
  <c r="E51" i="18"/>
  <c r="E17" i="18" s="1"/>
  <c r="E20" i="18" s="1"/>
  <c r="I50" i="18"/>
  <c r="H8" i="18" s="1"/>
  <c r="H10" i="18" s="1"/>
  <c r="G50" i="18"/>
  <c r="I8" i="18" s="1"/>
  <c r="I10" i="18" s="1"/>
  <c r="F50" i="18"/>
  <c r="D50" i="18"/>
  <c r="C50" i="18"/>
  <c r="B50" i="18"/>
  <c r="C8" i="18" s="1"/>
  <c r="C10" i="18" s="1"/>
  <c r="H50" i="18"/>
  <c r="J17" i="18"/>
  <c r="J20" i="18" s="1"/>
  <c r="L6" i="17"/>
  <c r="F6" i="17"/>
  <c r="D6" i="17"/>
  <c r="C6" i="17"/>
  <c r="N16" i="16"/>
  <c r="L16" i="16"/>
  <c r="F16" i="16"/>
  <c r="D16" i="16"/>
  <c r="C16" i="16"/>
  <c r="B16" i="16"/>
  <c r="B13" i="15"/>
  <c r="J8" i="18" l="1"/>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8" i="18" l="1"/>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5" i="13"/>
  <c r="C35" i="13" s="1"/>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15" i="48" l="1"/>
  <c r="R10" i="14"/>
  <c r="F46" i="14"/>
  <c r="F61" i="14" s="1"/>
  <c r="E63" i="14"/>
  <c r="J22" i="16"/>
  <c r="K43" i="14" s="1"/>
  <c r="K46" i="14" s="1"/>
  <c r="K61" i="14" s="1"/>
  <c r="K13" i="14"/>
  <c r="K16" i="14" s="1"/>
  <c r="K27" i="14" s="1"/>
  <c r="J8" i="48"/>
  <c r="J26" i="48" s="1"/>
  <c r="J33" i="48" s="1"/>
  <c r="E8" i="48"/>
  <c r="F13" i="14"/>
  <c r="F16" i="14" s="1"/>
  <c r="F27"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E26" i="48"/>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<sst xmlns="http://schemas.openxmlformats.org/spreadsheetml/2006/main" count="2526" uniqueCount="929">
  <si>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</si>
  <si>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</si>
  <si>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</si>
  <si>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</si>
  <si>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</si>
  <si>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</si>
  <si>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</si>
  <si>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</si>
  <si>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</si>
  <si>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</si>
  <si>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</si>
  <si>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</si>
  <si>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</si>
  <si>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</si>
  <si>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</si>
  <si>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</si>
  <si>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</si>
  <si>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</si>
  <si>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</si>
  <si>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</si>
  <si>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</si>
  <si>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</si>
  <si>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</si>
  <si>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</si>
  <si>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</si>
  <si>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</si>
  <si>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</si>
  <si>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</si>
  <si>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</si>
  <si>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</si>
  <si>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</si>
  <si>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</si>
  <si>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</si>
  <si>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</si>
  <si>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</si>
  <si>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</si>
  <si>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</si>
  <si>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</si>
  <si>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</si>
  <si>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</si>
  <si>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</si>
  <si>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</si>
  <si>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</si>
  <si>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</si>
  <si>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</si>
  <si>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</si>
  <si>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</si>
  <si>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</si>
  <si>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</si>
  <si>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</si>
  <si>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</si>
  <si>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</si>
  <si>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</si>
  <si>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</si>
  <si>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</si>
  <si>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</si>
  <si>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</si>
  <si>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</si>
  <si>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</si>
  <si>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</si>
  <si>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</si>
  <si>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</si>
  <si>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</si>
  <si>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</si>
  <si>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</si>
  <si>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</si>
  <si>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</si>
  <si>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</si>
  <si>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</si>
  <si>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</si>
  <si>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</si>
  <si>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</si>
  <si>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</si>
  <si>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</si>
  <si>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</si>
  <si>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</si>
  <si>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</si>
  <si>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</si>
  <si>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</si>
  <si>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</si>
  <si>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</si>
  <si>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</si>
  <si>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</si>
  <si>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</si>
  <si>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</si>
  <si>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</si>
  <si>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</si>
  <si>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</si>
  <si>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</si>
  <si>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</si>
  <si>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</si>
  <si>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</si>
  <si>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</si>
  <si>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</si>
  <si>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</si>
  <si>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</si>
  <si>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</si>
  <si>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</si>
  <si>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</si>
  <si>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</si>
  <si>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</si>
  <si>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</si>
  <si>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</si>
  <si>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</si>
  <si>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</si>
  <si>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</si>
  <si>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</si>
  <si>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</si>
  <si>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</si>
  <si>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</si>
  <si>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</si>
  <si>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</si>
  <si>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</si>
  <si>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</si>
  <si>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</si>
  <si>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</si>
  <si>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</si>
  <si>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</si>
  <si>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</si>
  <si>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</si>
  <si>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</si>
  <si>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</si>
  <si>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</si>
  <si>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</si>
  <si>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</si>
  <si>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</si>
  <si>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</si>
  <si>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</si>
  <si>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</si>
  <si>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</si>
  <si>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</si>
  <si>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</si>
  <si>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</si>
  <si>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</si>
  <si>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</si>
  <si>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</si>
  <si>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</si>
  <si>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</si>
  <si>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</si>
  <si>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</si>
  <si>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</si>
  <si>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</si>
  <si>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</si>
  <si>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</si>
  <si>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</si>
  <si>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</si>
  <si>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</si>
  <si>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</si>
  <si>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</si>
  <si>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</si>
  <si>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</si>
  <si>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</si>
  <si>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</si>
  <si>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</si>
  <si>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</si>
  <si>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</si>
  <si>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</si>
  <si>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</si>
  <si>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</si>
  <si>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</si>
  <si>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</si>
  <si>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</si>
  <si>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</si>
  <si>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</si>
  <si>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</si>
  <si>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</si>
  <si>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</si>
  <si>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</si>
  <si>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</si>
  <si>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</si>
  <si>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</si>
  <si>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</si>
  <si>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</si>
  <si>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</si>
  <si>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</si>
  <si>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</si>
  <si>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</si>
  <si>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</si>
  <si>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</si>
  <si>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</si>
  <si>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</si>
  <si>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</si>
  <si>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</si>
  <si>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</si>
  <si>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</si>
  <si>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</si>
  <si>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</si>
  <si>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</si>
  <si>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</si>
  <si>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</si>
  <si>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</si>
  <si>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</si>
  <si>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</si>
  <si>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</si>
  <si>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</si>
  <si>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</si>
  <si>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</si>
  <si>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</si>
  <si>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</si>
  <si>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</si>
  <si>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</si>
  <si>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</si>
  <si>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</si>
  <si>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</si>
  <si>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</si>
  <si>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</si>
  <si>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</si>
  <si>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</si>
  <si>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</si>
  <si>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</si>
  <si>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</si>
  <si>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</si>
  <si>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</si>
  <si>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</si>
  <si>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</si>
  <si>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</si>
  <si>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</si>
  <si>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</si>
  <si>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</si>
  <si>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</si>
  <si>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</si>
  <si>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</si>
  <si>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</si>
  <si>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</si>
  <si>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</si>
  <si>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</si>
  <si>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</si>
  <si>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</si>
  <si>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</si>
  <si>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</si>
  <si>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</si>
  <si>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</si>
  <si>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</si>
  <si>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</si>
  <si>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</si>
  <si>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</si>
  <si>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</si>
  <si>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</si>
  <si>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</si>
  <si>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</si>
  <si>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</si>
  <si>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</si>
  <si>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</si>
  <si>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</si>
  <si>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</si>
  <si>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</si>
  <si>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</si>
  <si>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</si>
  <si>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</si>
  <si>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</si>
  <si>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</si>
  <si>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</si>
  <si>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</si>
  <si>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</si>
  <si>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</si>
  <si>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</si>
  <si>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</si>
  <si>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</si>
  <si>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</si>
  <si>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</si>
  <si>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</si>
  <si>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</si>
  <si>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</si>
  <si>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</si>
  <si>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</si>
  <si>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</si>
  <si>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</si>
  <si>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</si>
  <si>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</si>
  <si>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</si>
  <si>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</si>
  <si>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</si>
  <si>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</si>
  <si>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</si>
  <si>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</si>
  <si>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</si>
  <si>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</si>
  <si>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</si>
  <si>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</si>
  <si>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</si>
  <si>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</si>
  <si>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</si>
  <si>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</si>
  <si>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</si>
  <si>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</si>
  <si>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</si>
  <si>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</si>
  <si>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</si>
  <si>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</si>
  <si>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</si>
  <si>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</si>
  <si>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</si>
  <si>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</si>
  <si>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</si>
  <si>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</si>
  <si>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</si>
  <si>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</si>
  <si>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</si>
  <si>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</si>
  <si>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</si>
  <si>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</si>
  <si>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</si>
  <si>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</si>
  <si>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</si>
  <si>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</si>
  <si>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</si>
  <si>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</si>
  <si>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</si>
  <si>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</si>
  <si>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</si>
  <si>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</si>
  <si>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</si>
  <si>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</si>
  <si>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</si>
  <si>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</si>
  <si>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</si>
  <si>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</si>
  <si>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</si>
  <si>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</si>
  <si>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</si>
  <si>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</si>
  <si>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</si>
  <si>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</si>
  <si>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</si>
  <si>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</si>
  <si>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</si>
  <si>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</si>
  <si>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</si>
  <si>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</si>
  <si>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</si>
  <si>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</si>
  <si>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</si>
  <si>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</si>
  <si>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</si>
  <si>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</si>
  <si>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</si>
  <si>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</si>
  <si>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</si>
  <si>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</si>
  <si>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</si>
  <si>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</si>
  <si>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</si>
  <si>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</si>
  <si>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</si>
  <si>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</si>
  <si>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</si>
  <si>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</si>
  <si>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</si>
  <si>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</si>
  <si>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</si>
  <si>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</si>
  <si>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</si>
  <si>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</si>
  <si>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</si>
  <si>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</si>
  <si>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</si>
  <si>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</si>
  <si>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</si>
  <si>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</si>
  <si>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</si>
  <si>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</si>
  <si>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</si>
  <si>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</si>
  <si>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</si>
  <si>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</si>
  <si>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</si>
  <si>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</si>
  <si>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</si>
  <si>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</si>
  <si>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</si>
  <si>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</si>
  <si>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</si>
  <si>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</si>
  <si>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</si>
  <si>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</si>
  <si>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</si>
  <si>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</si>
  <si>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</si>
  <si>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</si>
  <si>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</si>
  <si>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</si>
  <si>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</si>
  <si>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</si>
  <si>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</si>
  <si>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</si>
  <si>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</si>
  <si>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</si>
  <si>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</si>
  <si>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</si>
  <si>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</si>
  <si>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</si>
  <si>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</si>
  <si>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</si>
  <si>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</si>
  <si>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</si>
  <si>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</si>
  <si>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</si>
  <si>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</si>
  <si>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</si>
  <si>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</si>
  <si>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</si>
  <si>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</si>
  <si>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</si>
  <si>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</si>
  <si>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</si>
  <si>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</si>
  <si>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</si>
  <si>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</si>
  <si>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</si>
  <si>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</si>
  <si>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</si>
  <si>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</si>
  <si>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</si>
  <si>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</si>
  <si>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</si>
  <si>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</si>
  <si>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</si>
  <si>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</si>
  <si>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</si>
  <si>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</si>
  <si>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</si>
  <si>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</si>
  <si>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</si>
  <si>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</si>
  <si>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</si>
  <si>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</si>
  <si>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</si>
  <si>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</si>
  <si>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</si>
  <si>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</si>
  <si>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</si>
  <si>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</si>
  <si>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</si>
  <si>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</si>
  <si>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</si>
  <si>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</si>
  <si>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</si>
  <si>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</si>
  <si>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</si>
  <si>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</si>
  <si>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</si>
  <si>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</si>
  <si>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</si>
  <si>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</si>
  <si>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</si>
  <si>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</si>
  <si>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</si>
  <si>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</si>
  <si>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</si>
  <si>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</si>
  <si>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</si>
  <si>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</si>
  <si>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</si>
  <si>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</si>
  <si>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</si>
  <si>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</si>
  <si>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</si>
  <si>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</si>
  <si>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</si>
  <si>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</si>
  <si>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</si>
  <si>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</si>
  <si>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</si>
  <si>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</si>
  <si>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</si>
  <si>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</si>
  <si>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</si>
  <si>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</si>
  <si>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</si>
  <si>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</si>
  <si>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</si>
  <si>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</si>
  <si>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</si>
  <si>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</si>
  <si>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</si>
  <si>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</si>
  <si>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</si>
  <si>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</si>
  <si>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</si>
  <si>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</si>
  <si>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</si>
  <si>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</si>
  <si>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</si>
  <si>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</si>
  <si>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</si>
  <si>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</si>
  <si>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</si>
  <si>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</si>
  <si>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</si>
  <si>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</si>
  <si>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</si>
  <si>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</si>
  <si>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</si>
  <si>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</si>
  <si>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</si>
  <si>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</si>
  <si>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</si>
  <si>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</si>
  <si>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</si>
  <si>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</si>
  <si>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</si>
  <si>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</si>
  <si>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</si>
  <si>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</si>
  <si>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</si>
  <si>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</si>
  <si>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</si>
  <si>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</si>
  <si>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</si>
  <si>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</si>
  <si>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</si>
  <si>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</si>
  <si>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</si>
  <si>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</si>
  <si>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</si>
  <si>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</si>
  <si>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</si>
  <si>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</si>
  <si>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</si>
  <si>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</si>
  <si>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</si>
  <si>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</si>
  <si>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</si>
  <si>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</si>
  <si>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</si>
  <si>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</si>
  <si>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</si>
  <si>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</si>
  <si>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</si>
  <si>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</si>
  <si>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</si>
  <si>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</si>
  <si>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</si>
  <si>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</si>
  <si>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</si>
  <si>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</si>
  <si>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</si>
  <si>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</si>
  <si>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</si>
  <si>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</si>
  <si>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</si>
  <si>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</si>
  <si>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</si>
  <si>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</si>
  <si>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</si>
  <si>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</si>
  <si>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</si>
  <si>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</si>
  <si>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</si>
  <si>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</si>
  <si>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</si>
  <si>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</si>
  <si>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</si>
  <si>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</si>
  <si>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</si>
  <si>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</si>
  <si>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</si>
  <si>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</si>
  <si>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</si>
  <si>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</si>
  <si>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</si>
  <si>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</si>
  <si>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</si>
  <si>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</si>
  <si>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</si>
  <si>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</si>
  <si>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</si>
  <si>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</si>
  <si>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</si>
  <si>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</si>
  <si>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</si>
  <si>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</si>
  <si>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</si>
  <si>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</si>
  <si>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</si>
  <si>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</si>
  <si>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</si>
  <si>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</si>
  <si>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</si>
  <si>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</si>
  <si>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</si>
  <si>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</si>
  <si>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</si>
  <si>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</si>
  <si>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</si>
  <si>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</si>
  <si>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</si>
  <si>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</si>
  <si>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</si>
  <si>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</si>
  <si>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</si>
  <si>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</si>
  <si>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</si>
  <si>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</si>
  <si>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</si>
  <si>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</si>
  <si>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</si>
  <si>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</si>
  <si>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</si>
  <si>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</si>
  <si>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</si>
  <si>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</si>
  <si>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</si>
  <si>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</si>
  <si>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</si>
  <si>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</si>
  <si>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</si>
  <si>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</si>
  <si>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</si>
  <si>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</si>
  <si>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</si>
  <si>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</si>
  <si>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</si>
  <si>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</si>
  <si>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</si>
  <si>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</si>
  <si>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</si>
  <si>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</si>
  <si>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</si>
  <si>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</si>
  <si>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</si>
  <si>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</si>
  <si>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</si>
  <si>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</si>
  <si>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</si>
  <si>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</si>
  <si>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</si>
  <si>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</si>
  <si>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</si>
  <si>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</si>
  <si>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</si>
  <si>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</si>
  <si>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</si>
  <si>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</si>
  <si>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</si>
  <si>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</si>
  <si>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</si>
  <si>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</si>
  <si>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</si>
  <si>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</si>
  <si>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</si>
  <si>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</si>
  <si>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</si>
  <si>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</si>
  <si>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</si>
  <si>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</si>
  <si>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</si>
  <si>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</si>
  <si>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</si>
  <si>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</si>
  <si>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</si>
  <si>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</si>
  <si>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</si>
  <si>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</si>
  <si>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</si>
  <si>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</si>
  <si>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</si>
  <si>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</si>
  <si>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</si>
  <si>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</si>
  <si>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</si>
  <si>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</si>
  <si>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</si>
  <si>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</si>
  <si>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</si>
  <si>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</si>
  <si>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</si>
  <si>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</si>
  <si>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</si>
  <si>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</si>
  <si>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</si>
  <si>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</si>
  <si>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</si>
  <si>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</si>
  <si>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</si>
  <si>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</si>
  <si>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</si>
  <si>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</si>
  <si>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</si>
  <si>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</si>
  <si>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</si>
  <si>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</si>
  <si>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</si>
  <si>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</si>
  <si>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</si>
  <si>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</si>
  <si>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</si>
  <si>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</si>
  <si>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</si>
  <si>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</si>
  <si>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</si>
  <si>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</si>
  <si>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</si>
  <si>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</si>
  <si>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</si>
  <si>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</si>
  <si>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</si>
  <si>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</si>
  <si>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</si>
  <si>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</si>
  <si>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</si>
  <si>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</si>
  <si>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</si>
  <si>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</si>
  <si>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</si>
  <si>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</si>
  <si>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</si>
  <si>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</si>
  <si>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</si>
  <si>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</si>
  <si>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</si>
  <si>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</si>
  <si>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</si>
  <si>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</si>
  <si>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</si>
  <si>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</si>
  <si>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</si>
  <si>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</si>
  <si>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</si>
  <si>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</si>
  <si>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</si>
  <si>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</si>
  <si>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</si>
  <si>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</si>
  <si>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</si>
  <si>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</si>
  <si>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</si>
  <si>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</si>
  <si>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</si>
  <si>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</si>
  <si>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</si>
  <si>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</si>
  <si>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</si>
  <si>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</si>
  <si>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</si>
  <si>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</si>
  <si>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</si>
  <si>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</si>
  <si>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</si>
  <si>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</si>
  <si>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</si>
  <si>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</si>
  <si>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</si>
  <si>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</si>
  <si>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</si>
  <si>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</si>
  <si>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</si>
  <si>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</si>
  <si>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</si>
  <si>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</si>
  <si>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</si>
  <si>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</si>
  <si>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</si>
  <si>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</si>
  <si>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</si>
  <si>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</si>
  <si>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</si>
  <si>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</si>
  <si>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</si>
  <si>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</si>
  <si>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</si>
  <si>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</si>
  <si>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</si>
  <si>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</si>
  <si>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</si>
  <si>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</si>
  <si>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</si>
  <si>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</si>
  <si>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</si>
  <si>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</si>
  <si>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</si>
  <si>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</si>
  <si>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</si>
  <si>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</si>
  <si>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</si>
  <si>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</si>
  <si>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</si>
  <si>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</si>
  <si>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</si>
  <si>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</si>
  <si>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</si>
  <si>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</si>
  <si>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</si>
  <si>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</si>
  <si>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</si>
  <si>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</si>
  <si>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</si>
  <si>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</si>
  <si>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</si>
  <si>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</si>
  <si>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</si>
  <si>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</si>
  <si>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</si>
  <si>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</si>
  <si>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</si>
  <si>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</si>
  <si>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</si>
  <si>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</si>
  <si>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</si>
  <si>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</si>
  <si>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</si>
  <si>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</si>
  <si>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</si>
  <si>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</si>
  <si>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</si>
  <si>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</si>
  <si>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</si>
  <si>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</si>
  <si>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</si>
  <si>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</si>
  <si>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</si>
  <si>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</si>
  <si>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</si>
  <si>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</si>
  <si>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</si>
  <si>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</si>
  <si>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</si>
  <si>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</si>
  <si>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</si>
  <si>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</si>
  <si>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</si>
  <si>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</si>
  <si>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</si>
  <si>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</si>
  <si>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</si>
  <si>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</si>
  <si>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</si>
  <si>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</si>
  <si>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</si>
  <si>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</si>
  <si>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</si>
  <si>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</si>
  <si>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</si>
  <si>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</si>
  <si>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</si>
  <si>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</si>
  <si>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</si>
  <si>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</si>
  <si>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</si>
  <si>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</si>
  <si>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</si>
  <si>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</si>
  <si>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</si>
  <si>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</si>
  <si>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</si>
  <si>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</si>
  <si>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</si>
  <si>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</si>
  <si>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</si>
  <si>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</si>
  <si>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</si>
  <si>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</si>
  <si>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</si>
  <si>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</si>
  <si>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</si>
  <si>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</si>
  <si>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</si>
  <si>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</si>
  <si>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</si>
  <si>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</si>
  <si>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</si>
  <si>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</si>
  <si>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</si>
  <si>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</si>
  <si>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</si>
  <si>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</si>
  <si>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</si>
  <si>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</si>
  <si>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</si>
  <si>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</si>
  <si>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</si>
  <si>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</si>
  <si>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</si>
  <si>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</si>
  <si>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</si>
  <si>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</si>
  <si>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</si>
  <si>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</si>
  <si>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</si>
  <si>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</si>
  <si>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</si>
  <si>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</si>
  <si>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</si>
  <si>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</si>
  <si>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</si>
  <si>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</si>
  <si>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</si>
  <si>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</si>
  <si>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</si>
  <si>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</si>
  <si>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</si>
  <si>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</si>
  <si>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</si>
  <si>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</si>
  <si>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</si>
  <si>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</si>
  <si>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</si>
  <si>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</si>
  <si>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</si>
  <si>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</si>
  <si>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</si>
  <si>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</si>
  <si>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</si>
  <si>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</si>
  <si>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</si>
  <si>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</si>
  <si>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</si>
  <si>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</si>
  <si>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</si>
  <si>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</si>
  <si>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</si>
  <si>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</si>
  <si>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</si>
  <si>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</si>
  <si>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</si>
  <si>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</si>
  <si>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</si>
  <si>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</si>
  <si>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</si>
  <si>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13035</t>
  </si>
  <si>
    <t>RAVELS</t>
  </si>
  <si>
    <t>Cultuurgrond (ha)</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</si>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</sst>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9F608FBA-984C-4405-9B4F-6FF37C2B2188}"/>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153813.46859938392</c:v>
                </c:pt>
                <c:pt idx="1">
                  <c:v>29525.935513084372</c:v>
                </c:pt>
                <c:pt idx="2">
                  <c:v>1045.3579999999999</c:v>
                </c:pt>
                <c:pt idx="3">
                  <c:v>91432.413798170513</c:v>
                </c:pt>
                <c:pt idx="4">
                  <c:v>86821.017893964832</c:v>
                </c:pt>
                <c:pt idx="5">
                  <c:v>66292.969556917757</c:v>
                </c:pt>
                <c:pt idx="6">
                  <c:v>1477.8578458169529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153813.46859938392</c:v>
                </c:pt>
                <c:pt idx="1">
                  <c:v>29525.935513084372</c:v>
                </c:pt>
                <c:pt idx="2">
                  <c:v>1045.3579999999999</c:v>
                </c:pt>
                <c:pt idx="3">
                  <c:v>91432.413798170513</c:v>
                </c:pt>
                <c:pt idx="4">
                  <c:v>86821.017893964832</c:v>
                </c:pt>
                <c:pt idx="5">
                  <c:v>66292.969556917757</c:v>
                </c:pt>
                <c:pt idx="6">
                  <c:v>1477.8578458169529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32173.333158787758</c:v>
                </c:pt>
                <c:pt idx="2">
                  <c:v>5841.3609953126479</c:v>
                </c:pt>
                <c:pt idx="3">
                  <c:v>216.79788843840441</c:v>
                </c:pt>
                <c:pt idx="4">
                  <c:v>22495.138824079062</c:v>
                </c:pt>
                <c:pt idx="5">
                  <c:v>18392.970505437359</c:v>
                </c:pt>
                <c:pt idx="6">
                  <c:v>16757.662761766565</c:v>
                </c:pt>
                <c:pt idx="7">
                  <c:v>377.30554974446983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32173.333158787758</c:v>
                </c:pt>
                <c:pt idx="2">
                  <c:v>5841.3609953126479</c:v>
                </c:pt>
                <c:pt idx="3">
                  <c:v>216.79788843840441</c:v>
                </c:pt>
                <c:pt idx="4">
                  <c:v>22495.138824079062</c:v>
                </c:pt>
                <c:pt idx="5">
                  <c:v>18392.970505437359</c:v>
                </c:pt>
                <c:pt idx="6">
                  <c:v>16757.662761766565</c:v>
                </c:pt>
                <c:pt idx="7">
                  <c:v>377.30554974446983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13035</v>
      </c>
      <c r="B6" s="385"/>
      <c r="C6" s="386"/>
    </row>
    <row r="7" spans="1:7" s="383" customFormat="1" ht="15.75" customHeight="1">
      <c r="A7" s="387" t="str">
        <f>txtMunicipality</f>
        <v>RAVELS</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13020.28096122396</v>
      </c>
      <c r="D10" s="676">
        <f ca="1">tertiair!C16</f>
        <v>0</v>
      </c>
      <c r="E10" s="676">
        <f ca="1">tertiair!D16</f>
        <v>13027.648283568453</v>
      </c>
      <c r="F10" s="676">
        <f>tertiair!E16</f>
        <v>182.31871242476041</v>
      </c>
      <c r="G10" s="676">
        <f ca="1">tertiair!F16</f>
        <v>2565.1606845899328</v>
      </c>
      <c r="H10" s="676">
        <f>tertiair!G16</f>
        <v>0</v>
      </c>
      <c r="I10" s="676">
        <f>tertiair!H16</f>
        <v>0</v>
      </c>
      <c r="J10" s="676">
        <f>tertiair!I16</f>
        <v>0</v>
      </c>
      <c r="K10" s="676">
        <f>tertiair!J16</f>
        <v>0</v>
      </c>
      <c r="L10" s="676">
        <f>tertiair!K16</f>
        <v>0</v>
      </c>
      <c r="M10" s="676">
        <f ca="1">tertiair!L16</f>
        <v>0</v>
      </c>
      <c r="N10" s="676">
        <f>tertiair!M16</f>
        <v>0</v>
      </c>
      <c r="O10" s="676">
        <f ca="1">tertiair!N16</f>
        <v>1733.0615379439341</v>
      </c>
      <c r="P10" s="676">
        <f>tertiair!O16</f>
        <v>4.6900000000000004</v>
      </c>
      <c r="Q10" s="677">
        <f>tertiair!P16</f>
        <v>38.133333333333333</v>
      </c>
      <c r="R10" s="679">
        <f ca="1">SUM(C10:Q10)</f>
        <v>30571.293513084373</v>
      </c>
      <c r="S10" s="67"/>
    </row>
    <row r="11" spans="1:19" s="444" customFormat="1">
      <c r="A11" s="791" t="s">
        <v>214</v>
      </c>
      <c r="B11" s="796"/>
      <c r="C11" s="676">
        <f>huishoudens!B8</f>
        <v>28040.141667189302</v>
      </c>
      <c r="D11" s="676">
        <f>huishoudens!C8</f>
        <v>0</v>
      </c>
      <c r="E11" s="676">
        <f>huishoudens!D8</f>
        <v>70406.098515862235</v>
      </c>
      <c r="F11" s="676">
        <f>huishoudens!E8</f>
        <v>1408.743188521014</v>
      </c>
      <c r="G11" s="676">
        <f>huishoudens!F8</f>
        <v>43171.601004855918</v>
      </c>
      <c r="H11" s="676">
        <f>huishoudens!G8</f>
        <v>0</v>
      </c>
      <c r="I11" s="676">
        <f>huishoudens!H8</f>
        <v>0</v>
      </c>
      <c r="J11" s="676">
        <f>huishoudens!I8</f>
        <v>0</v>
      </c>
      <c r="K11" s="676">
        <f>huishoudens!J8</f>
        <v>817.58416084580062</v>
      </c>
      <c r="L11" s="676">
        <f>huishoudens!K8</f>
        <v>0</v>
      </c>
      <c r="M11" s="676">
        <f>huishoudens!L8</f>
        <v>0</v>
      </c>
      <c r="N11" s="676">
        <f>huishoudens!M8</f>
        <v>0</v>
      </c>
      <c r="O11" s="676">
        <f>huishoudens!N8</f>
        <v>9130.0000621096515</v>
      </c>
      <c r="P11" s="676">
        <f>huishoudens!O8</f>
        <v>171.96666666666667</v>
      </c>
      <c r="Q11" s="677">
        <f>huishoudens!P8</f>
        <v>667.33333333333337</v>
      </c>
      <c r="R11" s="679">
        <f>SUM(C11:Q11)</f>
        <v>153813.46859938392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31043.48186680958</v>
      </c>
      <c r="D13" s="676">
        <f>industrie!C18</f>
        <v>0</v>
      </c>
      <c r="E13" s="676">
        <f>industrie!D18</f>
        <v>26265.987979712354</v>
      </c>
      <c r="F13" s="676">
        <f>industrie!E18</f>
        <v>2349.8795226595107</v>
      </c>
      <c r="G13" s="676">
        <f>industrie!F18</f>
        <v>22845.379693474206</v>
      </c>
      <c r="H13" s="676">
        <f>industrie!G18</f>
        <v>0</v>
      </c>
      <c r="I13" s="676">
        <f>industrie!H18</f>
        <v>0</v>
      </c>
      <c r="J13" s="676">
        <f>industrie!I18</f>
        <v>0</v>
      </c>
      <c r="K13" s="676">
        <f>industrie!J18</f>
        <v>45.089679340034934</v>
      </c>
      <c r="L13" s="676">
        <f>industrie!K18</f>
        <v>0</v>
      </c>
      <c r="M13" s="676">
        <f>industrie!L18</f>
        <v>0</v>
      </c>
      <c r="N13" s="676">
        <f>industrie!M18</f>
        <v>0</v>
      </c>
      <c r="O13" s="676">
        <f>industrie!N18</f>
        <v>4271.1991519691474</v>
      </c>
      <c r="P13" s="676">
        <f>industrie!O18</f>
        <v>0</v>
      </c>
      <c r="Q13" s="677">
        <f>industrie!P18</f>
        <v>0</v>
      </c>
      <c r="R13" s="679">
        <f>SUM(C13:Q13)</f>
        <v>86821.017893964832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72103.904495222843</v>
      </c>
      <c r="D16" s="711">
        <f t="shared" ref="D16:R16" ca="1" si="0">SUM(D9:D15)</f>
        <v>0</v>
      </c>
      <c r="E16" s="711">
        <f t="shared" ca="1" si="0"/>
        <v>109699.73477914305</v>
      </c>
      <c r="F16" s="711">
        <f t="shared" si="0"/>
        <v>3940.9414236052853</v>
      </c>
      <c r="G16" s="711">
        <f t="shared" ca="1" si="0"/>
        <v>68582.141382920061</v>
      </c>
      <c r="H16" s="711">
        <f t="shared" si="0"/>
        <v>0</v>
      </c>
      <c r="I16" s="711">
        <f t="shared" si="0"/>
        <v>0</v>
      </c>
      <c r="J16" s="711">
        <f t="shared" si="0"/>
        <v>0</v>
      </c>
      <c r="K16" s="711">
        <f t="shared" si="0"/>
        <v>862.67384018583562</v>
      </c>
      <c r="L16" s="711">
        <f t="shared" si="0"/>
        <v>0</v>
      </c>
      <c r="M16" s="711">
        <f t="shared" ca="1" si="0"/>
        <v>0</v>
      </c>
      <c r="N16" s="711">
        <f t="shared" si="0"/>
        <v>0</v>
      </c>
      <c r="O16" s="711">
        <f t="shared" ca="1" si="0"/>
        <v>15134.260752022732</v>
      </c>
      <c r="P16" s="711">
        <f t="shared" si="0"/>
        <v>176.65666666666667</v>
      </c>
      <c r="Q16" s="711">
        <f t="shared" si="0"/>
        <v>705.4666666666667</v>
      </c>
      <c r="R16" s="711">
        <f t="shared" ca="1" si="0"/>
        <v>271205.78000643314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7.2312023992649817</v>
      </c>
      <c r="D19" s="676">
        <f>transport!C54</f>
        <v>0</v>
      </c>
      <c r="E19" s="676">
        <f>transport!D54</f>
        <v>0</v>
      </c>
      <c r="F19" s="676">
        <f>transport!E54</f>
        <v>0</v>
      </c>
      <c r="G19" s="676">
        <f>transport!F54</f>
        <v>0</v>
      </c>
      <c r="H19" s="676">
        <f>transport!G54</f>
        <v>1407.5125959527313</v>
      </c>
      <c r="I19" s="676">
        <f>transport!H54</f>
        <v>0</v>
      </c>
      <c r="J19" s="676">
        <f>transport!I54</f>
        <v>0</v>
      </c>
      <c r="K19" s="676">
        <f>transport!J54</f>
        <v>0</v>
      </c>
      <c r="L19" s="676">
        <f>transport!K54</f>
        <v>0</v>
      </c>
      <c r="M19" s="676">
        <f>transport!L54</f>
        <v>0</v>
      </c>
      <c r="N19" s="676">
        <f>transport!M54</f>
        <v>63.114047464956727</v>
      </c>
      <c r="O19" s="676">
        <f>transport!N54</f>
        <v>0</v>
      </c>
      <c r="P19" s="676">
        <f>transport!O54</f>
        <v>0</v>
      </c>
      <c r="Q19" s="677">
        <f>transport!P54</f>
        <v>0</v>
      </c>
      <c r="R19" s="679">
        <f>SUM(C19:Q19)</f>
        <v>1477.8578458169529</v>
      </c>
      <c r="S19" s="67"/>
    </row>
    <row r="20" spans="1:19" s="444" customFormat="1">
      <c r="A20" s="791" t="s">
        <v>296</v>
      </c>
      <c r="B20" s="796"/>
      <c r="C20" s="676">
        <f>transport!B14</f>
        <v>5.5826883260982161</v>
      </c>
      <c r="D20" s="676">
        <f>transport!C14</f>
        <v>0</v>
      </c>
      <c r="E20" s="676">
        <f>transport!D14</f>
        <v>5.5559357943012913</v>
      </c>
      <c r="F20" s="676">
        <f>transport!E14</f>
        <v>196.78434576726031</v>
      </c>
      <c r="G20" s="676">
        <f>transport!F14</f>
        <v>0</v>
      </c>
      <c r="H20" s="676">
        <f>transport!G14</f>
        <v>53743.730870146406</v>
      </c>
      <c r="I20" s="676">
        <f>transport!H14</f>
        <v>9482.4758006014436</v>
      </c>
      <c r="J20" s="676">
        <f>transport!I14</f>
        <v>0</v>
      </c>
      <c r="K20" s="676">
        <f>transport!J14</f>
        <v>0</v>
      </c>
      <c r="L20" s="676">
        <f>transport!K14</f>
        <v>0</v>
      </c>
      <c r="M20" s="676">
        <f>transport!L14</f>
        <v>0</v>
      </c>
      <c r="N20" s="676">
        <f>transport!M14</f>
        <v>2858.8399162822429</v>
      </c>
      <c r="O20" s="676">
        <f>transport!N14</f>
        <v>0</v>
      </c>
      <c r="P20" s="676">
        <f>transport!O14</f>
        <v>0</v>
      </c>
      <c r="Q20" s="677">
        <f>transport!P14</f>
        <v>0</v>
      </c>
      <c r="R20" s="679">
        <f>SUM(C20:Q20)</f>
        <v>66292.969556917757</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12.813890725363198</v>
      </c>
      <c r="D22" s="794">
        <f t="shared" ref="D22:R22" si="1">SUM(D18:D21)</f>
        <v>0</v>
      </c>
      <c r="E22" s="794">
        <f t="shared" si="1"/>
        <v>5.5559357943012913</v>
      </c>
      <c r="F22" s="794">
        <f t="shared" si="1"/>
        <v>196.78434576726031</v>
      </c>
      <c r="G22" s="794">
        <f t="shared" si="1"/>
        <v>0</v>
      </c>
      <c r="H22" s="794">
        <f t="shared" si="1"/>
        <v>55151.243466099135</v>
      </c>
      <c r="I22" s="794">
        <f t="shared" si="1"/>
        <v>9482.4758006014436</v>
      </c>
      <c r="J22" s="794">
        <f t="shared" si="1"/>
        <v>0</v>
      </c>
      <c r="K22" s="794">
        <f t="shared" si="1"/>
        <v>0</v>
      </c>
      <c r="L22" s="794">
        <f t="shared" si="1"/>
        <v>0</v>
      </c>
      <c r="M22" s="794">
        <f t="shared" si="1"/>
        <v>0</v>
      </c>
      <c r="N22" s="794">
        <f t="shared" si="1"/>
        <v>2921.9539637471999</v>
      </c>
      <c r="O22" s="794">
        <f t="shared" si="1"/>
        <v>0</v>
      </c>
      <c r="P22" s="794">
        <f t="shared" si="1"/>
        <v>0</v>
      </c>
      <c r="Q22" s="794">
        <f t="shared" si="1"/>
        <v>0</v>
      </c>
      <c r="R22" s="794">
        <f t="shared" si="1"/>
        <v>67770.827402734707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9589.4405063034174</v>
      </c>
      <c r="D24" s="676">
        <f>+landbouw!C8</f>
        <v>45301.446428571428</v>
      </c>
      <c r="E24" s="676">
        <f>+landbouw!D8</f>
        <v>1892.5726708326547</v>
      </c>
      <c r="F24" s="676">
        <f>+landbouw!E8</f>
        <v>120.83930409055881</v>
      </c>
      <c r="G24" s="676">
        <f>+landbouw!F8</f>
        <v>33085.972045136827</v>
      </c>
      <c r="H24" s="676">
        <f>+landbouw!G8</f>
        <v>0</v>
      </c>
      <c r="I24" s="676">
        <f>+landbouw!H8</f>
        <v>0</v>
      </c>
      <c r="J24" s="676">
        <f>+landbouw!I8</f>
        <v>0</v>
      </c>
      <c r="K24" s="676">
        <f>+landbouw!J8</f>
        <v>1442.1428432356406</v>
      </c>
      <c r="L24" s="676">
        <f>+landbouw!K8</f>
        <v>0</v>
      </c>
      <c r="M24" s="676">
        <f>+landbouw!L8</f>
        <v>0</v>
      </c>
      <c r="N24" s="676">
        <f>+landbouw!M8</f>
        <v>0</v>
      </c>
      <c r="O24" s="676">
        <f>+landbouw!N8</f>
        <v>0</v>
      </c>
      <c r="P24" s="676">
        <f>+landbouw!O8</f>
        <v>0</v>
      </c>
      <c r="Q24" s="677">
        <f>+landbouw!P8</f>
        <v>0</v>
      </c>
      <c r="R24" s="679">
        <f>SUM(C24:Q24)</f>
        <v>91432.413798170513</v>
      </c>
      <c r="S24" s="67"/>
    </row>
    <row r="25" spans="1:19" s="444" customFormat="1" ht="15" thickBot="1">
      <c r="A25" s="813" t="s">
        <v>833</v>
      </c>
      <c r="B25" s="977"/>
      <c r="C25" s="978">
        <f>IF(Onbekend_ele_kWh="---",0,Onbekend_ele_kWh)/1000+IF(REST_rest_ele_kWh="---",0,REST_rest_ele_kWh)/1000</f>
        <v>1186.8435452701101</v>
      </c>
      <c r="D25" s="978"/>
      <c r="E25" s="978">
        <f>IF(onbekend_gas_kWh="---",0,onbekend_gas_kWh)/1000+IF(REST_rest_gas_kWh="---",0,REST_rest_gas_kWh)/1000</f>
        <v>2258.6790904846698</v>
      </c>
      <c r="F25" s="978"/>
      <c r="G25" s="978"/>
      <c r="H25" s="978"/>
      <c r="I25" s="978"/>
      <c r="J25" s="978"/>
      <c r="K25" s="978"/>
      <c r="L25" s="978"/>
      <c r="M25" s="978"/>
      <c r="N25" s="978"/>
      <c r="O25" s="978"/>
      <c r="P25" s="978"/>
      <c r="Q25" s="979"/>
      <c r="R25" s="679">
        <f>SUM(C25:Q25)</f>
        <v>3445.5226357547799</v>
      </c>
      <c r="S25" s="67"/>
    </row>
    <row r="26" spans="1:19" s="444" customFormat="1" ht="15.75" thickBot="1">
      <c r="A26" s="684" t="s">
        <v>834</v>
      </c>
      <c r="B26" s="799"/>
      <c r="C26" s="794">
        <f>SUM(C24:C25)</f>
        <v>10776.284051573528</v>
      </c>
      <c r="D26" s="794">
        <f t="shared" ref="D26:R26" si="2">SUM(D24:D25)</f>
        <v>45301.446428571428</v>
      </c>
      <c r="E26" s="794">
        <f t="shared" si="2"/>
        <v>4151.2517613173241</v>
      </c>
      <c r="F26" s="794">
        <f t="shared" si="2"/>
        <v>120.83930409055881</v>
      </c>
      <c r="G26" s="794">
        <f t="shared" si="2"/>
        <v>33085.972045136827</v>
      </c>
      <c r="H26" s="794">
        <f t="shared" si="2"/>
        <v>0</v>
      </c>
      <c r="I26" s="794">
        <f t="shared" si="2"/>
        <v>0</v>
      </c>
      <c r="J26" s="794">
        <f t="shared" si="2"/>
        <v>0</v>
      </c>
      <c r="K26" s="794">
        <f t="shared" si="2"/>
        <v>1442.1428432356406</v>
      </c>
      <c r="L26" s="794">
        <f t="shared" si="2"/>
        <v>0</v>
      </c>
      <c r="M26" s="794">
        <f t="shared" si="2"/>
        <v>0</v>
      </c>
      <c r="N26" s="794">
        <f t="shared" si="2"/>
        <v>0</v>
      </c>
      <c r="O26" s="794">
        <f t="shared" si="2"/>
        <v>0</v>
      </c>
      <c r="P26" s="794">
        <f t="shared" si="2"/>
        <v>0</v>
      </c>
      <c r="Q26" s="794">
        <f t="shared" si="2"/>
        <v>0</v>
      </c>
      <c r="R26" s="794">
        <f t="shared" si="2"/>
        <v>94877.936433925293</v>
      </c>
      <c r="S26" s="67"/>
    </row>
    <row r="27" spans="1:19" s="444" customFormat="1" ht="17.25" thickTop="1" thickBot="1">
      <c r="A27" s="685" t="s">
        <v>109</v>
      </c>
      <c r="B27" s="786"/>
      <c r="C27" s="686">
        <f ca="1">C22+C16+C26</f>
        <v>82893.002437521733</v>
      </c>
      <c r="D27" s="686">
        <f t="shared" ref="D27:R27" ca="1" si="3">D22+D16+D26</f>
        <v>45301.446428571428</v>
      </c>
      <c r="E27" s="686">
        <f t="shared" ca="1" si="3"/>
        <v>113856.54247625468</v>
      </c>
      <c r="F27" s="686">
        <f t="shared" si="3"/>
        <v>4258.5650734631045</v>
      </c>
      <c r="G27" s="686">
        <f t="shared" ca="1" si="3"/>
        <v>101668.11342805688</v>
      </c>
      <c r="H27" s="686">
        <f t="shared" si="3"/>
        <v>55151.243466099135</v>
      </c>
      <c r="I27" s="686">
        <f t="shared" si="3"/>
        <v>9482.4758006014436</v>
      </c>
      <c r="J27" s="686">
        <f t="shared" si="3"/>
        <v>0</v>
      </c>
      <c r="K27" s="686">
        <f t="shared" si="3"/>
        <v>2304.8166834214762</v>
      </c>
      <c r="L27" s="686">
        <f t="shared" si="3"/>
        <v>0</v>
      </c>
      <c r="M27" s="686">
        <f t="shared" ca="1" si="3"/>
        <v>0</v>
      </c>
      <c r="N27" s="686">
        <f t="shared" si="3"/>
        <v>2921.9539637471999</v>
      </c>
      <c r="O27" s="686">
        <f t="shared" ca="1" si="3"/>
        <v>15134.260752022732</v>
      </c>
      <c r="P27" s="686">
        <f t="shared" si="3"/>
        <v>176.65666666666667</v>
      </c>
      <c r="Q27" s="686">
        <f t="shared" si="3"/>
        <v>705.4666666666667</v>
      </c>
      <c r="R27" s="686">
        <f t="shared" ca="1" si="3"/>
        <v>433854.54384309315</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2700.2896799642922</v>
      </c>
      <c r="D40" s="676">
        <f ca="1">tertiair!C20</f>
        <v>0</v>
      </c>
      <c r="E40" s="676">
        <f ca="1">tertiair!D20</f>
        <v>2631.5849532808274</v>
      </c>
      <c r="F40" s="676">
        <f>tertiair!E20</f>
        <v>41.386347720420616</v>
      </c>
      <c r="G40" s="676">
        <f ca="1">tertiair!F20</f>
        <v>684.89790278551209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6058.1588837510517</v>
      </c>
    </row>
    <row r="41" spans="1:18">
      <c r="A41" s="804" t="s">
        <v>214</v>
      </c>
      <c r="B41" s="811"/>
      <c r="C41" s="676">
        <f ca="1">huishoudens!B12</f>
        <v>5815.2742935533679</v>
      </c>
      <c r="D41" s="676">
        <f ca="1">huishoudens!C12</f>
        <v>0</v>
      </c>
      <c r="E41" s="676">
        <f>huishoudens!D12</f>
        <v>14222.031900204172</v>
      </c>
      <c r="F41" s="676">
        <f>huishoudens!E12</f>
        <v>319.78470379427017</v>
      </c>
      <c r="G41" s="676">
        <f>huishoudens!F12</f>
        <v>11526.817468296531</v>
      </c>
      <c r="H41" s="676">
        <f>huishoudens!G12</f>
        <v>0</v>
      </c>
      <c r="I41" s="676">
        <f>huishoudens!H12</f>
        <v>0</v>
      </c>
      <c r="J41" s="676">
        <f>huishoudens!I12</f>
        <v>0</v>
      </c>
      <c r="K41" s="676">
        <f>huishoudens!J12</f>
        <v>289.42479293941341</v>
      </c>
      <c r="L41" s="676">
        <f>huishoudens!K12</f>
        <v>0</v>
      </c>
      <c r="M41" s="676">
        <f>huishoudens!L12</f>
        <v>0</v>
      </c>
      <c r="N41" s="676">
        <f>huishoudens!M12</f>
        <v>0</v>
      </c>
      <c r="O41" s="676">
        <f>huishoudens!N12</f>
        <v>0</v>
      </c>
      <c r="P41" s="676">
        <f>huishoudens!O12</f>
        <v>0</v>
      </c>
      <c r="Q41" s="753">
        <f>huishoudens!P12</f>
        <v>0</v>
      </c>
      <c r="R41" s="832">
        <f t="shared" ca="1" si="4"/>
        <v>32173.333158787758</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6438.1401572477689</v>
      </c>
      <c r="D43" s="676">
        <f ca="1">industrie!C22</f>
        <v>0</v>
      </c>
      <c r="E43" s="676">
        <f>industrie!D22</f>
        <v>5305.7295719018957</v>
      </c>
      <c r="F43" s="676">
        <f>industrie!E22</f>
        <v>533.42265164370895</v>
      </c>
      <c r="G43" s="676">
        <f>industrie!F22</f>
        <v>6099.7163781576137</v>
      </c>
      <c r="H43" s="676">
        <f>industrie!G22</f>
        <v>0</v>
      </c>
      <c r="I43" s="676">
        <f>industrie!H22</f>
        <v>0</v>
      </c>
      <c r="J43" s="676">
        <f>industrie!I22</f>
        <v>0</v>
      </c>
      <c r="K43" s="676">
        <f>industrie!J22</f>
        <v>15.961746486372366</v>
      </c>
      <c r="L43" s="676">
        <f>industrie!K22</f>
        <v>0</v>
      </c>
      <c r="M43" s="676">
        <f>industrie!L22</f>
        <v>0</v>
      </c>
      <c r="N43" s="676">
        <f>industrie!M22</f>
        <v>0</v>
      </c>
      <c r="O43" s="676">
        <f>industrie!N22</f>
        <v>0</v>
      </c>
      <c r="P43" s="676">
        <f>industrie!O22</f>
        <v>0</v>
      </c>
      <c r="Q43" s="753">
        <f>industrie!P22</f>
        <v>0</v>
      </c>
      <c r="R43" s="831">
        <f t="shared" ca="1" si="4"/>
        <v>18392.970505437359</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14953.704130765429</v>
      </c>
      <c r="D46" s="711">
        <f t="shared" ref="D46:Q46" ca="1" si="5">SUM(D39:D45)</f>
        <v>0</v>
      </c>
      <c r="E46" s="711">
        <f t="shared" ca="1" si="5"/>
        <v>22159.346425386895</v>
      </c>
      <c r="F46" s="711">
        <f t="shared" si="5"/>
        <v>894.59370315839976</v>
      </c>
      <c r="G46" s="711">
        <f t="shared" ca="1" si="5"/>
        <v>18311.431749239655</v>
      </c>
      <c r="H46" s="711">
        <f t="shared" si="5"/>
        <v>0</v>
      </c>
      <c r="I46" s="711">
        <f t="shared" si="5"/>
        <v>0</v>
      </c>
      <c r="J46" s="711">
        <f t="shared" si="5"/>
        <v>0</v>
      </c>
      <c r="K46" s="711">
        <f t="shared" si="5"/>
        <v>305.38653942578577</v>
      </c>
      <c r="L46" s="711">
        <f t="shared" si="5"/>
        <v>0</v>
      </c>
      <c r="M46" s="711">
        <f t="shared" ca="1" si="5"/>
        <v>0</v>
      </c>
      <c r="N46" s="711">
        <f t="shared" si="5"/>
        <v>0</v>
      </c>
      <c r="O46" s="711">
        <f t="shared" ca="1" si="5"/>
        <v>0</v>
      </c>
      <c r="P46" s="711">
        <f t="shared" si="5"/>
        <v>0</v>
      </c>
      <c r="Q46" s="711">
        <f t="shared" si="5"/>
        <v>0</v>
      </c>
      <c r="R46" s="711">
        <f ca="1">SUM(R39:R45)</f>
        <v>56624.462547976174</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1.4996866250905161</v>
      </c>
      <c r="D49" s="676">
        <f ca="1">transport!C58</f>
        <v>0</v>
      </c>
      <c r="E49" s="676">
        <f>transport!D58</f>
        <v>0</v>
      </c>
      <c r="F49" s="676">
        <f>transport!E58</f>
        <v>0</v>
      </c>
      <c r="G49" s="676">
        <f>transport!F58</f>
        <v>0</v>
      </c>
      <c r="H49" s="676">
        <f>transport!G58</f>
        <v>375.8058631193793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377.30554974446983</v>
      </c>
    </row>
    <row r="50" spans="1:18">
      <c r="A50" s="807" t="s">
        <v>296</v>
      </c>
      <c r="B50" s="817"/>
      <c r="C50" s="682">
        <f ca="1">transport!B18</f>
        <v>1.1577995680980331</v>
      </c>
      <c r="D50" s="682">
        <f>transport!C18</f>
        <v>0</v>
      </c>
      <c r="E50" s="682">
        <f>transport!D18</f>
        <v>1.1222990304488609</v>
      </c>
      <c r="F50" s="682">
        <f>transport!E18</f>
        <v>44.670046489168094</v>
      </c>
      <c r="G50" s="682">
        <f>transport!F18</f>
        <v>0</v>
      </c>
      <c r="H50" s="682">
        <f>transport!G18</f>
        <v>14349.576142329091</v>
      </c>
      <c r="I50" s="682">
        <f>transport!H18</f>
        <v>2361.1364743497593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16757.662761766565</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2.6574861931885492</v>
      </c>
      <c r="D52" s="711">
        <f t="shared" ref="D52:Q52" ca="1" si="6">SUM(D48:D51)</f>
        <v>0</v>
      </c>
      <c r="E52" s="711">
        <f t="shared" si="6"/>
        <v>1.1222990304488609</v>
      </c>
      <c r="F52" s="711">
        <f t="shared" si="6"/>
        <v>44.670046489168094</v>
      </c>
      <c r="G52" s="711">
        <f t="shared" si="6"/>
        <v>0</v>
      </c>
      <c r="H52" s="711">
        <f t="shared" si="6"/>
        <v>14725.382005448471</v>
      </c>
      <c r="I52" s="711">
        <f t="shared" si="6"/>
        <v>2361.1364743497593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17134.968311511035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1988.7640914139315</v>
      </c>
      <c r="D54" s="682">
        <f ca="1">+landbouw!C12</f>
        <v>10752.171428571426</v>
      </c>
      <c r="E54" s="682">
        <f>+landbouw!D12</f>
        <v>382.29967950819628</v>
      </c>
      <c r="F54" s="682">
        <f>+landbouw!E12</f>
        <v>27.430522028556851</v>
      </c>
      <c r="G54" s="682">
        <f>+landbouw!F12</f>
        <v>8833.9545360515331</v>
      </c>
      <c r="H54" s="682">
        <f>+landbouw!G12</f>
        <v>0</v>
      </c>
      <c r="I54" s="682">
        <f>+landbouw!H12</f>
        <v>0</v>
      </c>
      <c r="J54" s="682">
        <f>+landbouw!I12</f>
        <v>0</v>
      </c>
      <c r="K54" s="682">
        <f>+landbouw!J12</f>
        <v>510.51856650541674</v>
      </c>
      <c r="L54" s="682">
        <f>+landbouw!K12</f>
        <v>0</v>
      </c>
      <c r="M54" s="682">
        <f>+landbouw!L12</f>
        <v>0</v>
      </c>
      <c r="N54" s="682">
        <f>+landbouw!M12</f>
        <v>0</v>
      </c>
      <c r="O54" s="682">
        <f>+landbouw!N12</f>
        <v>0</v>
      </c>
      <c r="P54" s="682">
        <f>+landbouw!O12</f>
        <v>0</v>
      </c>
      <c r="Q54" s="683">
        <f>+landbouw!P12</f>
        <v>0</v>
      </c>
      <c r="R54" s="710">
        <f ca="1">SUM(C54:Q54)</f>
        <v>22495.138824079062</v>
      </c>
    </row>
    <row r="55" spans="1:18" ht="15" thickBot="1">
      <c r="A55" s="807" t="s">
        <v>833</v>
      </c>
      <c r="B55" s="817"/>
      <c r="C55" s="682">
        <f ca="1">C25*'EF ele_warmte'!B12</f>
        <v>246.14072358111738</v>
      </c>
      <c r="D55" s="682"/>
      <c r="E55" s="682">
        <f>E25*EF_CO2_aardgas</f>
        <v>456.25317627790332</v>
      </c>
      <c r="F55" s="682"/>
      <c r="G55" s="682"/>
      <c r="H55" s="682"/>
      <c r="I55" s="682"/>
      <c r="J55" s="682"/>
      <c r="K55" s="682"/>
      <c r="L55" s="682"/>
      <c r="M55" s="682"/>
      <c r="N55" s="682"/>
      <c r="O55" s="682"/>
      <c r="P55" s="682"/>
      <c r="Q55" s="683"/>
      <c r="R55" s="710">
        <f ca="1">SUM(C55:Q55)</f>
        <v>702.39389985902073</v>
      </c>
    </row>
    <row r="56" spans="1:18" ht="15.75" thickBot="1">
      <c r="A56" s="805" t="s">
        <v>834</v>
      </c>
      <c r="B56" s="818"/>
      <c r="C56" s="711">
        <f ca="1">SUM(C54:C55)</f>
        <v>2234.904814995049</v>
      </c>
      <c r="D56" s="711">
        <f t="shared" ref="D56:Q56" ca="1" si="7">SUM(D54:D55)</f>
        <v>10752.171428571426</v>
      </c>
      <c r="E56" s="711">
        <f t="shared" si="7"/>
        <v>838.5528557860996</v>
      </c>
      <c r="F56" s="711">
        <f t="shared" si="7"/>
        <v>27.430522028556851</v>
      </c>
      <c r="G56" s="711">
        <f t="shared" si="7"/>
        <v>8833.9545360515331</v>
      </c>
      <c r="H56" s="711">
        <f t="shared" si="7"/>
        <v>0</v>
      </c>
      <c r="I56" s="711">
        <f t="shared" si="7"/>
        <v>0</v>
      </c>
      <c r="J56" s="711">
        <f t="shared" si="7"/>
        <v>0</v>
      </c>
      <c r="K56" s="711">
        <f t="shared" si="7"/>
        <v>510.51856650541674</v>
      </c>
      <c r="L56" s="711">
        <f t="shared" si="7"/>
        <v>0</v>
      </c>
      <c r="M56" s="711">
        <f t="shared" si="7"/>
        <v>0</v>
      </c>
      <c r="N56" s="711">
        <f t="shared" si="7"/>
        <v>0</v>
      </c>
      <c r="O56" s="711">
        <f t="shared" si="7"/>
        <v>0</v>
      </c>
      <c r="P56" s="711">
        <f t="shared" si="7"/>
        <v>0</v>
      </c>
      <c r="Q56" s="712">
        <f t="shared" si="7"/>
        <v>0</v>
      </c>
      <c r="R56" s="713">
        <f ca="1">SUM(R54:R55)</f>
        <v>23197.532723938082</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17191.266431953667</v>
      </c>
      <c r="D61" s="719">
        <f t="shared" ref="D61:Q61" ca="1" si="8">D46+D52+D56</f>
        <v>10752.171428571426</v>
      </c>
      <c r="E61" s="719">
        <f t="shared" ca="1" si="8"/>
        <v>22999.021580203444</v>
      </c>
      <c r="F61" s="719">
        <f t="shared" si="8"/>
        <v>966.69427167612469</v>
      </c>
      <c r="G61" s="719">
        <f t="shared" ca="1" si="8"/>
        <v>27145.386285291188</v>
      </c>
      <c r="H61" s="719">
        <f t="shared" si="8"/>
        <v>14725.382005448471</v>
      </c>
      <c r="I61" s="719">
        <f t="shared" si="8"/>
        <v>2361.1364743497593</v>
      </c>
      <c r="J61" s="719">
        <f t="shared" si="8"/>
        <v>0</v>
      </c>
      <c r="K61" s="719">
        <f t="shared" si="8"/>
        <v>815.90510593120257</v>
      </c>
      <c r="L61" s="719">
        <f t="shared" si="8"/>
        <v>0</v>
      </c>
      <c r="M61" s="719">
        <f t="shared" ca="1" si="8"/>
        <v>0</v>
      </c>
      <c r="N61" s="719">
        <f t="shared" si="8"/>
        <v>0</v>
      </c>
      <c r="O61" s="719">
        <f t="shared" ca="1" si="8"/>
        <v>0</v>
      </c>
      <c r="P61" s="719">
        <f t="shared" si="8"/>
        <v>0</v>
      </c>
      <c r="Q61" s="719">
        <f t="shared" si="8"/>
        <v>0</v>
      </c>
      <c r="R61" s="719">
        <f ca="1">R46+R52+R56</f>
        <v>96956.963583425299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0.20739104540110126</v>
      </c>
      <c r="D63" s="762">
        <f t="shared" ca="1" si="9"/>
        <v>0.23734719917883412</v>
      </c>
      <c r="E63" s="984">
        <f t="shared" ca="1" si="9"/>
        <v>0.20199999999999999</v>
      </c>
      <c r="F63" s="762">
        <f t="shared" si="9"/>
        <v>0.22700000000000001</v>
      </c>
      <c r="G63" s="762">
        <f t="shared" ca="1" si="9"/>
        <v>0.26700000000000002</v>
      </c>
      <c r="H63" s="762">
        <f t="shared" si="9"/>
        <v>0.26700000000000002</v>
      </c>
      <c r="I63" s="762">
        <f t="shared" si="9"/>
        <v>0.24899999999999997</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7450.105630039061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40.01250000000001</v>
      </c>
      <c r="C76" s="729">
        <f>'lokale energieproductie'!B8*IFERROR(SUM(D76:H76)/SUM(D76:O76),0)</f>
        <v>31671.000000000004</v>
      </c>
      <c r="D76" s="994">
        <f>'lokale energieproductie'!C8</f>
        <v>37259.999999999993</v>
      </c>
      <c r="E76" s="995">
        <f>'lokale energieproductie'!D8</f>
        <v>0</v>
      </c>
      <c r="F76" s="995">
        <f>'lokale energieproductie'!E8</f>
        <v>0</v>
      </c>
      <c r="G76" s="995">
        <f>'lokale energieproductie'!F8</f>
        <v>0</v>
      </c>
      <c r="H76" s="995">
        <f>'lokale energieproductie'!G8</f>
        <v>0</v>
      </c>
      <c r="I76" s="995">
        <f>'lokale energieproductie'!I8</f>
        <v>0</v>
      </c>
      <c r="J76" s="995">
        <f>'lokale energieproductie'!J8</f>
        <v>47.073529411764703</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7526.5199999999986</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7490.1181300390608</v>
      </c>
      <c r="C78" s="734">
        <f>SUM(C72:C77)</f>
        <v>31671.000000000004</v>
      </c>
      <c r="D78" s="735">
        <f t="shared" ref="D78:H78" si="10">SUM(D76:D77)</f>
        <v>37259.999999999993</v>
      </c>
      <c r="E78" s="735">
        <f t="shared" si="10"/>
        <v>0</v>
      </c>
      <c r="F78" s="735">
        <f t="shared" si="10"/>
        <v>0</v>
      </c>
      <c r="G78" s="735">
        <f t="shared" si="10"/>
        <v>0</v>
      </c>
      <c r="H78" s="735">
        <f t="shared" si="10"/>
        <v>0</v>
      </c>
      <c r="I78" s="735">
        <f>SUM(I76:I77)</f>
        <v>0</v>
      </c>
      <c r="J78" s="735">
        <f>SUM(J76:J77)</f>
        <v>47.073529411764703</v>
      </c>
      <c r="K78" s="735">
        <f t="shared" ref="K78:L78" si="11">SUM(K76:K77)</f>
        <v>0</v>
      </c>
      <c r="L78" s="735">
        <f t="shared" si="11"/>
        <v>0</v>
      </c>
      <c r="M78" s="735">
        <f>SUM(M76:M77)</f>
        <v>0</v>
      </c>
      <c r="N78" s="735">
        <f>SUM(N76:N77)</f>
        <v>0</v>
      </c>
      <c r="O78" s="842">
        <f>SUM(O76:O77)</f>
        <v>0</v>
      </c>
      <c r="P78" s="736">
        <v>0</v>
      </c>
      <c r="Q78" s="736">
        <f>SUM(Q76:Q77)</f>
        <v>7526.5199999999986</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57.160714285714299</v>
      </c>
      <c r="C87" s="745">
        <f>'lokale energieproductie'!B17*IFERROR(SUM(D87:H87)/SUM(D87:O87),0)</f>
        <v>45244.28571428571</v>
      </c>
      <c r="D87" s="756">
        <f>'lokale energieproductie'!C17</f>
        <v>53228.571428571413</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67.247899159663859</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10752.171428571426</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57.160714285714299</v>
      </c>
      <c r="C90" s="734">
        <f>SUM(C87:C89)</f>
        <v>45244.28571428571</v>
      </c>
      <c r="D90" s="734">
        <f t="shared" ref="D90:H90" si="12">SUM(D87:D89)</f>
        <v>53228.571428571413</v>
      </c>
      <c r="E90" s="734">
        <f t="shared" si="12"/>
        <v>0</v>
      </c>
      <c r="F90" s="734">
        <f t="shared" si="12"/>
        <v>0</v>
      </c>
      <c r="G90" s="734">
        <f t="shared" si="12"/>
        <v>0</v>
      </c>
      <c r="H90" s="734">
        <f t="shared" si="12"/>
        <v>0</v>
      </c>
      <c r="I90" s="734">
        <f>SUM(I87:I89)</f>
        <v>0</v>
      </c>
      <c r="J90" s="734">
        <f>SUM(J87:J89)</f>
        <v>67.247899159663859</v>
      </c>
      <c r="K90" s="734">
        <f t="shared" ref="K90:L90" si="13">SUM(K87:K89)</f>
        <v>0</v>
      </c>
      <c r="L90" s="734">
        <f t="shared" si="13"/>
        <v>0</v>
      </c>
      <c r="M90" s="734">
        <f>SUM(M87:M89)</f>
        <v>0</v>
      </c>
      <c r="N90" s="734">
        <f>SUM(N87:N89)</f>
        <v>0</v>
      </c>
      <c r="O90" s="734">
        <f>SUM(O87:O89)</f>
        <v>0</v>
      </c>
      <c r="P90" s="734">
        <v>0</v>
      </c>
      <c r="Q90" s="734">
        <f>SUM(Q87:Q89)</f>
        <v>10752.171428571426</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28040.141667189302</v>
      </c>
      <c r="C4" s="448">
        <f>huishoudens!C8</f>
        <v>0</v>
      </c>
      <c r="D4" s="448">
        <f>huishoudens!D8</f>
        <v>70406.098515862235</v>
      </c>
      <c r="E4" s="448">
        <f>huishoudens!E8</f>
        <v>1408.743188521014</v>
      </c>
      <c r="F4" s="448">
        <f>huishoudens!F8</f>
        <v>43171.601004855918</v>
      </c>
      <c r="G4" s="448">
        <f>huishoudens!G8</f>
        <v>0</v>
      </c>
      <c r="H4" s="448">
        <f>huishoudens!H8</f>
        <v>0</v>
      </c>
      <c r="I4" s="448">
        <f>huishoudens!I8</f>
        <v>0</v>
      </c>
      <c r="J4" s="448">
        <f>huishoudens!J8</f>
        <v>817.58416084580062</v>
      </c>
      <c r="K4" s="448">
        <f>huishoudens!K8</f>
        <v>0</v>
      </c>
      <c r="L4" s="448">
        <f>huishoudens!L8</f>
        <v>0</v>
      </c>
      <c r="M4" s="448">
        <f>huishoudens!M8</f>
        <v>0</v>
      </c>
      <c r="N4" s="448">
        <f>huishoudens!N8</f>
        <v>9130.0000621096515</v>
      </c>
      <c r="O4" s="448">
        <f>huishoudens!O8</f>
        <v>171.96666666666667</v>
      </c>
      <c r="P4" s="449">
        <f>huishoudens!P8</f>
        <v>667.33333333333337</v>
      </c>
      <c r="Q4" s="450">
        <f>SUM(B4:P4)</f>
        <v>153813.46859938392</v>
      </c>
    </row>
    <row r="5" spans="1:17">
      <c r="A5" s="447" t="s">
        <v>149</v>
      </c>
      <c r="B5" s="448">
        <f ca="1">tertiair!B16</f>
        <v>11974.92296122396</v>
      </c>
      <c r="C5" s="448">
        <f ca="1">tertiair!C16</f>
        <v>0</v>
      </c>
      <c r="D5" s="448">
        <f ca="1">tertiair!D16</f>
        <v>13027.648283568453</v>
      </c>
      <c r="E5" s="448">
        <f>tertiair!E16</f>
        <v>182.31871242476041</v>
      </c>
      <c r="F5" s="448">
        <f ca="1">tertiair!F16</f>
        <v>2565.1606845899328</v>
      </c>
      <c r="G5" s="448">
        <f>tertiair!G16</f>
        <v>0</v>
      </c>
      <c r="H5" s="448">
        <f>tertiair!H16</f>
        <v>0</v>
      </c>
      <c r="I5" s="448">
        <f>tertiair!I16</f>
        <v>0</v>
      </c>
      <c r="J5" s="448">
        <f>tertiair!J16</f>
        <v>0</v>
      </c>
      <c r="K5" s="448">
        <f>tertiair!K16</f>
        <v>0</v>
      </c>
      <c r="L5" s="448">
        <f ca="1">tertiair!L16</f>
        <v>0</v>
      </c>
      <c r="M5" s="448">
        <f>tertiair!M16</f>
        <v>0</v>
      </c>
      <c r="N5" s="448">
        <f ca="1">tertiair!N16</f>
        <v>1733.0615379439341</v>
      </c>
      <c r="O5" s="448">
        <f>tertiair!O16</f>
        <v>4.6900000000000004</v>
      </c>
      <c r="P5" s="449">
        <f>tertiair!P16</f>
        <v>38.133333333333333</v>
      </c>
      <c r="Q5" s="447">
        <f t="shared" ref="Q5:Q14" ca="1" si="0">SUM(B5:P5)</f>
        <v>29525.935513084372</v>
      </c>
    </row>
    <row r="6" spans="1:17">
      <c r="A6" s="447" t="s">
        <v>187</v>
      </c>
      <c r="B6" s="448">
        <f>'openbare verlichting'!B8</f>
        <v>1045.3579999999999</v>
      </c>
      <c r="C6" s="448"/>
      <c r="D6" s="448"/>
      <c r="E6" s="448"/>
      <c r="F6" s="448"/>
      <c r="G6" s="448"/>
      <c r="H6" s="448"/>
      <c r="I6" s="448"/>
      <c r="J6" s="448"/>
      <c r="K6" s="448"/>
      <c r="L6" s="448"/>
      <c r="M6" s="448"/>
      <c r="N6" s="448"/>
      <c r="O6" s="448"/>
      <c r="P6" s="449"/>
      <c r="Q6" s="447">
        <f t="shared" si="0"/>
        <v>1045.3579999999999</v>
      </c>
    </row>
    <row r="7" spans="1:17">
      <c r="A7" s="447" t="s">
        <v>105</v>
      </c>
      <c r="B7" s="448">
        <f>landbouw!B8</f>
        <v>9589.4405063034174</v>
      </c>
      <c r="C7" s="448">
        <f>landbouw!C8</f>
        <v>45301.446428571428</v>
      </c>
      <c r="D7" s="448">
        <f>landbouw!D8</f>
        <v>1892.5726708326547</v>
      </c>
      <c r="E7" s="448">
        <f>landbouw!E8</f>
        <v>120.83930409055881</v>
      </c>
      <c r="F7" s="448">
        <f>landbouw!F8</f>
        <v>33085.972045136827</v>
      </c>
      <c r="G7" s="448">
        <f>landbouw!G8</f>
        <v>0</v>
      </c>
      <c r="H7" s="448">
        <f>landbouw!H8</f>
        <v>0</v>
      </c>
      <c r="I7" s="448">
        <f>landbouw!I8</f>
        <v>0</v>
      </c>
      <c r="J7" s="448">
        <f>landbouw!J8</f>
        <v>1442.1428432356406</v>
      </c>
      <c r="K7" s="448">
        <f>landbouw!K8</f>
        <v>0</v>
      </c>
      <c r="L7" s="448">
        <f>landbouw!L8</f>
        <v>0</v>
      </c>
      <c r="M7" s="448">
        <f>landbouw!M8</f>
        <v>0</v>
      </c>
      <c r="N7" s="448">
        <f>landbouw!N8</f>
        <v>0</v>
      </c>
      <c r="O7" s="448">
        <f>landbouw!O8</f>
        <v>0</v>
      </c>
      <c r="P7" s="449">
        <f>landbouw!P8</f>
        <v>0</v>
      </c>
      <c r="Q7" s="447">
        <f t="shared" si="0"/>
        <v>91432.413798170513</v>
      </c>
    </row>
    <row r="8" spans="1:17">
      <c r="A8" s="447" t="s">
        <v>639</v>
      </c>
      <c r="B8" s="448">
        <f>industrie!B18</f>
        <v>31043.48186680958</v>
      </c>
      <c r="C8" s="448">
        <f>industrie!C18</f>
        <v>0</v>
      </c>
      <c r="D8" s="448">
        <f>industrie!D18</f>
        <v>26265.987979712354</v>
      </c>
      <c r="E8" s="448">
        <f>industrie!E18</f>
        <v>2349.8795226595107</v>
      </c>
      <c r="F8" s="448">
        <f>industrie!F18</f>
        <v>22845.379693474206</v>
      </c>
      <c r="G8" s="448">
        <f>industrie!G18</f>
        <v>0</v>
      </c>
      <c r="H8" s="448">
        <f>industrie!H18</f>
        <v>0</v>
      </c>
      <c r="I8" s="448">
        <f>industrie!I18</f>
        <v>0</v>
      </c>
      <c r="J8" s="448">
        <f>industrie!J18</f>
        <v>45.089679340034934</v>
      </c>
      <c r="K8" s="448">
        <f>industrie!K18</f>
        <v>0</v>
      </c>
      <c r="L8" s="448">
        <f>industrie!L18</f>
        <v>0</v>
      </c>
      <c r="M8" s="448">
        <f>industrie!M18</f>
        <v>0</v>
      </c>
      <c r="N8" s="448">
        <f>industrie!N18</f>
        <v>4271.1991519691474</v>
      </c>
      <c r="O8" s="448">
        <f>industrie!O18</f>
        <v>0</v>
      </c>
      <c r="P8" s="449">
        <f>industrie!P18</f>
        <v>0</v>
      </c>
      <c r="Q8" s="447">
        <f t="shared" si="0"/>
        <v>86821.017893964832</v>
      </c>
    </row>
    <row r="9" spans="1:17" s="453" customFormat="1">
      <c r="A9" s="451" t="s">
        <v>557</v>
      </c>
      <c r="B9" s="452">
        <f>transport!B14</f>
        <v>5.5826883260982161</v>
      </c>
      <c r="C9" s="452">
        <f>transport!C14</f>
        <v>0</v>
      </c>
      <c r="D9" s="452">
        <f>transport!D14</f>
        <v>5.5559357943012913</v>
      </c>
      <c r="E9" s="452">
        <f>transport!E14</f>
        <v>196.78434576726031</v>
      </c>
      <c r="F9" s="452">
        <f>transport!F14</f>
        <v>0</v>
      </c>
      <c r="G9" s="452">
        <f>transport!G14</f>
        <v>53743.730870146406</v>
      </c>
      <c r="H9" s="452">
        <f>transport!H14</f>
        <v>9482.4758006014436</v>
      </c>
      <c r="I9" s="452">
        <f>transport!I14</f>
        <v>0</v>
      </c>
      <c r="J9" s="452">
        <f>transport!J14</f>
        <v>0</v>
      </c>
      <c r="K9" s="452">
        <f>transport!K14</f>
        <v>0</v>
      </c>
      <c r="L9" s="452">
        <f>transport!L14</f>
        <v>0</v>
      </c>
      <c r="M9" s="452">
        <f>transport!M14</f>
        <v>2858.8399162822429</v>
      </c>
      <c r="N9" s="452">
        <f>transport!N14</f>
        <v>0</v>
      </c>
      <c r="O9" s="452">
        <f>transport!O14</f>
        <v>0</v>
      </c>
      <c r="P9" s="452">
        <f>transport!P14</f>
        <v>0</v>
      </c>
      <c r="Q9" s="451">
        <f>SUM(B9:P9)</f>
        <v>66292.969556917757</v>
      </c>
    </row>
    <row r="10" spans="1:17">
      <c r="A10" s="447" t="s">
        <v>547</v>
      </c>
      <c r="B10" s="448">
        <f>transport!B54</f>
        <v>7.2312023992649817</v>
      </c>
      <c r="C10" s="448">
        <f>transport!C54</f>
        <v>0</v>
      </c>
      <c r="D10" s="448">
        <f>transport!D54</f>
        <v>0</v>
      </c>
      <c r="E10" s="448">
        <f>transport!E54</f>
        <v>0</v>
      </c>
      <c r="F10" s="448">
        <f>transport!F54</f>
        <v>0</v>
      </c>
      <c r="G10" s="448">
        <f>transport!G54</f>
        <v>1407.5125959527313</v>
      </c>
      <c r="H10" s="448">
        <f>transport!H54</f>
        <v>0</v>
      </c>
      <c r="I10" s="448">
        <f>transport!I54</f>
        <v>0</v>
      </c>
      <c r="J10" s="448">
        <f>transport!J54</f>
        <v>0</v>
      </c>
      <c r="K10" s="448">
        <f>transport!K54</f>
        <v>0</v>
      </c>
      <c r="L10" s="448">
        <f>transport!L54</f>
        <v>0</v>
      </c>
      <c r="M10" s="448">
        <f>transport!M54</f>
        <v>63.114047464956727</v>
      </c>
      <c r="N10" s="448">
        <f>transport!N54</f>
        <v>0</v>
      </c>
      <c r="O10" s="448">
        <f>transport!O54</f>
        <v>0</v>
      </c>
      <c r="P10" s="449">
        <f>transport!P54</f>
        <v>0</v>
      </c>
      <c r="Q10" s="447">
        <f t="shared" si="0"/>
        <v>1477.8578458169529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1186.8435452701101</v>
      </c>
      <c r="C14" s="455"/>
      <c r="D14" s="455">
        <f>'SEAP template'!E25</f>
        <v>2258.6790904846698</v>
      </c>
      <c r="E14" s="455"/>
      <c r="F14" s="455"/>
      <c r="G14" s="455"/>
      <c r="H14" s="455"/>
      <c r="I14" s="455"/>
      <c r="J14" s="455"/>
      <c r="K14" s="455"/>
      <c r="L14" s="455"/>
      <c r="M14" s="455"/>
      <c r="N14" s="455"/>
      <c r="O14" s="455"/>
      <c r="P14" s="456"/>
      <c r="Q14" s="447">
        <f t="shared" si="0"/>
        <v>3445.5226357547799</v>
      </c>
    </row>
    <row r="15" spans="1:17" s="460" customFormat="1">
      <c r="A15" s="457" t="s">
        <v>551</v>
      </c>
      <c r="B15" s="458">
        <f ca="1">SUM(B4:B14)</f>
        <v>82893.002437521747</v>
      </c>
      <c r="C15" s="458">
        <f t="shared" ref="C15:Q15" ca="1" si="1">SUM(C4:C14)</f>
        <v>45301.446428571428</v>
      </c>
      <c r="D15" s="458">
        <f t="shared" ca="1" si="1"/>
        <v>113856.54247625468</v>
      </c>
      <c r="E15" s="458">
        <f t="shared" si="1"/>
        <v>4258.5650734631045</v>
      </c>
      <c r="F15" s="458">
        <f t="shared" ca="1" si="1"/>
        <v>101668.11342805688</v>
      </c>
      <c r="G15" s="458">
        <f t="shared" si="1"/>
        <v>55151.243466099135</v>
      </c>
      <c r="H15" s="458">
        <f t="shared" si="1"/>
        <v>9482.4758006014436</v>
      </c>
      <c r="I15" s="458">
        <f t="shared" si="1"/>
        <v>0</v>
      </c>
      <c r="J15" s="458">
        <f t="shared" si="1"/>
        <v>2304.8166834214758</v>
      </c>
      <c r="K15" s="458">
        <f t="shared" si="1"/>
        <v>0</v>
      </c>
      <c r="L15" s="458">
        <f t="shared" ca="1" si="1"/>
        <v>0</v>
      </c>
      <c r="M15" s="458">
        <f t="shared" si="1"/>
        <v>2921.9539637471999</v>
      </c>
      <c r="N15" s="458">
        <f t="shared" ca="1" si="1"/>
        <v>15134.260752022732</v>
      </c>
      <c r="O15" s="458">
        <f t="shared" si="1"/>
        <v>176.65666666666667</v>
      </c>
      <c r="P15" s="458">
        <f t="shared" si="1"/>
        <v>705.4666666666667</v>
      </c>
      <c r="Q15" s="458">
        <f t="shared" ca="1" si="1"/>
        <v>433854.54384309315</v>
      </c>
    </row>
    <row r="17" spans="1:17">
      <c r="A17" s="461" t="s">
        <v>552</v>
      </c>
      <c r="B17" s="767">
        <f ca="1">huishoudens!B10</f>
        <v>0.20739104540110126</v>
      </c>
      <c r="C17" s="767">
        <f ca="1">huishoudens!C10</f>
        <v>0.23734719917883412</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5815.2742935533679</v>
      </c>
      <c r="C22" s="448">
        <f t="shared" ref="C22:C32" ca="1" si="3">C4*$C$17</f>
        <v>0</v>
      </c>
      <c r="D22" s="448">
        <f t="shared" ref="D22:D32" si="4">D4*$D$17</f>
        <v>14222.031900204172</v>
      </c>
      <c r="E22" s="448">
        <f t="shared" ref="E22:E32" si="5">E4*$E$17</f>
        <v>319.78470379427017</v>
      </c>
      <c r="F22" s="448">
        <f t="shared" ref="F22:F32" si="6">F4*$F$17</f>
        <v>11526.817468296531</v>
      </c>
      <c r="G22" s="448">
        <f t="shared" ref="G22:G32" si="7">G4*$G$17</f>
        <v>0</v>
      </c>
      <c r="H22" s="448">
        <f t="shared" ref="H22:H32" si="8">H4*$H$17</f>
        <v>0</v>
      </c>
      <c r="I22" s="448">
        <f t="shared" ref="I22:I32" si="9">I4*$I$17</f>
        <v>0</v>
      </c>
      <c r="J22" s="448">
        <f t="shared" ref="J22:J32" si="10">J4*$J$17</f>
        <v>289.42479293941341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32173.333158787758</v>
      </c>
    </row>
    <row r="23" spans="1:17">
      <c r="A23" s="447" t="s">
        <v>149</v>
      </c>
      <c r="B23" s="448">
        <f t="shared" ca="1" si="2"/>
        <v>2483.4917915258879</v>
      </c>
      <c r="C23" s="448">
        <f t="shared" ca="1" si="3"/>
        <v>0</v>
      </c>
      <c r="D23" s="448">
        <f t="shared" ca="1" si="4"/>
        <v>2631.5849532808274</v>
      </c>
      <c r="E23" s="448">
        <f t="shared" si="5"/>
        <v>41.386347720420616</v>
      </c>
      <c r="F23" s="448">
        <f t="shared" ca="1" si="6"/>
        <v>684.89790278551209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5841.3609953126479</v>
      </c>
    </row>
    <row r="24" spans="1:17">
      <c r="A24" s="447" t="s">
        <v>187</v>
      </c>
      <c r="B24" s="448">
        <f t="shared" ca="1" si="2"/>
        <v>216.79788843840441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216.79788843840441</v>
      </c>
    </row>
    <row r="25" spans="1:17">
      <c r="A25" s="447" t="s">
        <v>105</v>
      </c>
      <c r="B25" s="448">
        <f t="shared" ca="1" si="2"/>
        <v>1988.7640914139315</v>
      </c>
      <c r="C25" s="448">
        <f t="shared" ca="1" si="3"/>
        <v>10752.171428571426</v>
      </c>
      <c r="D25" s="448">
        <f t="shared" si="4"/>
        <v>382.29967950819628</v>
      </c>
      <c r="E25" s="448">
        <f t="shared" si="5"/>
        <v>27.430522028556851</v>
      </c>
      <c r="F25" s="448">
        <f t="shared" si="6"/>
        <v>8833.9545360515331</v>
      </c>
      <c r="G25" s="448">
        <f t="shared" si="7"/>
        <v>0</v>
      </c>
      <c r="H25" s="448">
        <f t="shared" si="8"/>
        <v>0</v>
      </c>
      <c r="I25" s="448">
        <f t="shared" si="9"/>
        <v>0</v>
      </c>
      <c r="J25" s="448">
        <f t="shared" si="10"/>
        <v>510.51856650541674</v>
      </c>
      <c r="K25" s="448">
        <f t="shared" si="11"/>
        <v>0</v>
      </c>
      <c r="L25" s="448">
        <f t="shared" si="12"/>
        <v>0</v>
      </c>
      <c r="M25" s="448">
        <f t="shared" si="13"/>
        <v>0</v>
      </c>
      <c r="N25" s="448">
        <f t="shared" si="14"/>
        <v>0</v>
      </c>
      <c r="O25" s="448">
        <f t="shared" si="15"/>
        <v>0</v>
      </c>
      <c r="P25" s="449">
        <f t="shared" si="16"/>
        <v>0</v>
      </c>
      <c r="Q25" s="447">
        <f t="shared" ca="1" si="17"/>
        <v>22495.138824079062</v>
      </c>
    </row>
    <row r="26" spans="1:17">
      <c r="A26" s="447" t="s">
        <v>639</v>
      </c>
      <c r="B26" s="448">
        <f t="shared" ca="1" si="2"/>
        <v>6438.1401572477689</v>
      </c>
      <c r="C26" s="448">
        <f t="shared" ca="1" si="3"/>
        <v>0</v>
      </c>
      <c r="D26" s="448">
        <f t="shared" si="4"/>
        <v>5305.7295719018957</v>
      </c>
      <c r="E26" s="448">
        <f t="shared" si="5"/>
        <v>533.42265164370895</v>
      </c>
      <c r="F26" s="448">
        <f t="shared" si="6"/>
        <v>6099.7163781576137</v>
      </c>
      <c r="G26" s="448">
        <f t="shared" si="7"/>
        <v>0</v>
      </c>
      <c r="H26" s="448">
        <f t="shared" si="8"/>
        <v>0</v>
      </c>
      <c r="I26" s="448">
        <f t="shared" si="9"/>
        <v>0</v>
      </c>
      <c r="J26" s="448">
        <f t="shared" si="10"/>
        <v>15.961746486372366</v>
      </c>
      <c r="K26" s="448">
        <f t="shared" si="11"/>
        <v>0</v>
      </c>
      <c r="L26" s="448">
        <f t="shared" si="12"/>
        <v>0</v>
      </c>
      <c r="M26" s="448">
        <f t="shared" si="13"/>
        <v>0</v>
      </c>
      <c r="N26" s="448">
        <f t="shared" si="14"/>
        <v>0</v>
      </c>
      <c r="O26" s="448">
        <f t="shared" si="15"/>
        <v>0</v>
      </c>
      <c r="P26" s="449">
        <f t="shared" si="16"/>
        <v>0</v>
      </c>
      <c r="Q26" s="447">
        <f t="shared" ca="1" si="17"/>
        <v>18392.970505437359</v>
      </c>
    </row>
    <row r="27" spans="1:17" s="453" customFormat="1">
      <c r="A27" s="451" t="s">
        <v>557</v>
      </c>
      <c r="B27" s="761">
        <f t="shared" ca="1" si="2"/>
        <v>1.1577995680980331</v>
      </c>
      <c r="C27" s="452">
        <f t="shared" ca="1" si="3"/>
        <v>0</v>
      </c>
      <c r="D27" s="452">
        <f t="shared" si="4"/>
        <v>1.1222990304488609</v>
      </c>
      <c r="E27" s="452">
        <f t="shared" si="5"/>
        <v>44.670046489168094</v>
      </c>
      <c r="F27" s="452">
        <f t="shared" si="6"/>
        <v>0</v>
      </c>
      <c r="G27" s="452">
        <f t="shared" si="7"/>
        <v>14349.576142329091</v>
      </c>
      <c r="H27" s="452">
        <f t="shared" si="8"/>
        <v>2361.1364743497593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16757.662761766565</v>
      </c>
    </row>
    <row r="28" spans="1:17">
      <c r="A28" s="447" t="s">
        <v>547</v>
      </c>
      <c r="B28" s="448">
        <f t="shared" ca="1" si="2"/>
        <v>1.4996866250905161</v>
      </c>
      <c r="C28" s="448">
        <f t="shared" ca="1" si="3"/>
        <v>0</v>
      </c>
      <c r="D28" s="448">
        <f t="shared" si="4"/>
        <v>0</v>
      </c>
      <c r="E28" s="448">
        <f t="shared" si="5"/>
        <v>0</v>
      </c>
      <c r="F28" s="448">
        <f t="shared" si="6"/>
        <v>0</v>
      </c>
      <c r="G28" s="448">
        <f t="shared" si="7"/>
        <v>375.8058631193793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377.30554974446983</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246.14072358111738</v>
      </c>
      <c r="C32" s="448">
        <f t="shared" ca="1" si="3"/>
        <v>0</v>
      </c>
      <c r="D32" s="448">
        <f t="shared" si="4"/>
        <v>456.25317627790332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702.39389985902073</v>
      </c>
    </row>
    <row r="33" spans="1:17" s="460" customFormat="1">
      <c r="A33" s="457" t="s">
        <v>551</v>
      </c>
      <c r="B33" s="458">
        <f ca="1">SUM(B22:B32)</f>
        <v>17191.266431953667</v>
      </c>
      <c r="C33" s="458">
        <f t="shared" ref="C33:Q33" ca="1" si="18">SUM(C22:C32)</f>
        <v>10752.171428571426</v>
      </c>
      <c r="D33" s="458">
        <f t="shared" ca="1" si="18"/>
        <v>22999.021580203444</v>
      </c>
      <c r="E33" s="458">
        <f t="shared" si="18"/>
        <v>966.69427167612469</v>
      </c>
      <c r="F33" s="458">
        <f t="shared" ca="1" si="18"/>
        <v>27145.386285291188</v>
      </c>
      <c r="G33" s="458">
        <f t="shared" si="18"/>
        <v>14725.382005448471</v>
      </c>
      <c r="H33" s="458">
        <f t="shared" si="18"/>
        <v>2361.1364743497593</v>
      </c>
      <c r="I33" s="458">
        <f t="shared" si="18"/>
        <v>0</v>
      </c>
      <c r="J33" s="458">
        <f t="shared" si="18"/>
        <v>815.90510593120246</v>
      </c>
      <c r="K33" s="458">
        <f t="shared" si="18"/>
        <v>0</v>
      </c>
      <c r="L33" s="458">
        <f t="shared" ca="1" si="18"/>
        <v>0</v>
      </c>
      <c r="M33" s="458">
        <f t="shared" si="18"/>
        <v>0</v>
      </c>
      <c r="N33" s="458">
        <f t="shared" ca="1" si="18"/>
        <v>0</v>
      </c>
      <c r="O33" s="458">
        <f t="shared" si="18"/>
        <v>0</v>
      </c>
      <c r="P33" s="458">
        <f t="shared" si="18"/>
        <v>0</v>
      </c>
      <c r="Q33" s="458">
        <f t="shared" ca="1" si="18"/>
        <v>96956.963583425284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7450.105630039061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40.01250000000001</v>
      </c>
      <c r="C8" s="1020">
        <f>'SEAP template'!C76</f>
        <v>31671.000000000004</v>
      </c>
      <c r="D8" s="1020">
        <f>'SEAP template'!D76</f>
        <v>37259.999999999993</v>
      </c>
      <c r="E8" s="1020">
        <f>'SEAP template'!E76</f>
        <v>0</v>
      </c>
      <c r="F8" s="1020">
        <f>'SEAP template'!F76</f>
        <v>0</v>
      </c>
      <c r="G8" s="1020">
        <f>'SEAP template'!G76</f>
        <v>0</v>
      </c>
      <c r="H8" s="1020">
        <f>'SEAP template'!H76</f>
        <v>0</v>
      </c>
      <c r="I8" s="1020">
        <f>'SEAP template'!I76</f>
        <v>0</v>
      </c>
      <c r="J8" s="1020">
        <f>'SEAP template'!J76</f>
        <v>47.073529411764703</v>
      </c>
      <c r="K8" s="1020">
        <f>'SEAP template'!K76</f>
        <v>0</v>
      </c>
      <c r="L8" s="1020">
        <f>'SEAP template'!L76</f>
        <v>0</v>
      </c>
      <c r="M8" s="1020">
        <f>'SEAP template'!M76</f>
        <v>0</v>
      </c>
      <c r="N8" s="1020">
        <f>'SEAP template'!N76</f>
        <v>0</v>
      </c>
      <c r="O8" s="1020">
        <f>'SEAP template'!O76</f>
        <v>0</v>
      </c>
      <c r="P8" s="1021">
        <f>'SEAP template'!Q76</f>
        <v>7526.5199999999986</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7490.1181300390608</v>
      </c>
      <c r="C10" s="1024">
        <f>SUM(C4:C9)</f>
        <v>31671.000000000004</v>
      </c>
      <c r="D10" s="1024">
        <f t="shared" ref="D10:H10" si="0">SUM(D8:D9)</f>
        <v>37259.999999999993</v>
      </c>
      <c r="E10" s="1024">
        <f t="shared" si="0"/>
        <v>0</v>
      </c>
      <c r="F10" s="1024">
        <f t="shared" si="0"/>
        <v>0</v>
      </c>
      <c r="G10" s="1024">
        <f t="shared" si="0"/>
        <v>0</v>
      </c>
      <c r="H10" s="1024">
        <f t="shared" si="0"/>
        <v>0</v>
      </c>
      <c r="I10" s="1024">
        <f>SUM(I8:I9)</f>
        <v>0</v>
      </c>
      <c r="J10" s="1024">
        <f>SUM(J8:J9)</f>
        <v>47.073529411764703</v>
      </c>
      <c r="K10" s="1024">
        <f t="shared" ref="K10:L10" si="1">SUM(K8:K9)</f>
        <v>0</v>
      </c>
      <c r="L10" s="1024">
        <f t="shared" si="1"/>
        <v>0</v>
      </c>
      <c r="M10" s="1024">
        <f>SUM(M8:M9)</f>
        <v>0</v>
      </c>
      <c r="N10" s="1024">
        <f>SUM(N8:N9)</f>
        <v>0</v>
      </c>
      <c r="O10" s="1024">
        <f>SUM(O8:O9)</f>
        <v>0</v>
      </c>
      <c r="P10" s="1024">
        <f>SUM(P8:P9)</f>
        <v>7526.5199999999986</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0.20739104540110126</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57.160714285714299</v>
      </c>
      <c r="C17" s="1026">
        <f>'SEAP template'!C87</f>
        <v>45244.28571428571</v>
      </c>
      <c r="D17" s="1021">
        <f>'SEAP template'!D87</f>
        <v>53228.571428571413</v>
      </c>
      <c r="E17" s="1021">
        <f>'SEAP template'!E87</f>
        <v>0</v>
      </c>
      <c r="F17" s="1021">
        <f>'SEAP template'!F87</f>
        <v>0</v>
      </c>
      <c r="G17" s="1021">
        <f>'SEAP template'!G87</f>
        <v>0</v>
      </c>
      <c r="H17" s="1021">
        <f>'SEAP template'!H87</f>
        <v>0</v>
      </c>
      <c r="I17" s="1021">
        <f>'SEAP template'!I87</f>
        <v>0</v>
      </c>
      <c r="J17" s="1021">
        <f>'SEAP template'!J87</f>
        <v>67.247899159663859</v>
      </c>
      <c r="K17" s="1021">
        <f>'SEAP template'!K87</f>
        <v>0</v>
      </c>
      <c r="L17" s="1021">
        <f>'SEAP template'!L87</f>
        <v>0</v>
      </c>
      <c r="M17" s="1021">
        <f>'SEAP template'!M87</f>
        <v>0</v>
      </c>
      <c r="N17" s="1021">
        <f>'SEAP template'!N87</f>
        <v>0</v>
      </c>
      <c r="O17" s="1021">
        <f>'SEAP template'!O87</f>
        <v>0</v>
      </c>
      <c r="P17" s="1021">
        <f>'SEAP template'!Q87</f>
        <v>10752.171428571426</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57.160714285714299</v>
      </c>
      <c r="C20" s="1024">
        <f>SUM(C17:C19)</f>
        <v>45244.28571428571</v>
      </c>
      <c r="D20" s="1024">
        <f t="shared" ref="D20:H20" si="2">SUM(D17:D19)</f>
        <v>53228.571428571413</v>
      </c>
      <c r="E20" s="1024">
        <f t="shared" si="2"/>
        <v>0</v>
      </c>
      <c r="F20" s="1024">
        <f t="shared" si="2"/>
        <v>0</v>
      </c>
      <c r="G20" s="1024">
        <f t="shared" si="2"/>
        <v>0</v>
      </c>
      <c r="H20" s="1024">
        <f t="shared" si="2"/>
        <v>0</v>
      </c>
      <c r="I20" s="1024">
        <f>SUM(I17:I19)</f>
        <v>0</v>
      </c>
      <c r="J20" s="1024">
        <f>SUM(J17:J19)</f>
        <v>67.247899159663859</v>
      </c>
      <c r="K20" s="1024">
        <f t="shared" ref="K20:L20" si="3">SUM(K17:K19)</f>
        <v>0</v>
      </c>
      <c r="L20" s="1024">
        <f t="shared" si="3"/>
        <v>0</v>
      </c>
      <c r="M20" s="1024">
        <f>SUM(M17:M19)</f>
        <v>0</v>
      </c>
      <c r="N20" s="1024">
        <f>SUM(N17:N19)</f>
        <v>0</v>
      </c>
      <c r="O20" s="1024">
        <f>SUM(O17:O19)</f>
        <v>0</v>
      </c>
      <c r="P20" s="1024">
        <f>SUM(P17:P19)</f>
        <v>10752.171428571426</v>
      </c>
    </row>
    <row r="22" spans="1:16">
      <c r="A22" s="461" t="s">
        <v>856</v>
      </c>
      <c r="B22" s="767" t="s">
        <v>850</v>
      </c>
      <c r="C22" s="767">
        <f ca="1">'EF ele_warmte'!B22</f>
        <v>0.23734719917883412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0.20739104540110126</v>
      </c>
      <c r="C17" s="498">
        <f ca="1">'EF ele_warmte'!B22</f>
        <v>0.23734719917883412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0.20739104540110126</v>
      </c>
      <c r="C17" s="498">
        <f ca="1">'EF ele_warmte'!B22</f>
        <v>0.23734719917883412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0.20739104540110126</v>
      </c>
      <c r="C29" s="499">
        <f ca="1">'EF ele_warmte'!B22</f>
        <v>0.23734719917883412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5780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5026</v>
      </c>
      <c r="C14" s="327"/>
      <c r="D14" s="327"/>
      <c r="E14" s="327"/>
      <c r="F14" s="327"/>
    </row>
    <row r="15" spans="1:6">
      <c r="A15" s="1296" t="s">
        <v>177</v>
      </c>
      <c r="B15" s="1297">
        <v>17837</v>
      </c>
      <c r="C15" s="327"/>
      <c r="D15" s="327"/>
      <c r="E15" s="327"/>
      <c r="F15" s="327"/>
    </row>
    <row r="16" spans="1:6">
      <c r="A16" s="1296" t="s">
        <v>6</v>
      </c>
      <c r="B16" s="1297">
        <v>3723</v>
      </c>
      <c r="C16" s="327"/>
      <c r="D16" s="327"/>
      <c r="E16" s="327"/>
      <c r="F16" s="327"/>
    </row>
    <row r="17" spans="1:6">
      <c r="A17" s="1296" t="s">
        <v>7</v>
      </c>
      <c r="B17" s="1297">
        <v>607</v>
      </c>
      <c r="C17" s="327"/>
      <c r="D17" s="327"/>
      <c r="E17" s="327"/>
      <c r="F17" s="327"/>
    </row>
    <row r="18" spans="1:6">
      <c r="A18" s="1296" t="s">
        <v>8</v>
      </c>
      <c r="B18" s="1297">
        <v>2727</v>
      </c>
      <c r="C18" s="327"/>
      <c r="D18" s="327"/>
      <c r="E18" s="327"/>
      <c r="F18" s="327"/>
    </row>
    <row r="19" spans="1:6">
      <c r="A19" s="1296" t="s">
        <v>9</v>
      </c>
      <c r="B19" s="1297">
        <v>2082</v>
      </c>
      <c r="C19" s="327"/>
      <c r="D19" s="327"/>
      <c r="E19" s="327"/>
      <c r="F19" s="327"/>
    </row>
    <row r="20" spans="1:6">
      <c r="A20" s="1296" t="s">
        <v>10</v>
      </c>
      <c r="B20" s="1297">
        <v>1873</v>
      </c>
      <c r="C20" s="327"/>
      <c r="D20" s="327"/>
      <c r="E20" s="327"/>
      <c r="F20" s="327"/>
    </row>
    <row r="21" spans="1:6">
      <c r="A21" s="1296" t="s">
        <v>11</v>
      </c>
      <c r="B21" s="1297">
        <v>25293</v>
      </c>
      <c r="C21" s="327"/>
      <c r="D21" s="327"/>
      <c r="E21" s="327"/>
      <c r="F21" s="327"/>
    </row>
    <row r="22" spans="1:6">
      <c r="A22" s="1296" t="s">
        <v>12</v>
      </c>
      <c r="B22" s="1297">
        <v>57347</v>
      </c>
      <c r="C22" s="327"/>
      <c r="D22" s="327"/>
      <c r="E22" s="327"/>
      <c r="F22" s="327"/>
    </row>
    <row r="23" spans="1:6">
      <c r="A23" s="1296" t="s">
        <v>13</v>
      </c>
      <c r="B23" s="1297">
        <v>592</v>
      </c>
      <c r="C23" s="327"/>
      <c r="D23" s="327"/>
      <c r="E23" s="327"/>
      <c r="F23" s="327"/>
    </row>
    <row r="24" spans="1:6">
      <c r="A24" s="1296" t="s">
        <v>14</v>
      </c>
      <c r="B24" s="1297">
        <v>62</v>
      </c>
      <c r="C24" s="327"/>
      <c r="D24" s="327"/>
      <c r="E24" s="327"/>
      <c r="F24" s="327"/>
    </row>
    <row r="25" spans="1:6">
      <c r="A25" s="1296" t="s">
        <v>15</v>
      </c>
      <c r="B25" s="1297">
        <v>4697</v>
      </c>
      <c r="C25" s="327"/>
      <c r="D25" s="327"/>
      <c r="E25" s="327"/>
      <c r="F25" s="327"/>
    </row>
    <row r="26" spans="1:6">
      <c r="A26" s="1296" t="s">
        <v>16</v>
      </c>
      <c r="B26" s="1297">
        <v>72</v>
      </c>
      <c r="C26" s="327"/>
      <c r="D26" s="327"/>
      <c r="E26" s="327"/>
      <c r="F26" s="327"/>
    </row>
    <row r="27" spans="1:6">
      <c r="A27" s="1296" t="s">
        <v>17</v>
      </c>
      <c r="B27" s="1297">
        <v>2217</v>
      </c>
      <c r="C27" s="327"/>
      <c r="D27" s="327"/>
      <c r="E27" s="327"/>
      <c r="F27" s="327"/>
    </row>
    <row r="28" spans="1:6">
      <c r="A28" s="1296" t="s">
        <v>18</v>
      </c>
      <c r="B28" s="1298">
        <v>1323803</v>
      </c>
      <c r="C28" s="327"/>
      <c r="D28" s="327"/>
      <c r="E28" s="327"/>
      <c r="F28" s="327"/>
    </row>
    <row r="29" spans="1:6">
      <c r="A29" s="1296" t="s">
        <v>922</v>
      </c>
      <c r="B29" s="1298">
        <v>166</v>
      </c>
      <c r="C29" s="327"/>
      <c r="D29" s="327"/>
      <c r="E29" s="327"/>
      <c r="F29" s="327"/>
    </row>
    <row r="30" spans="1:6">
      <c r="A30" s="1291" t="s">
        <v>923</v>
      </c>
      <c r="B30" s="1299">
        <v>25</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221687.34289581</v>
      </c>
      <c r="E38" s="1297">
        <v>4</v>
      </c>
      <c r="F38" s="1297">
        <v>1260382.6277177299</v>
      </c>
    </row>
    <row r="39" spans="1:6">
      <c r="A39" s="1296" t="s">
        <v>29</v>
      </c>
      <c r="B39" s="1296" t="s">
        <v>30</v>
      </c>
      <c r="C39" s="1297">
        <v>3465</v>
      </c>
      <c r="D39" s="1297">
        <v>78055541.591865003</v>
      </c>
      <c r="E39" s="1297">
        <v>5438</v>
      </c>
      <c r="F39" s="1297">
        <v>24838927.840464499</v>
      </c>
    </row>
    <row r="40" spans="1:6">
      <c r="A40" s="1296" t="s">
        <v>29</v>
      </c>
      <c r="B40" s="1296" t="s">
        <v>28</v>
      </c>
      <c r="C40" s="1297">
        <v>0</v>
      </c>
      <c r="D40" s="1297">
        <v>0</v>
      </c>
      <c r="E40" s="1297">
        <v>0</v>
      </c>
      <c r="F40" s="1297">
        <v>0</v>
      </c>
    </row>
    <row r="41" spans="1:6">
      <c r="A41" s="1296" t="s">
        <v>31</v>
      </c>
      <c r="B41" s="1296" t="s">
        <v>32</v>
      </c>
      <c r="C41" s="1297">
        <v>34</v>
      </c>
      <c r="D41" s="1297">
        <v>641163.76530723996</v>
      </c>
      <c r="E41" s="1297">
        <v>121</v>
      </c>
      <c r="F41" s="1297">
        <v>2038300.60669591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76203.127675480806</v>
      </c>
      <c r="E44" s="1297">
        <v>18</v>
      </c>
      <c r="F44" s="1297">
        <v>1596025.93365753</v>
      </c>
    </row>
    <row r="45" spans="1:6">
      <c r="A45" s="1296" t="s">
        <v>31</v>
      </c>
      <c r="B45" s="1296" t="s">
        <v>36</v>
      </c>
      <c r="C45" s="1297">
        <v>0</v>
      </c>
      <c r="D45" s="1297">
        <v>0</v>
      </c>
      <c r="E45" s="1297">
        <v>3</v>
      </c>
      <c r="F45" s="1297">
        <v>1464557.8016438601</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60488.532242480498</v>
      </c>
    </row>
    <row r="48" spans="1:6">
      <c r="A48" s="1296" t="s">
        <v>31</v>
      </c>
      <c r="B48" s="1296" t="s">
        <v>28</v>
      </c>
      <c r="C48" s="1297">
        <v>54</v>
      </c>
      <c r="D48" s="1297">
        <v>28402353.705368001</v>
      </c>
      <c r="E48" s="1297">
        <v>59</v>
      </c>
      <c r="F48" s="1297">
        <v>14390082.922550701</v>
      </c>
    </row>
    <row r="49" spans="1:6">
      <c r="A49" s="1296" t="s">
        <v>31</v>
      </c>
      <c r="B49" s="1296" t="s">
        <v>39</v>
      </c>
      <c r="C49" s="1297">
        <v>0</v>
      </c>
      <c r="D49" s="1297">
        <v>0</v>
      </c>
      <c r="E49" s="1297">
        <v>0</v>
      </c>
      <c r="F49" s="1297">
        <v>0</v>
      </c>
    </row>
    <row r="50" spans="1:6">
      <c r="A50" s="1296" t="s">
        <v>31</v>
      </c>
      <c r="B50" s="1296" t="s">
        <v>40</v>
      </c>
      <c r="C50" s="1297">
        <v>0</v>
      </c>
      <c r="D50" s="1297">
        <v>0</v>
      </c>
      <c r="E50" s="1297">
        <v>14</v>
      </c>
      <c r="F50" s="1297">
        <v>11494026.0700191</v>
      </c>
    </row>
    <row r="51" spans="1:6">
      <c r="A51" s="1296" t="s">
        <v>41</v>
      </c>
      <c r="B51" s="1296" t="s">
        <v>42</v>
      </c>
      <c r="C51" s="1297">
        <v>15</v>
      </c>
      <c r="D51" s="1297">
        <v>764646.59000468196</v>
      </c>
      <c r="E51" s="1297">
        <v>221</v>
      </c>
      <c r="F51" s="1297">
        <v>8820944.9994616807</v>
      </c>
    </row>
    <row r="52" spans="1:6">
      <c r="A52" s="1296" t="s">
        <v>41</v>
      </c>
      <c r="B52" s="1296" t="s">
        <v>28</v>
      </c>
      <c r="C52" s="1297">
        <v>14</v>
      </c>
      <c r="D52" s="1297">
        <v>101653473.254124</v>
      </c>
      <c r="E52" s="1297">
        <v>23</v>
      </c>
      <c r="F52" s="1297">
        <v>768495.50684173603</v>
      </c>
    </row>
    <row r="53" spans="1:6">
      <c r="A53" s="1296" t="s">
        <v>43</v>
      </c>
      <c r="B53" s="1296" t="s">
        <v>44</v>
      </c>
      <c r="C53" s="1297">
        <v>81</v>
      </c>
      <c r="D53" s="1297">
        <v>2258679.0904846699</v>
      </c>
      <c r="E53" s="1297">
        <v>177</v>
      </c>
      <c r="F53" s="1297">
        <v>1186843.54527011</v>
      </c>
    </row>
    <row r="54" spans="1:6">
      <c r="A54" s="1296" t="s">
        <v>45</v>
      </c>
      <c r="B54" s="1296" t="s">
        <v>46</v>
      </c>
      <c r="C54" s="1297">
        <v>0</v>
      </c>
      <c r="D54" s="1297">
        <v>0</v>
      </c>
      <c r="E54" s="1297">
        <v>1</v>
      </c>
      <c r="F54" s="1297">
        <v>1045358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9</v>
      </c>
      <c r="D57" s="1297">
        <v>244828.79065763301</v>
      </c>
      <c r="E57" s="1297">
        <v>101</v>
      </c>
      <c r="F57" s="1297">
        <v>2039592.8211675701</v>
      </c>
    </row>
    <row r="58" spans="1:6">
      <c r="A58" s="1296" t="s">
        <v>48</v>
      </c>
      <c r="B58" s="1296" t="s">
        <v>50</v>
      </c>
      <c r="C58" s="1297">
        <v>3</v>
      </c>
      <c r="D58" s="1297">
        <v>908995.16230108496</v>
      </c>
      <c r="E58" s="1297">
        <v>6</v>
      </c>
      <c r="F58" s="1297">
        <v>364739.40965882799</v>
      </c>
    </row>
    <row r="59" spans="1:6">
      <c r="A59" s="1296" t="s">
        <v>48</v>
      </c>
      <c r="B59" s="1296" t="s">
        <v>51</v>
      </c>
      <c r="C59" s="1297">
        <v>13</v>
      </c>
      <c r="D59" s="1297">
        <v>392941.61948359403</v>
      </c>
      <c r="E59" s="1297">
        <v>94</v>
      </c>
      <c r="F59" s="1297">
        <v>2772158.7925212299</v>
      </c>
    </row>
    <row r="60" spans="1:6">
      <c r="A60" s="1296" t="s">
        <v>48</v>
      </c>
      <c r="B60" s="1296" t="s">
        <v>52</v>
      </c>
      <c r="C60" s="1297">
        <v>34</v>
      </c>
      <c r="D60" s="1297">
        <v>1647105.6053424301</v>
      </c>
      <c r="E60" s="1297">
        <v>57</v>
      </c>
      <c r="F60" s="1297">
        <v>1433294.82687397</v>
      </c>
    </row>
    <row r="61" spans="1:6">
      <c r="A61" s="1296" t="s">
        <v>48</v>
      </c>
      <c r="B61" s="1296" t="s">
        <v>53</v>
      </c>
      <c r="C61" s="1297">
        <v>56</v>
      </c>
      <c r="D61" s="1297">
        <v>4841832.9756890796</v>
      </c>
      <c r="E61" s="1297">
        <v>117</v>
      </c>
      <c r="F61" s="1297">
        <v>1532864.0190145101</v>
      </c>
    </row>
    <row r="62" spans="1:6">
      <c r="A62" s="1296" t="s">
        <v>48</v>
      </c>
      <c r="B62" s="1296" t="s">
        <v>54</v>
      </c>
      <c r="C62" s="1297">
        <v>3</v>
      </c>
      <c r="D62" s="1297">
        <v>90641.671711287301</v>
      </c>
      <c r="E62" s="1297">
        <v>6</v>
      </c>
      <c r="F62" s="1297">
        <v>52121.968707550397</v>
      </c>
    </row>
    <row r="63" spans="1:6">
      <c r="A63" s="1296" t="s">
        <v>48</v>
      </c>
      <c r="B63" s="1296" t="s">
        <v>28</v>
      </c>
      <c r="C63" s="1297">
        <v>148</v>
      </c>
      <c r="D63" s="1297">
        <v>6316723.2253342401</v>
      </c>
      <c r="E63" s="1297">
        <v>209</v>
      </c>
      <c r="F63" s="1297">
        <v>3780151.1232803017</v>
      </c>
    </row>
    <row r="64" spans="1:6">
      <c r="A64" s="1296" t="s">
        <v>55</v>
      </c>
      <c r="B64" s="1296" t="s">
        <v>56</v>
      </c>
      <c r="C64" s="1297">
        <v>0</v>
      </c>
      <c r="D64" s="1297">
        <v>0</v>
      </c>
      <c r="E64" s="1297">
        <v>0</v>
      </c>
      <c r="F64" s="1297">
        <v>0</v>
      </c>
    </row>
    <row r="65" spans="1:6">
      <c r="A65" s="1296" t="s">
        <v>55</v>
      </c>
      <c r="B65" s="1296" t="s">
        <v>28</v>
      </c>
      <c r="C65" s="1297">
        <v>6</v>
      </c>
      <c r="D65" s="1297">
        <v>200631.717009021</v>
      </c>
      <c r="E65" s="1297">
        <v>3</v>
      </c>
      <c r="F65" s="1297">
        <v>24574.672715309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9</v>
      </c>
      <c r="F68" s="1299">
        <v>156052.289697926</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57696457</v>
      </c>
      <c r="E73" s="446"/>
      <c r="F73" s="327"/>
    </row>
    <row r="74" spans="1:6">
      <c r="A74" s="1296" t="s">
        <v>63</v>
      </c>
      <c r="B74" s="1296" t="s">
        <v>706</v>
      </c>
      <c r="C74" s="1309" t="s">
        <v>707</v>
      </c>
      <c r="D74" s="1297">
        <v>5320526.3715106044</v>
      </c>
      <c r="E74" s="446"/>
      <c r="F74" s="327"/>
    </row>
    <row r="75" spans="1:6">
      <c r="A75" s="1296" t="s">
        <v>64</v>
      </c>
      <c r="B75" s="1296" t="s">
        <v>704</v>
      </c>
      <c r="C75" s="1309" t="s">
        <v>708</v>
      </c>
      <c r="D75" s="1297">
        <v>16665249</v>
      </c>
      <c r="E75" s="446"/>
      <c r="F75" s="327"/>
    </row>
    <row r="76" spans="1:6">
      <c r="A76" s="1296" t="s">
        <v>64</v>
      </c>
      <c r="B76" s="1296" t="s">
        <v>706</v>
      </c>
      <c r="C76" s="1309" t="s">
        <v>709</v>
      </c>
      <c r="D76" s="1297">
        <v>571897.3715106044</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391145.25697879115</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3201.2138267248051</v>
      </c>
      <c r="C91" s="327"/>
      <c r="D91" s="327"/>
      <c r="E91" s="327"/>
      <c r="F91" s="327"/>
    </row>
    <row r="92" spans="1:6">
      <c r="A92" s="1291" t="s">
        <v>68</v>
      </c>
      <c r="B92" s="1292">
        <v>4248.8918033142563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1899</v>
      </c>
      <c r="C97" s="327"/>
      <c r="D97" s="327"/>
      <c r="E97" s="327"/>
      <c r="F97" s="327"/>
    </row>
    <row r="98" spans="1:6">
      <c r="A98" s="1296" t="s">
        <v>71</v>
      </c>
      <c r="B98" s="1297">
        <v>15</v>
      </c>
      <c r="C98" s="327"/>
      <c r="D98" s="327"/>
      <c r="E98" s="327"/>
      <c r="F98" s="327"/>
    </row>
    <row r="99" spans="1:6">
      <c r="A99" s="1296" t="s">
        <v>72</v>
      </c>
      <c r="B99" s="1297">
        <v>217</v>
      </c>
      <c r="C99" s="327"/>
      <c r="D99" s="327"/>
      <c r="E99" s="327"/>
      <c r="F99" s="327"/>
    </row>
    <row r="100" spans="1:6">
      <c r="A100" s="1296" t="s">
        <v>73</v>
      </c>
      <c r="B100" s="1297">
        <v>180</v>
      </c>
      <c r="C100" s="327"/>
      <c r="D100" s="327"/>
      <c r="E100" s="327"/>
      <c r="F100" s="327"/>
    </row>
    <row r="101" spans="1:6">
      <c r="A101" s="1296" t="s">
        <v>74</v>
      </c>
      <c r="B101" s="1297">
        <v>177</v>
      </c>
      <c r="C101" s="327"/>
      <c r="D101" s="327"/>
      <c r="E101" s="327"/>
      <c r="F101" s="327"/>
    </row>
    <row r="102" spans="1:6">
      <c r="A102" s="1296" t="s">
        <v>75</v>
      </c>
      <c r="B102" s="1297">
        <v>45</v>
      </c>
      <c r="C102" s="327"/>
      <c r="D102" s="327"/>
      <c r="E102" s="327"/>
      <c r="F102" s="327"/>
    </row>
    <row r="103" spans="1:6">
      <c r="A103" s="1296" t="s">
        <v>76</v>
      </c>
      <c r="B103" s="1297">
        <v>73</v>
      </c>
      <c r="C103" s="327"/>
      <c r="D103" s="327"/>
      <c r="E103" s="327"/>
      <c r="F103" s="327"/>
    </row>
    <row r="104" spans="1:6">
      <c r="A104" s="1296" t="s">
        <v>77</v>
      </c>
      <c r="B104" s="1297">
        <v>2212</v>
      </c>
      <c r="C104" s="327"/>
      <c r="D104" s="327"/>
      <c r="E104" s="327"/>
      <c r="F104" s="327"/>
    </row>
    <row r="105" spans="1:6">
      <c r="A105" s="1291" t="s">
        <v>78</v>
      </c>
      <c r="B105" s="1299">
        <v>10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2</v>
      </c>
      <c r="C121" s="1297">
        <v>0</v>
      </c>
      <c r="D121" s="327"/>
      <c r="E121" s="327"/>
      <c r="F121" s="327"/>
    </row>
    <row r="122" spans="1:6">
      <c r="A122" s="1296" t="s">
        <v>86</v>
      </c>
      <c r="B122" s="1297">
        <v>0</v>
      </c>
      <c r="C122" s="1297">
        <v>0</v>
      </c>
      <c r="D122" s="327"/>
      <c r="E122" s="327"/>
      <c r="F122" s="327"/>
    </row>
    <row r="123" spans="1:6">
      <c r="A123" s="1296" t="s">
        <v>87</v>
      </c>
      <c r="B123" s="1297">
        <v>22</v>
      </c>
      <c r="C123" s="1297">
        <v>19</v>
      </c>
      <c r="D123" s="327"/>
      <c r="E123" s="327"/>
      <c r="F123" s="327"/>
    </row>
    <row r="124" spans="1:6">
      <c r="A124" s="1296" t="s">
        <v>88</v>
      </c>
      <c r="B124" s="1297">
        <v>0</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90</v>
      </c>
      <c r="C129" s="327"/>
      <c r="D129" s="327"/>
      <c r="E129" s="327"/>
      <c r="F129" s="327"/>
    </row>
    <row r="130" spans="1:6">
      <c r="A130" s="1296" t="s">
        <v>284</v>
      </c>
      <c r="B130" s="1297">
        <v>3</v>
      </c>
      <c r="C130" s="327"/>
      <c r="D130" s="327"/>
      <c r="E130" s="327"/>
      <c r="F130" s="327"/>
    </row>
    <row r="131" spans="1:6">
      <c r="A131" s="1296" t="s">
        <v>285</v>
      </c>
      <c r="B131" s="1297">
        <v>0</v>
      </c>
      <c r="C131" s="327"/>
      <c r="D131" s="327"/>
      <c r="E131" s="327"/>
      <c r="F131" s="327"/>
    </row>
    <row r="132" spans="1:6">
      <c r="A132" s="1291" t="s">
        <v>286</v>
      </c>
      <c r="B132" s="1292">
        <v>13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82893.002437521733</v>
      </c>
      <c r="C3" s="43" t="s">
        <v>163</v>
      </c>
      <c r="D3" s="43"/>
      <c r="E3" s="156"/>
      <c r="F3" s="43"/>
      <c r="G3" s="43"/>
      <c r="H3" s="43"/>
      <c r="I3" s="43"/>
      <c r="J3" s="43"/>
      <c r="K3" s="96"/>
    </row>
    <row r="4" spans="1:11">
      <c r="A4" s="353" t="s">
        <v>164</v>
      </c>
      <c r="B4" s="49">
        <f>IF(ISERROR('SEAP template'!B78+'SEAP template'!C78),0,'SEAP template'!B78+'SEAP template'!C78)</f>
        <v>39161.118130039067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7526.5199999999986</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0.20739104540110126</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10752.171428571426</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45301.446428571428</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0.23734719917883412</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1045.3579999999999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1045.3579999999999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0.20739104540110126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216.79788843840441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24838.927840464497</v>
      </c>
      <c r="C5" s="17">
        <f>IF(ISERROR('Eigen informatie GS &amp; warmtenet'!B57),0,'Eigen informatie GS &amp; warmtenet'!B57)</f>
        <v>0</v>
      </c>
      <c r="D5" s="30">
        <f>(SUM(HH_hh_gas_kWh,HH_rest_gas_kWh)/1000)*0.902</f>
        <v>70406.098515862235</v>
      </c>
      <c r="E5" s="17">
        <f>B32*B41</f>
        <v>1408.743188521014</v>
      </c>
      <c r="F5" s="17">
        <f>B36*B45</f>
        <v>43171.601004855918</v>
      </c>
      <c r="G5" s="18"/>
      <c r="H5" s="17"/>
      <c r="I5" s="17"/>
      <c r="J5" s="17">
        <f>B35*B44+C35*C44</f>
        <v>817.58416084580062</v>
      </c>
      <c r="K5" s="17"/>
      <c r="L5" s="17"/>
      <c r="M5" s="17"/>
      <c r="N5" s="17">
        <f>B34*B43+C34*C43</f>
        <v>9130.0000621096515</v>
      </c>
      <c r="O5" s="17">
        <f>B52*B53*B54</f>
        <v>171.96666666666667</v>
      </c>
      <c r="P5" s="17">
        <f>B60*B61*B62/1000-B60*B61*B62/1000/B63</f>
        <v>667.33333333333337</v>
      </c>
    </row>
    <row r="6" spans="1:16">
      <c r="A6" s="16" t="s">
        <v>617</v>
      </c>
      <c r="B6" s="769">
        <f>kWh_PV_kleiner_dan_10kW</f>
        <v>3201.2138267248051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28040.141667189302</v>
      </c>
      <c r="C8" s="21">
        <f>C5</f>
        <v>0</v>
      </c>
      <c r="D8" s="21">
        <f>D5</f>
        <v>70406.098515862235</v>
      </c>
      <c r="E8" s="21">
        <f>E5</f>
        <v>1408.743188521014</v>
      </c>
      <c r="F8" s="21">
        <f>F5</f>
        <v>43171.601004855918</v>
      </c>
      <c r="G8" s="21"/>
      <c r="H8" s="21"/>
      <c r="I8" s="21"/>
      <c r="J8" s="21">
        <f>J5</f>
        <v>817.58416084580062</v>
      </c>
      <c r="K8" s="21"/>
      <c r="L8" s="21">
        <f>L5</f>
        <v>0</v>
      </c>
      <c r="M8" s="21">
        <f>M5</f>
        <v>0</v>
      </c>
      <c r="N8" s="21">
        <f>N5</f>
        <v>9130.0000621096515</v>
      </c>
      <c r="O8" s="21">
        <f>O5</f>
        <v>171.96666666666667</v>
      </c>
      <c r="P8" s="21">
        <f>P5</f>
        <v>667.33333333333337</v>
      </c>
    </row>
    <row r="9" spans="1:16">
      <c r="B9" s="19"/>
      <c r="C9" s="19"/>
      <c r="D9" s="257"/>
      <c r="E9" s="19"/>
      <c r="F9" s="19"/>
      <c r="G9" s="19"/>
      <c r="H9" s="19"/>
      <c r="I9" s="19"/>
      <c r="J9" s="19"/>
      <c r="K9" s="19"/>
      <c r="L9" s="19"/>
      <c r="M9" s="19"/>
      <c r="N9" s="19"/>
      <c r="O9" s="19"/>
      <c r="P9" s="19"/>
    </row>
    <row r="10" spans="1:16">
      <c r="A10" s="24" t="s">
        <v>207</v>
      </c>
      <c r="B10" s="25">
        <f ca="1">'EF ele_warmte'!B12</f>
        <v>0.20739104540110126</v>
      </c>
      <c r="C10" s="25">
        <f ca="1">'EF ele_warmte'!B22</f>
        <v>0.23734719917883412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5815.2742935533679</v>
      </c>
      <c r="C12" s="23">
        <f ca="1">C10*C8</f>
        <v>0</v>
      </c>
      <c r="D12" s="23">
        <f>D8*D10</f>
        <v>14222.031900204172</v>
      </c>
      <c r="E12" s="23">
        <f>E10*E8</f>
        <v>319.78470379427017</v>
      </c>
      <c r="F12" s="23">
        <f>F10*F8</f>
        <v>11526.817468296531</v>
      </c>
      <c r="G12" s="23"/>
      <c r="H12" s="23"/>
      <c r="I12" s="23"/>
      <c r="J12" s="23">
        <f>J10*J8</f>
        <v>289.42479293941341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5780</v>
      </c>
      <c r="C26" s="36"/>
      <c r="D26" s="227"/>
    </row>
    <row r="27" spans="1:5" s="15" customFormat="1">
      <c r="A27" s="229" t="s">
        <v>722</v>
      </c>
      <c r="B27" s="37">
        <f>SUM(HH_hh_gas_aantal,HH_rest_gas_aantal)</f>
        <v>3465</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3291.75</v>
      </c>
      <c r="C31" s="34" t="s">
        <v>104</v>
      </c>
      <c r="D31" s="173"/>
    </row>
    <row r="32" spans="1:5">
      <c r="A32" s="170" t="s">
        <v>72</v>
      </c>
      <c r="B32" s="33">
        <f>IF((B21*($B$26-($B$27-0.05*$B$27)-$B$60))&lt;0,0,B21*($B$26-($B$27-0.05*$B$27)-$B$60))</f>
        <v>61.433212115371141</v>
      </c>
      <c r="C32" s="34" t="s">
        <v>104</v>
      </c>
      <c r="D32" s="173"/>
    </row>
    <row r="33" spans="1:6">
      <c r="A33" s="170" t="s">
        <v>73</v>
      </c>
      <c r="B33" s="33">
        <f>IF((B22*($B$26-($B$27-0.05*$B$27)-$B$60))&lt;0,0,B22*($B$26-($B$27-0.05*$B$27)-$B$60))</f>
        <v>413.51756883460791</v>
      </c>
      <c r="C33" s="34" t="s">
        <v>104</v>
      </c>
      <c r="D33" s="173"/>
    </row>
    <row r="34" spans="1:6">
      <c r="A34" s="170" t="s">
        <v>74</v>
      </c>
      <c r="B34" s="33">
        <f>IF((B24*($B$26-($B$27-0.05*$B$27)-$B$60))&lt;0,0,B24*($B$26-($B$27-0.05*$B$27)-$B$60))</f>
        <v>104.91501224460052</v>
      </c>
      <c r="C34" s="33">
        <f>B26*C24</f>
        <v>1182.3571908943418</v>
      </c>
      <c r="D34" s="232"/>
    </row>
    <row r="35" spans="1:6">
      <c r="A35" s="170" t="s">
        <v>76</v>
      </c>
      <c r="B35" s="33">
        <f>IF((B19*($B$26-($B$27-0.05*$B$27)-$B$60))&lt;0,0,B19*($B$26-($B$27-0.05*$B$27)-$B$60))</f>
        <v>38.989864767461377</v>
      </c>
      <c r="C35" s="33">
        <f>B35/2</f>
        <v>19.494932383730688</v>
      </c>
      <c r="D35" s="232"/>
    </row>
    <row r="36" spans="1:6">
      <c r="A36" s="170" t="s">
        <v>77</v>
      </c>
      <c r="B36" s="33">
        <f>IF((B18*($B$26-($B$27-0.05*$B$27)-$B$60))&lt;0,0,B18*($B$26-($B$27-0.05*$B$27)-$B$60))</f>
        <v>1834.3943420379592</v>
      </c>
      <c r="C36" s="34" t="s">
        <v>104</v>
      </c>
      <c r="D36" s="173"/>
    </row>
    <row r="37" spans="1:6">
      <c r="A37" s="170" t="s">
        <v>78</v>
      </c>
      <c r="B37" s="33">
        <f>B60</f>
        <v>35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110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11974.92296122396</v>
      </c>
      <c r="C5" s="17">
        <f>IF(ISERROR('Eigen informatie GS &amp; warmtenet'!B58),0,'Eigen informatie GS &amp; warmtenet'!B58)</f>
        <v>0</v>
      </c>
      <c r="D5" s="30">
        <f>SUM(D6:D12)</f>
        <v>13027.648283568453</v>
      </c>
      <c r="E5" s="17">
        <f>SUM(E6:E12)</f>
        <v>182.31871242476041</v>
      </c>
      <c r="F5" s="17">
        <f>SUM(F6:F12)</f>
        <v>2565.1606845899328</v>
      </c>
      <c r="G5" s="18"/>
      <c r="H5" s="17"/>
      <c r="I5" s="17"/>
      <c r="J5" s="17">
        <f>SUM(J6:J12)</f>
        <v>0</v>
      </c>
      <c r="K5" s="17"/>
      <c r="L5" s="17"/>
      <c r="M5" s="17"/>
      <c r="N5" s="17">
        <f>SUM(N6:N12)</f>
        <v>1733.0615379439341</v>
      </c>
      <c r="O5" s="17">
        <f>B38*B39*B40</f>
        <v>4.6900000000000004</v>
      </c>
      <c r="P5" s="17">
        <f>B46*B47*B48/1000-B46*B47*B48/1000/B49</f>
        <v>38.133333333333333</v>
      </c>
      <c r="R5" s="32"/>
    </row>
    <row r="6" spans="1:18">
      <c r="A6" s="32" t="s">
        <v>53</v>
      </c>
      <c r="B6" s="37">
        <f>B26</f>
        <v>1532.8640190145102</v>
      </c>
      <c r="C6" s="33"/>
      <c r="D6" s="37">
        <f>IF(ISERROR(TER_kantoor_gas_kWh/1000),0,TER_kantoor_gas_kWh/1000)*0.902</f>
        <v>4367.3333440715505</v>
      </c>
      <c r="E6" s="33">
        <f>$C$26*'E Balans VL '!I12/100/3.6*1000000</f>
        <v>5.9555012400926657</v>
      </c>
      <c r="F6" s="33">
        <f>$C$26*('E Balans VL '!L12+'E Balans VL '!N12)/100/3.6*1000000</f>
        <v>233.13466934156105</v>
      </c>
      <c r="G6" s="34"/>
      <c r="H6" s="33"/>
      <c r="I6" s="33"/>
      <c r="J6" s="33">
        <f>$C$26*('E Balans VL '!D12+'E Balans VL '!E12)/100/3.6*1000000</f>
        <v>0</v>
      </c>
      <c r="K6" s="33"/>
      <c r="L6" s="33"/>
      <c r="M6" s="33"/>
      <c r="N6" s="33">
        <f>$C$26*'E Balans VL '!Y12/100/3.6*1000000</f>
        <v>0.84479170706416351</v>
      </c>
      <c r="O6" s="33"/>
      <c r="P6" s="33"/>
      <c r="R6" s="32"/>
    </row>
    <row r="7" spans="1:18">
      <c r="A7" s="32" t="s">
        <v>52</v>
      </c>
      <c r="B7" s="37">
        <f t="shared" ref="B7:B12" si="0">B27</f>
        <v>1433.2948268739699</v>
      </c>
      <c r="C7" s="33"/>
      <c r="D7" s="37">
        <f>IF(ISERROR(TER_horeca_gas_kWh/1000),0,TER_horeca_gas_kWh/1000)*0.902</f>
        <v>1485.6892560188719</v>
      </c>
      <c r="E7" s="33">
        <f>$C$27*'E Balans VL '!I9/100/3.6*1000000</f>
        <v>80.737880797357988</v>
      </c>
      <c r="F7" s="33">
        <f>$C$27*('E Balans VL '!L9+'E Balans VL '!N9)/100/3.6*1000000</f>
        <v>413.27641846088517</v>
      </c>
      <c r="G7" s="34"/>
      <c r="H7" s="33"/>
      <c r="I7" s="33"/>
      <c r="J7" s="33">
        <f>$C$27*('E Balans VL '!D9+'E Balans VL '!E9)/100/3.6*1000000</f>
        <v>0</v>
      </c>
      <c r="K7" s="33"/>
      <c r="L7" s="33"/>
      <c r="M7" s="33"/>
      <c r="N7" s="33">
        <f>$C$27*'E Balans VL '!Y9/100/3.6*1000000</f>
        <v>0.39572525359921379</v>
      </c>
      <c r="O7" s="33"/>
      <c r="P7" s="33"/>
      <c r="R7" s="32"/>
    </row>
    <row r="8" spans="1:18">
      <c r="A8" s="6" t="s">
        <v>51</v>
      </c>
      <c r="B8" s="37">
        <f t="shared" si="0"/>
        <v>2772.1587925212298</v>
      </c>
      <c r="C8" s="33"/>
      <c r="D8" s="37">
        <f>IF(ISERROR(TER_handel_gas_kWh/1000),0,TER_handel_gas_kWh/1000)*0.902</f>
        <v>354.43334077420184</v>
      </c>
      <c r="E8" s="33">
        <f>$C$28*'E Balans VL '!I13/100/3.6*1000000</f>
        <v>39.956213199445294</v>
      </c>
      <c r="F8" s="33">
        <f>$C$28*('E Balans VL '!L13+'E Balans VL '!N13)/100/3.6*1000000</f>
        <v>481.58854148283331</v>
      </c>
      <c r="G8" s="34"/>
      <c r="H8" s="33"/>
      <c r="I8" s="33"/>
      <c r="J8" s="33">
        <f>$C$28*('E Balans VL '!D13+'E Balans VL '!E13)/100/3.6*1000000</f>
        <v>0</v>
      </c>
      <c r="K8" s="33"/>
      <c r="L8" s="33"/>
      <c r="M8" s="33"/>
      <c r="N8" s="33">
        <f>$C$28*'E Balans VL '!Y13/100/3.6*1000000</f>
        <v>8.3056963454676609</v>
      </c>
      <c r="O8" s="33"/>
      <c r="P8" s="33"/>
      <c r="R8" s="32"/>
    </row>
    <row r="9" spans="1:18">
      <c r="A9" s="32" t="s">
        <v>50</v>
      </c>
      <c r="B9" s="37">
        <f t="shared" si="0"/>
        <v>364.73940965882798</v>
      </c>
      <c r="C9" s="33"/>
      <c r="D9" s="37">
        <f>IF(ISERROR(TER_gezond_gas_kWh/1000),0,TER_gezond_gas_kWh/1000)*0.902</f>
        <v>819.91363639557869</v>
      </c>
      <c r="E9" s="33">
        <f>$C$29*'E Balans VL '!I10/100/3.6*1000000</f>
        <v>0.3896362264988511</v>
      </c>
      <c r="F9" s="33">
        <f>$C$29*('E Balans VL '!L10+'E Balans VL '!N10)/100/3.6*1000000</f>
        <v>59.500082561975901</v>
      </c>
      <c r="G9" s="34"/>
      <c r="H9" s="33"/>
      <c r="I9" s="33"/>
      <c r="J9" s="33">
        <f>$C$29*('E Balans VL '!D10+'E Balans VL '!E10)/100/3.6*1000000</f>
        <v>0</v>
      </c>
      <c r="K9" s="33"/>
      <c r="L9" s="33"/>
      <c r="M9" s="33"/>
      <c r="N9" s="33">
        <f>$C$29*'E Balans VL '!Y10/100/3.6*1000000</f>
        <v>3.7547841062824636</v>
      </c>
      <c r="O9" s="33"/>
      <c r="P9" s="33"/>
      <c r="R9" s="32"/>
    </row>
    <row r="10" spans="1:18">
      <c r="A10" s="32" t="s">
        <v>49</v>
      </c>
      <c r="B10" s="37">
        <f t="shared" si="0"/>
        <v>2039.59282116757</v>
      </c>
      <c r="C10" s="33"/>
      <c r="D10" s="37">
        <f>IF(ISERROR(TER_ander_gas_kWh/1000),0,TER_ander_gas_kWh/1000)*0.902</f>
        <v>220.83556917318498</v>
      </c>
      <c r="E10" s="33">
        <f>$C$30*'E Balans VL '!I14/100/3.6*1000000</f>
        <v>9.3797771394509315</v>
      </c>
      <c r="F10" s="33">
        <f>$C$30*('E Balans VL '!L14+'E Balans VL '!N14)/100/3.6*1000000</f>
        <v>611.33030304377928</v>
      </c>
      <c r="G10" s="34"/>
      <c r="H10" s="33"/>
      <c r="I10" s="33"/>
      <c r="J10" s="33">
        <f>$C$30*('E Balans VL '!D14+'E Balans VL '!E14)/100/3.6*1000000</f>
        <v>0</v>
      </c>
      <c r="K10" s="33"/>
      <c r="L10" s="33"/>
      <c r="M10" s="33"/>
      <c r="N10" s="33">
        <f>$C$30*'E Balans VL '!Y14/100/3.6*1000000</f>
        <v>1419.6912386225595</v>
      </c>
      <c r="O10" s="33"/>
      <c r="P10" s="33"/>
      <c r="R10" s="32"/>
    </row>
    <row r="11" spans="1:18">
      <c r="A11" s="32" t="s">
        <v>54</v>
      </c>
      <c r="B11" s="37">
        <f t="shared" si="0"/>
        <v>52.121968707550394</v>
      </c>
      <c r="C11" s="33"/>
      <c r="D11" s="37">
        <f>IF(ISERROR(TER_onderwijs_gas_kWh/1000),0,TER_onderwijs_gas_kWh/1000)*0.902</f>
        <v>81.758787883581149</v>
      </c>
      <c r="E11" s="33">
        <f>$C$31*'E Balans VL '!I11/100/3.6*1000000</f>
        <v>4.8349980472676329E-2</v>
      </c>
      <c r="F11" s="33">
        <f>$C$31*('E Balans VL '!L11+'E Balans VL '!N11)/100/3.6*1000000</f>
        <v>18.309249669638866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3780.1511232803018</v>
      </c>
      <c r="C12" s="33"/>
      <c r="D12" s="37">
        <f>IF(ISERROR(TER_rest_gas_kWh/1000),0,TER_rest_gas_kWh/1000)*0.902</f>
        <v>5697.6843492514845</v>
      </c>
      <c r="E12" s="33">
        <f>$C$32*'E Balans VL '!I8/100/3.6*1000000</f>
        <v>45.85135384144202</v>
      </c>
      <c r="F12" s="33">
        <f>$C$32*('E Balans VL '!L8+'E Balans VL '!N8)/100/3.6*1000000</f>
        <v>748.02142002925916</v>
      </c>
      <c r="G12" s="34"/>
      <c r="H12" s="33"/>
      <c r="I12" s="33"/>
      <c r="J12" s="33">
        <f>$C$32*('E Balans VL '!D8+'E Balans VL '!E8)/100/3.6*1000000</f>
        <v>0</v>
      </c>
      <c r="K12" s="33"/>
      <c r="L12" s="33"/>
      <c r="M12" s="33"/>
      <c r="N12" s="33">
        <f>$C$32*'E Balans VL '!Y8/100/3.6*1000000</f>
        <v>300.06930190896105</v>
      </c>
      <c r="O12" s="33"/>
      <c r="P12" s="33"/>
      <c r="R12" s="32"/>
    </row>
    <row r="13" spans="1:18">
      <c r="A13" s="16" t="s">
        <v>484</v>
      </c>
      <c r="B13" s="245">
        <f ca="1">'lokale energieproductie'!N40+'lokale energieproductie'!N33</f>
        <v>0</v>
      </c>
      <c r="C13" s="245">
        <f ca="1">'lokale energieproductie'!O40+'lokale energieproductie'!O33</f>
        <v>0</v>
      </c>
      <c r="D13" s="305">
        <f ca="1">('lokale energieproductie'!P33+'lokale energieproductie'!P40)*(-1)</f>
        <v>0</v>
      </c>
      <c r="E13" s="246"/>
      <c r="F13" s="305">
        <f ca="1">('lokale energieproductie'!S33+'lokale energieproductie'!S40)*(-1)</f>
        <v>0</v>
      </c>
      <c r="G13" s="247"/>
      <c r="H13" s="246"/>
      <c r="I13" s="246"/>
      <c r="J13" s="246"/>
      <c r="K13" s="246"/>
      <c r="L13" s="305">
        <f ca="1">('lokale energieproductie'!U33+'lokale energieproductie'!T33+'lokale energieproductie'!U40+'lokale energieproductie'!T40)*(-1)</f>
        <v>0</v>
      </c>
      <c r="M13" s="246"/>
      <c r="N13" s="305">
        <f ca="1">('lokale energieproductie'!Q33+'lokale energieproductie'!R33+'lokale energieproductie'!V33+'lokale energieproductie'!Q40+'lokale energieproductie'!R40+'lokale energieproductie'!V40)*(-1)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11974.92296122396</v>
      </c>
      <c r="C16" s="21">
        <f t="shared" ca="1" si="1"/>
        <v>0</v>
      </c>
      <c r="D16" s="21">
        <f t="shared" ca="1" si="1"/>
        <v>13027.648283568453</v>
      </c>
      <c r="E16" s="21">
        <f t="shared" si="1"/>
        <v>182.31871242476041</v>
      </c>
      <c r="F16" s="21">
        <f t="shared" ca="1" si="1"/>
        <v>2565.1606845899328</v>
      </c>
      <c r="G16" s="21">
        <f t="shared" si="1"/>
        <v>0</v>
      </c>
      <c r="H16" s="21">
        <f t="shared" si="1"/>
        <v>0</v>
      </c>
      <c r="I16" s="21">
        <f t="shared" si="1"/>
        <v>0</v>
      </c>
      <c r="J16" s="21">
        <f t="shared" si="1"/>
        <v>0</v>
      </c>
      <c r="K16" s="21">
        <f t="shared" si="1"/>
        <v>0</v>
      </c>
      <c r="L16" s="21">
        <f t="shared" ca="1" si="1"/>
        <v>0</v>
      </c>
      <c r="M16" s="21">
        <f t="shared" si="1"/>
        <v>0</v>
      </c>
      <c r="N16" s="21">
        <f t="shared" ca="1" si="1"/>
        <v>1733.0615379439341</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0.20739104540110126</v>
      </c>
      <c r="C18" s="25">
        <f ca="1">'EF ele_warmte'!B22</f>
        <v>0.23734719917883412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2483.4917915258879</v>
      </c>
      <c r="C20" s="23">
        <f t="shared" ref="C20:P20" ca="1" si="2">C16*C18</f>
        <v>0</v>
      </c>
      <c r="D20" s="23">
        <f t="shared" ca="1" si="2"/>
        <v>2631.5849532808274</v>
      </c>
      <c r="E20" s="23">
        <f t="shared" si="2"/>
        <v>41.386347720420616</v>
      </c>
      <c r="F20" s="23">
        <f t="shared" ca="1" si="2"/>
        <v>684.89790278551209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1532.8640190145102</v>
      </c>
      <c r="C26" s="39">
        <f>IF(ISERROR(B26*3.6/1000000/'E Balans VL '!Z12*100),0,B26*3.6/1000000/'E Balans VL '!Z12*100)</f>
        <v>3.2558791045997883E-2</v>
      </c>
      <c r="D26" s="235" t="s">
        <v>672</v>
      </c>
      <c r="F26" s="6"/>
    </row>
    <row r="27" spans="1:18">
      <c r="A27" s="230" t="s">
        <v>52</v>
      </c>
      <c r="B27" s="33">
        <f>IF(ISERROR(TER_horeca_ele_kWh/1000),0,TER_horeca_ele_kWh/1000)</f>
        <v>1433.2948268739699</v>
      </c>
      <c r="C27" s="39">
        <f>IF(ISERROR(B27*3.6/1000000/'E Balans VL '!Z9*100),0,B27*3.6/1000000/'E Balans VL '!Z9*100)</f>
        <v>0.11144740166716778</v>
      </c>
      <c r="D27" s="235" t="s">
        <v>672</v>
      </c>
      <c r="F27" s="6"/>
    </row>
    <row r="28" spans="1:18">
      <c r="A28" s="170" t="s">
        <v>51</v>
      </c>
      <c r="B28" s="33">
        <f>IF(ISERROR(TER_handel_ele_kWh/1000),0,TER_handel_ele_kWh/1000)</f>
        <v>2772.1587925212298</v>
      </c>
      <c r="C28" s="39">
        <f>IF(ISERROR(B28*3.6/1000000/'E Balans VL '!Z13*100),0,B28*3.6/1000000/'E Balans VL '!Z13*100)</f>
        <v>7.9314725558566293E-2</v>
      </c>
      <c r="D28" s="235" t="s">
        <v>672</v>
      </c>
      <c r="F28" s="6"/>
    </row>
    <row r="29" spans="1:18">
      <c r="A29" s="230" t="s">
        <v>50</v>
      </c>
      <c r="B29" s="33">
        <f>IF(ISERROR(TER_gezond_ele_kWh/1000),0,TER_gezond_ele_kWh/1000)</f>
        <v>364.73940965882798</v>
      </c>
      <c r="C29" s="39">
        <f>IF(ISERROR(B29*3.6/1000000/'E Balans VL '!Z10*100),0,B29*3.6/1000000/'E Balans VL '!Z10*100)</f>
        <v>3.9765071180207244E-2</v>
      </c>
      <c r="D29" s="235" t="s">
        <v>672</v>
      </c>
      <c r="F29" s="6"/>
    </row>
    <row r="30" spans="1:18">
      <c r="A30" s="230" t="s">
        <v>49</v>
      </c>
      <c r="B30" s="33">
        <f>IF(ISERROR(TER_ander_ele_kWh/1000),0,TER_ander_ele_kWh/1000)</f>
        <v>2039.59282116757</v>
      </c>
      <c r="C30" s="39">
        <f>IF(ISERROR(B30*3.6/1000000/'E Balans VL '!Z14*100),0,B30*3.6/1000000/'E Balans VL '!Z14*100)</f>
        <v>0.1492527759464061</v>
      </c>
      <c r="D30" s="235" t="s">
        <v>672</v>
      </c>
      <c r="F30" s="6"/>
    </row>
    <row r="31" spans="1:18">
      <c r="A31" s="230" t="s">
        <v>54</v>
      </c>
      <c r="B31" s="33">
        <f>IF(ISERROR(TER_onderwijs_ele_kWh/1000),0,TER_onderwijs_ele_kWh/1000)</f>
        <v>52.121968707550394</v>
      </c>
      <c r="C31" s="39">
        <f>IF(ISERROR(B31*3.6/1000000/'E Balans VL '!Z11*100),0,B31*3.6/1000000/'E Balans VL '!Z11*100)</f>
        <v>1.0468736119618181E-2</v>
      </c>
      <c r="D31" s="235" t="s">
        <v>672</v>
      </c>
    </row>
    <row r="32" spans="1:18">
      <c r="A32" s="230" t="s">
        <v>249</v>
      </c>
      <c r="B32" s="33">
        <f>IF(ISERROR(TER_rest_ele_kWh/1000),0,TER_rest_ele_kWh/1000)</f>
        <v>3780.1511232803018</v>
      </c>
      <c r="C32" s="39">
        <f>IF(ISERROR(B32*3.6/1000000/'E Balans VL '!Z8*100),0,B32*3.6/1000000/'E Balans VL '!Z8*100)</f>
        <v>3.0805937597576934E-2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3</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31043.48186680958</v>
      </c>
      <c r="C5" s="17">
        <f>IF(ISERROR('Eigen informatie GS &amp; warmtenet'!B59),0,'Eigen informatie GS &amp; warmtenet'!B59)</f>
        <v>0</v>
      </c>
      <c r="D5" s="30">
        <f>SUM(D6:D15)</f>
        <v>26265.987979712354</v>
      </c>
      <c r="E5" s="17">
        <f>SUM(E6:E15)</f>
        <v>2349.8795226595107</v>
      </c>
      <c r="F5" s="17">
        <f>SUM(F6:F15)</f>
        <v>22845.379693474206</v>
      </c>
      <c r="G5" s="18"/>
      <c r="H5" s="17"/>
      <c r="I5" s="17"/>
      <c r="J5" s="17">
        <f>SUM(J6:J15)</f>
        <v>45.089679340034934</v>
      </c>
      <c r="K5" s="17"/>
      <c r="L5" s="17"/>
      <c r="M5" s="17"/>
      <c r="N5" s="17">
        <f>SUM(N6:N15)</f>
        <v>4271.1991519691474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1596.02593365753</v>
      </c>
      <c r="C8" s="33"/>
      <c r="D8" s="37">
        <f>IF( ISERROR(IND_metaal_Gas_kWH/1000),0,IND_metaal_Gas_kWH/1000)*0.902</f>
        <v>68.735221163283683</v>
      </c>
      <c r="E8" s="33">
        <f>C30*'E Balans VL '!I18/100/3.6*1000000</f>
        <v>45.843855561063094</v>
      </c>
      <c r="F8" s="33">
        <f>C30*'E Balans VL '!L18/100/3.6*1000000+C30*'E Balans VL '!N18/100/3.6*1000000</f>
        <v>409.34995599309207</v>
      </c>
      <c r="G8" s="34"/>
      <c r="H8" s="33"/>
      <c r="I8" s="33"/>
      <c r="J8" s="40">
        <f>C30*'E Balans VL '!D18/100/3.6*1000000+C30*'E Balans VL '!E18/100/3.6*1000000</f>
        <v>0</v>
      </c>
      <c r="K8" s="33"/>
      <c r="L8" s="33"/>
      <c r="M8" s="33"/>
      <c r="N8" s="33">
        <f>C30*'E Balans VL '!Y18/100/3.6*1000000</f>
        <v>43.335362049311534</v>
      </c>
      <c r="O8" s="33"/>
      <c r="P8" s="33"/>
      <c r="R8" s="32"/>
    </row>
    <row r="9" spans="1:18">
      <c r="A9" s="6" t="s">
        <v>32</v>
      </c>
      <c r="B9" s="37">
        <f t="shared" si="0"/>
        <v>2038.3006066959099</v>
      </c>
      <c r="C9" s="33"/>
      <c r="D9" s="37">
        <f>IF( ISERROR(IND_andere_gas_kWh/1000),0,IND_andere_gas_kWh/1000)*0.902</f>
        <v>578.32971630713041</v>
      </c>
      <c r="E9" s="33">
        <f>C31*'E Balans VL '!I19/100/3.6*1000000</f>
        <v>551.71785845312547</v>
      </c>
      <c r="F9" s="33">
        <f>C31*'E Balans VL '!L19/100/3.6*1000000+C31*'E Balans VL '!N19/100/3.6*1000000</f>
        <v>1357.7239013207197</v>
      </c>
      <c r="G9" s="34"/>
      <c r="H9" s="33"/>
      <c r="I9" s="33"/>
      <c r="J9" s="40">
        <f>C31*'E Balans VL '!D19/100/3.6*1000000+C31*'E Balans VL '!E19/100/3.6*1000000</f>
        <v>0</v>
      </c>
      <c r="K9" s="33"/>
      <c r="L9" s="33"/>
      <c r="M9" s="33"/>
      <c r="N9" s="33">
        <f>C31*'E Balans VL '!Y19/100/3.6*1000000</f>
        <v>172.32481409648699</v>
      </c>
      <c r="O9" s="33"/>
      <c r="P9" s="33"/>
      <c r="R9" s="32"/>
    </row>
    <row r="10" spans="1:18">
      <c r="A10" s="6" t="s">
        <v>40</v>
      </c>
      <c r="B10" s="37">
        <f t="shared" si="0"/>
        <v>11494.026070019099</v>
      </c>
      <c r="C10" s="33"/>
      <c r="D10" s="37">
        <f>IF( ISERROR(IND_voed_gas_kWh/1000),0,IND_voed_gas_kWh/1000)*0.902</f>
        <v>0</v>
      </c>
      <c r="E10" s="33">
        <f>C32*'E Balans VL '!I20/100/3.6*1000000</f>
        <v>937.47917310851187</v>
      </c>
      <c r="F10" s="33">
        <f>C32*'E Balans VL '!L20/100/3.6*1000000+C32*'E Balans VL '!N20/100/3.6*1000000</f>
        <v>17138.635699817609</v>
      </c>
      <c r="G10" s="34"/>
      <c r="H10" s="33"/>
      <c r="I10" s="33"/>
      <c r="J10" s="40">
        <f>C32*'E Balans VL '!D20/100/3.6*1000000+C32*'E Balans VL '!E20/100/3.6*1000000</f>
        <v>0.15205201303035637</v>
      </c>
      <c r="K10" s="33"/>
      <c r="L10" s="33"/>
      <c r="M10" s="33"/>
      <c r="N10" s="33">
        <f>C32*'E Balans VL '!Y20/100/3.6*1000000</f>
        <v>3376.5392789244715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1464.5578016438601</v>
      </c>
      <c r="C12" s="33"/>
      <c r="D12" s="37">
        <f>IF( ISERROR(IND_min_gas_kWh/1000),0,IND_min_gas_kWh/1000)*0.902</f>
        <v>0</v>
      </c>
      <c r="E12" s="33">
        <f>C34*'E Balans VL '!I22/100/3.6*1000000</f>
        <v>11.408586161243935</v>
      </c>
      <c r="F12" s="33">
        <f>C34*'E Balans VL '!L22/100/3.6*1000000+C34*'E Balans VL '!N22/100/3.6*1000000</f>
        <v>552.34120295435639</v>
      </c>
      <c r="G12" s="34"/>
      <c r="H12" s="33"/>
      <c r="I12" s="33"/>
      <c r="J12" s="40">
        <f>C34*'E Balans VL '!D22/100/3.6*1000000+C34*'E Balans VL '!E22/100/3.6*1000000</f>
        <v>8.0549398584652359</v>
      </c>
      <c r="K12" s="33"/>
      <c r="L12" s="33"/>
      <c r="M12" s="33"/>
      <c r="N12" s="33">
        <f>C34*'E Balans VL '!Y22/100/3.6*1000000</f>
        <v>0</v>
      </c>
      <c r="O12" s="33"/>
      <c r="P12" s="33"/>
      <c r="R12" s="32"/>
    </row>
    <row r="13" spans="1:18">
      <c r="A13" s="6" t="s">
        <v>38</v>
      </c>
      <c r="B13" s="37">
        <f t="shared" si="0"/>
        <v>60.488532242480495</v>
      </c>
      <c r="C13" s="33"/>
      <c r="D13" s="37">
        <f>IF( ISERROR(IND_papier_gas_kWh/1000),0,IND_papier_gas_kWh/1000)*0.902</f>
        <v>0</v>
      </c>
      <c r="E13" s="33">
        <f>C35*'E Balans VL '!I23/100/3.6*1000000</f>
        <v>0.63372757189730089</v>
      </c>
      <c r="F13" s="33">
        <f>C35*'E Balans VL '!L23/100/3.6*1000000+C35*'E Balans VL '!N23/100/3.6*1000000</f>
        <v>4.5136649972862761</v>
      </c>
      <c r="G13" s="34"/>
      <c r="H13" s="33"/>
      <c r="I13" s="33"/>
      <c r="J13" s="40">
        <f>C35*'E Balans VL '!D23/100/3.6*1000000+C35*'E Balans VL '!E23/100/3.6*1000000</f>
        <v>0</v>
      </c>
      <c r="K13" s="33"/>
      <c r="L13" s="33"/>
      <c r="M13" s="33"/>
      <c r="N13" s="33">
        <f>C35*'E Balans VL '!Y23/100/3.6*1000000</f>
        <v>11.158826286570859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14390.0829225507</v>
      </c>
      <c r="C15" s="33"/>
      <c r="D15" s="37">
        <f>IF( ISERROR(IND_rest_gas_kWh/1000),0,IND_rest_gas_kWh/1000)*0.902</f>
        <v>25618.923042241939</v>
      </c>
      <c r="E15" s="33">
        <f>C37*'E Balans VL '!I15/100/3.6*1000000</f>
        <v>802.79632180366912</v>
      </c>
      <c r="F15" s="33">
        <f>C37*'E Balans VL '!L15/100/3.6*1000000+C37*'E Balans VL '!N15/100/3.6*1000000</f>
        <v>3382.8152683911449</v>
      </c>
      <c r="G15" s="34"/>
      <c r="H15" s="33"/>
      <c r="I15" s="33"/>
      <c r="J15" s="40">
        <f>C37*'E Balans VL '!D15/100/3.6*1000000+C37*'E Balans VL '!E15/100/3.6*1000000</f>
        <v>36.882687468539345</v>
      </c>
      <c r="K15" s="33"/>
      <c r="L15" s="33"/>
      <c r="M15" s="33"/>
      <c r="N15" s="33">
        <f>C37*'E Balans VL '!Y15/100/3.6*1000000</f>
        <v>667.84087061230662</v>
      </c>
      <c r="O15" s="33"/>
      <c r="P15" s="33"/>
      <c r="R15" s="32"/>
    </row>
    <row r="16" spans="1:18">
      <c r="A16" s="16" t="s">
        <v>484</v>
      </c>
      <c r="B16" s="245">
        <f>'lokale energieproductie'!N39+'lokale energieproductie'!N32</f>
        <v>0</v>
      </c>
      <c r="C16" s="245">
        <f>'lokale energieproductie'!O39+'lokale energieproductie'!O32</f>
        <v>0</v>
      </c>
      <c r="D16" s="305">
        <f>('lokale energieproductie'!P32+'lokale energieproductie'!P39)*(-1)</f>
        <v>0</v>
      </c>
      <c r="E16" s="246"/>
      <c r="F16" s="305">
        <f>('lokale energieproductie'!S32+'lokale energieproductie'!S39)*(-1)</f>
        <v>0</v>
      </c>
      <c r="G16" s="247"/>
      <c r="H16" s="246"/>
      <c r="I16" s="246"/>
      <c r="J16" s="246"/>
      <c r="K16" s="246"/>
      <c r="L16" s="305">
        <f>('lokale energieproductie'!T32+'lokale energieproductie'!U32+'lokale energieproductie'!T39+'lokale energieproductie'!U39)*(-1)</f>
        <v>0</v>
      </c>
      <c r="M16" s="246"/>
      <c r="N16" s="305">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31043.48186680958</v>
      </c>
      <c r="C18" s="21">
        <f>C5+C16</f>
        <v>0</v>
      </c>
      <c r="D18" s="21">
        <f>MAX((D5+D16),0)</f>
        <v>26265.987979712354</v>
      </c>
      <c r="E18" s="21">
        <f>MAX((E5+E16),0)</f>
        <v>2349.8795226595107</v>
      </c>
      <c r="F18" s="21">
        <f>MAX((F5+F16),0)</f>
        <v>22845.379693474206</v>
      </c>
      <c r="G18" s="21"/>
      <c r="H18" s="21"/>
      <c r="I18" s="21"/>
      <c r="J18" s="21">
        <f>MAX((J5+J16),0)</f>
        <v>45.089679340034934</v>
      </c>
      <c r="K18" s="21"/>
      <c r="L18" s="21">
        <f>MAX((L5+L16),0)</f>
        <v>0</v>
      </c>
      <c r="M18" s="21"/>
      <c r="N18" s="21">
        <f>MAX((N5+N16),0)</f>
        <v>4271.1991519691474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0.20739104540110126</v>
      </c>
      <c r="C20" s="25">
        <f ca="1">'EF ele_warmte'!B22</f>
        <v>0.23734719917883412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6438.1401572477689</v>
      </c>
      <c r="C22" s="23">
        <f ca="1">C18*C20</f>
        <v>0</v>
      </c>
      <c r="D22" s="23">
        <f>D18*D20</f>
        <v>5305.7295719018957</v>
      </c>
      <c r="E22" s="23">
        <f>E18*E20</f>
        <v>533.42265164370895</v>
      </c>
      <c r="F22" s="23">
        <f>F18*F20</f>
        <v>6099.7163781576137</v>
      </c>
      <c r="G22" s="23"/>
      <c r="H22" s="23"/>
      <c r="I22" s="23"/>
      <c r="J22" s="23">
        <f>J18*J20</f>
        <v>15.961746486372366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1596.02593365753</v>
      </c>
      <c r="C30" s="39">
        <f>IF(ISERROR(B30*3.6/1000000/'E Balans VL '!Z18*100),0,B30*3.6/1000000/'E Balans VL '!Z18*100)</f>
        <v>0.15704487765169886</v>
      </c>
      <c r="D30" s="235" t="s">
        <v>672</v>
      </c>
    </row>
    <row r="31" spans="1:18">
      <c r="A31" s="6" t="s">
        <v>32</v>
      </c>
      <c r="B31" s="37">
        <f>IF( ISERROR(IND_ander_ele_kWh/1000),0,IND_ander_ele_kWh/1000)</f>
        <v>2038.3006066959099</v>
      </c>
      <c r="C31" s="39">
        <f>IF(ISERROR(B31*3.6/1000000/'E Balans VL '!Z19*100),0,B31*3.6/1000000/'E Balans VL '!Z19*100)</f>
        <v>8.8766365485229454E-2</v>
      </c>
      <c r="D31" s="235" t="s">
        <v>672</v>
      </c>
    </row>
    <row r="32" spans="1:18">
      <c r="A32" s="170" t="s">
        <v>40</v>
      </c>
      <c r="B32" s="37">
        <f>IF( ISERROR(IND_voed_ele_kWh/1000),0,IND_voed_ele_kWh/1000)</f>
        <v>11494.026070019099</v>
      </c>
      <c r="C32" s="39">
        <f>IF(ISERROR(B32*3.6/1000000/'E Balans VL '!Z20*100),0,B32*3.6/1000000/'E Balans VL '!Z20*100)</f>
        <v>2.1808256848974557</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1464.5578016438601</v>
      </c>
      <c r="C34" s="39">
        <f>IF(ISERROR(B34*3.6/1000000/'E Balans VL '!Z22*100),0,B34*3.6/1000000/'E Balans VL '!Z22*100)</f>
        <v>0.20593153354217059</v>
      </c>
      <c r="D34" s="235" t="s">
        <v>672</v>
      </c>
    </row>
    <row r="35" spans="1:5">
      <c r="A35" s="170" t="s">
        <v>38</v>
      </c>
      <c r="B35" s="37">
        <f>IF( ISERROR(IND_papier_ele_kWh/1000),0,IND_papier_ele_kWh/1000)</f>
        <v>60.488532242480495</v>
      </c>
      <c r="C35" s="39">
        <f>IF(ISERROR(B35*3.6/1000000/'E Balans VL '!Z22*100),0,B35*3.6/1000000/'E Balans VL '!Z22*100)</f>
        <v>8.5052950402008873E-3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14390.0829225507</v>
      </c>
      <c r="C37" s="39">
        <f>IF(ISERROR(B37*3.6/1000000/'E Balans VL '!Z15*100),0,B37*3.6/1000000/'E Balans VL '!Z15*100)</f>
        <v>0.11089326358333505</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9589.4405063034174</v>
      </c>
      <c r="C5" s="17">
        <f>'Eigen informatie GS &amp; warmtenet'!B60</f>
        <v>0</v>
      </c>
      <c r="D5" s="30">
        <f>IF(ISERROR(SUM(LB_lb_gas_kWh,LB_rest_gas_kWh)/1000),0,SUM(LB_lb_gas_kWh,LB_rest_gas_kWh)/1000)*0.902</f>
        <v>92381.144099404075</v>
      </c>
      <c r="E5" s="17">
        <f>B17*'E Balans VL '!I25/3.6*1000000/100</f>
        <v>120.83930409055881</v>
      </c>
      <c r="F5" s="17">
        <f>B17*('E Balans VL '!L25/3.6*1000000+'E Balans VL '!N25/3.6*1000000)/100</f>
        <v>33085.972045136827</v>
      </c>
      <c r="G5" s="18"/>
      <c r="H5" s="17"/>
      <c r="I5" s="17"/>
      <c r="J5" s="17">
        <f>('E Balans VL '!D25+'E Balans VL '!E25)/3.6*1000000*landbouw!B17/100</f>
        <v>1442.1428432356406</v>
      </c>
      <c r="K5" s="17"/>
      <c r="L5" s="17">
        <f>L6*(-1)</f>
        <v>0</v>
      </c>
      <c r="M5" s="17"/>
      <c r="N5" s="17">
        <f>N6*(-1)</f>
        <v>114.32142857142857</v>
      </c>
      <c r="O5" s="17"/>
      <c r="P5" s="17"/>
      <c r="R5" s="32"/>
    </row>
    <row r="6" spans="1:18">
      <c r="A6" s="16" t="s">
        <v>484</v>
      </c>
      <c r="B6" s="17" t="s">
        <v>204</v>
      </c>
      <c r="C6" s="17">
        <f>'lokale energieproductie'!O41+'lokale energieproductie'!O34</f>
        <v>45301.446428571428</v>
      </c>
      <c r="D6" s="305">
        <f>('lokale energieproductie'!P34+'lokale energieproductie'!P41)*(-1)</f>
        <v>-90488.57142857142</v>
      </c>
      <c r="E6" s="246"/>
      <c r="F6" s="305">
        <f>('lokale energieproductie'!S34+'lokale energieproductie'!S41)*(-1)</f>
        <v>0</v>
      </c>
      <c r="G6" s="247"/>
      <c r="H6" s="246"/>
      <c r="I6" s="246"/>
      <c r="J6" s="246"/>
      <c r="K6" s="246"/>
      <c r="L6" s="305">
        <f>('lokale energieproductie'!T34+'lokale energieproductie'!U34+'lokale energieproductie'!T41+'lokale energieproductie'!U41)*(-1)</f>
        <v>0</v>
      </c>
      <c r="M6" s="246"/>
      <c r="N6" s="1016">
        <f>('lokale energieproductie'!V34+'lokale energieproductie'!R34+'lokale energieproductie'!Q34+'lokale energieproductie'!Q41+'lokale energieproductie'!R41+'lokale energieproductie'!V41)*(-1)</f>
        <v>-114.32142857142857</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9589.4405063034174</v>
      </c>
      <c r="C8" s="21">
        <f>C5+C6</f>
        <v>45301.446428571428</v>
      </c>
      <c r="D8" s="21">
        <f>MAX((D5+D6),0)</f>
        <v>1892.5726708326547</v>
      </c>
      <c r="E8" s="21">
        <f>MAX((E5+E6),0)</f>
        <v>120.83930409055881</v>
      </c>
      <c r="F8" s="21">
        <f>MAX((F5+F6),0)</f>
        <v>33085.972045136827</v>
      </c>
      <c r="G8" s="21"/>
      <c r="H8" s="21"/>
      <c r="I8" s="21"/>
      <c r="J8" s="21">
        <f>MAX((J5+J6),0)</f>
        <v>1442.1428432356406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0.20739104540110126</v>
      </c>
      <c r="C10" s="31">
        <f ca="1">'EF ele_warmte'!B22</f>
        <v>0.23734719917883412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1988.7640914139315</v>
      </c>
      <c r="C12" s="23">
        <f ca="1">C8*C10</f>
        <v>10752.171428571426</v>
      </c>
      <c r="D12" s="23">
        <f>D8*D10</f>
        <v>382.29967950819628</v>
      </c>
      <c r="E12" s="23">
        <f>E8*E10</f>
        <v>27.430522028556851</v>
      </c>
      <c r="F12" s="23">
        <f>F8*F10</f>
        <v>8833.9545360515331</v>
      </c>
      <c r="G12" s="23"/>
      <c r="H12" s="23"/>
      <c r="I12" s="23"/>
      <c r="J12" s="23">
        <f>J8*J10</f>
        <v>510.51856650541674</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1.3374247090085756</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981.15137763268092</v>
      </c>
      <c r="C26" s="245">
        <f>B26*'GWP N2O_CH4'!B5</f>
        <v>20604.1789302863</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620.49435217058829</v>
      </c>
      <c r="C27" s="245">
        <f>B27*'GWP N2O_CH4'!B5</f>
        <v>13030.381395582353</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30.83080263743253</v>
      </c>
      <c r="C28" s="245">
        <f>B28*'GWP N2O_CH4'!B4</f>
        <v>9557.5488176040835</v>
      </c>
      <c r="D28" s="50"/>
    </row>
    <row r="29" spans="1:4">
      <c r="A29" s="41" t="s">
        <v>266</v>
      </c>
      <c r="B29" s="245">
        <f>B34*'ha_N2O bodem landbouw'!B4</f>
        <v>29.937993006440081</v>
      </c>
      <c r="C29" s="245">
        <f>B29*'GWP N2O_CH4'!B4</f>
        <v>9280.7778319964254</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7.4752177049326619E-3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2.0097677973953576E-5</v>
      </c>
      <c r="C5" s="434" t="s">
        <v>204</v>
      </c>
      <c r="D5" s="419">
        <f>SUM(D6:D11)</f>
        <v>2.000136885948465E-5</v>
      </c>
      <c r="E5" s="419">
        <f>SUM(E6:E11)</f>
        <v>7.0842364476213714E-4</v>
      </c>
      <c r="F5" s="432" t="s">
        <v>204</v>
      </c>
      <c r="G5" s="419">
        <f>SUM(G6:G11)</f>
        <v>0.19347743113252705</v>
      </c>
      <c r="H5" s="419">
        <f>SUM(H6:H11)</f>
        <v>3.4136912882165193E-2</v>
      </c>
      <c r="I5" s="434" t="s">
        <v>204</v>
      </c>
      <c r="J5" s="434" t="s">
        <v>204</v>
      </c>
      <c r="K5" s="434" t="s">
        <v>204</v>
      </c>
      <c r="L5" s="434" t="s">
        <v>204</v>
      </c>
      <c r="M5" s="419">
        <f>SUM(M6:M11)</f>
        <v>1.0291823698616075E-2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1.5042400343338036E-5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1.3400993642233622E-5</v>
      </c>
      <c r="E6" s="873">
        <f>vkm_GW_PW*SUMIFS(TableVerdeelsleutelVkm[LPG],TableVerdeelsleutelVkm[Voertuigtype],"Lichte voertuigen")*SUMIFS(TableECFTransport[EnergieConsumptieFactor (PJ per km)],TableECFTransport[Index],CONCATENATE($A6,"_LPG_LPG"))</f>
        <v>4.8233302867066333E-4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9.4539877413078899E-2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2.3177243071082963E-2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5.325118248627074E-3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3.2180016657806685E-7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5.0357216856245272E-2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1.1478792474952539E-6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2.273705932960514E-3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4.6988875275223349E-6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6.6003752172510298E-6</v>
      </c>
      <c r="E8" s="422">
        <f>vkm_NGW_PW*SUMIFS(TableVerdeelsleutelVkm[LPG],TableVerdeelsleutelVkm[Voertuigtype],"Lichte voertuigen")*SUMIFS(TableECFTransport[EnergieConsumptieFactor (PJ per km)],TableECFTransport[Index],CONCATENATE($A8,"_LPG_LPG"))</f>
        <v>2.2609061609147379E-4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4.1627448273814593E-2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1.0958373003905493E-2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2.3790663198765276E-3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3.4589936515138327E-8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6.9528885893882656E-3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1.4892792924495873E-7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3.1393319715196079E-4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5.5826883260982161</v>
      </c>
      <c r="C14" s="21"/>
      <c r="D14" s="21">
        <f t="shared" ref="D14:M14" si="0">((D5)*10^9/3600)+D12</f>
        <v>5.5559357943012913</v>
      </c>
      <c r="E14" s="21">
        <f t="shared" si="0"/>
        <v>196.78434576726031</v>
      </c>
      <c r="F14" s="21"/>
      <c r="G14" s="21">
        <f t="shared" si="0"/>
        <v>53743.730870146406</v>
      </c>
      <c r="H14" s="21">
        <f t="shared" si="0"/>
        <v>9482.4758006014436</v>
      </c>
      <c r="I14" s="21"/>
      <c r="J14" s="21"/>
      <c r="K14" s="21"/>
      <c r="L14" s="21"/>
      <c r="M14" s="21">
        <f t="shared" si="0"/>
        <v>2858.8399162822429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0.20739104540110126</v>
      </c>
      <c r="C16" s="56">
        <f ca="1">'EF ele_warmte'!B22</f>
        <v>0.23734719917883412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1.1577995680980331</v>
      </c>
      <c r="C18" s="23"/>
      <c r="D18" s="23">
        <f t="shared" ref="D18:M18" si="1">D14*D16</f>
        <v>1.1222990304488609</v>
      </c>
      <c r="E18" s="23">
        <f t="shared" si="1"/>
        <v>44.670046489168094</v>
      </c>
      <c r="F18" s="23"/>
      <c r="G18" s="23">
        <f t="shared" si="1"/>
        <v>14349.576142329091</v>
      </c>
      <c r="H18" s="23">
        <f t="shared" si="1"/>
        <v>2361.1364743497593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2.6032328637353934E-5</v>
      </c>
      <c r="C50" s="316">
        <f t="shared" ref="C50:P50" si="2">SUM(C51:C52)</f>
        <v>0</v>
      </c>
      <c r="D50" s="316">
        <f t="shared" si="2"/>
        <v>0</v>
      </c>
      <c r="E50" s="316">
        <f t="shared" si="2"/>
        <v>0</v>
      </c>
      <c r="F50" s="316">
        <f t="shared" si="2"/>
        <v>0</v>
      </c>
      <c r="G50" s="316">
        <f t="shared" si="2"/>
        <v>5.0670453454298332E-3</v>
      </c>
      <c r="H50" s="316">
        <f t="shared" si="2"/>
        <v>0</v>
      </c>
      <c r="I50" s="316">
        <f t="shared" si="2"/>
        <v>0</v>
      </c>
      <c r="J50" s="316">
        <f t="shared" si="2"/>
        <v>0</v>
      </c>
      <c r="K50" s="316">
        <f t="shared" si="2"/>
        <v>0</v>
      </c>
      <c r="L50" s="316">
        <f t="shared" si="2"/>
        <v>0</v>
      </c>
      <c r="M50" s="316">
        <f t="shared" si="2"/>
        <v>2.272105708738442E-4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2.6032328637353934E-5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5.0670453454298332E-3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2.272105708738442E-4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7.2312023992649817</v>
      </c>
      <c r="C54" s="21">
        <f t="shared" ref="C54:P54" si="3">(C50)*10^9/3600</f>
        <v>0</v>
      </c>
      <c r="D54" s="21">
        <f t="shared" si="3"/>
        <v>0</v>
      </c>
      <c r="E54" s="21">
        <f t="shared" si="3"/>
        <v>0</v>
      </c>
      <c r="F54" s="21">
        <f t="shared" si="3"/>
        <v>0</v>
      </c>
      <c r="G54" s="21">
        <f t="shared" si="3"/>
        <v>1407.5125959527313</v>
      </c>
      <c r="H54" s="21">
        <f t="shared" si="3"/>
        <v>0</v>
      </c>
      <c r="I54" s="21">
        <f t="shared" si="3"/>
        <v>0</v>
      </c>
      <c r="J54" s="21">
        <f t="shared" si="3"/>
        <v>0</v>
      </c>
      <c r="K54" s="21">
        <f t="shared" si="3"/>
        <v>0</v>
      </c>
      <c r="L54" s="21">
        <f t="shared" si="3"/>
        <v>0</v>
      </c>
      <c r="M54" s="21">
        <f t="shared" si="3"/>
        <v>63.114047464956727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0.20739104540110126</v>
      </c>
      <c r="C56" s="56">
        <f ca="1">'EF ele_warmte'!B22</f>
        <v>0.23734719917883412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1.4996866250905161</v>
      </c>
      <c r="C58" s="23">
        <f t="shared" ref="C58:P58" ca="1" si="4">C54*C56</f>
        <v>0</v>
      </c>
      <c r="D58" s="23">
        <f t="shared" si="4"/>
        <v>0</v>
      </c>
      <c r="E58" s="23">
        <f t="shared" si="4"/>
        <v>0</v>
      </c>
      <c r="F58" s="23">
        <f t="shared" si="4"/>
        <v>0</v>
      </c>
      <c r="G58" s="23">
        <f t="shared" si="4"/>
        <v>375.8058631193793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7450.105630039061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N31</f>
        <v>31711.012500000001</v>
      </c>
      <c r="C8" s="546">
        <f>B50</f>
        <v>37259.999999999993</v>
      </c>
      <c r="D8" s="1001"/>
      <c r="E8" s="1001">
        <f>E50</f>
        <v>0</v>
      </c>
      <c r="F8" s="1002"/>
      <c r="G8" s="547"/>
      <c r="H8" s="1001">
        <f>I50</f>
        <v>0</v>
      </c>
      <c r="I8" s="1001">
        <f>G50+F50</f>
        <v>0</v>
      </c>
      <c r="J8" s="1001">
        <f>H50+D50+C50</f>
        <v>47.073529411764703</v>
      </c>
      <c r="K8" s="1001"/>
      <c r="L8" s="1001"/>
      <c r="M8" s="1001"/>
      <c r="N8" s="548"/>
      <c r="O8" s="549">
        <f>C8*$C$12+D8*$D$12+E8*$E$12+F8*$F$12+G8*$G$12+H8*$H$12+I8*$I$12+J8*$J$12</f>
        <v>7526.5199999999986</v>
      </c>
      <c r="P8" s="1244"/>
      <c r="Q8" s="1245"/>
      <c r="S8" s="1013"/>
      <c r="T8" s="1265"/>
      <c r="U8" s="1265"/>
    </row>
    <row r="9" spans="1:21" s="534" customFormat="1" ht="17.45" customHeight="1" thickBot="1">
      <c r="A9" s="550" t="s">
        <v>237</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39161.11813003906</v>
      </c>
      <c r="C10" s="559">
        <f t="shared" ref="C10:L10" si="0">SUM(C8:C9)</f>
        <v>37259.999999999993</v>
      </c>
      <c r="D10" s="559">
        <f t="shared" si="0"/>
        <v>0</v>
      </c>
      <c r="E10" s="559">
        <f t="shared" si="0"/>
        <v>0</v>
      </c>
      <c r="F10" s="559">
        <f t="shared" si="0"/>
        <v>0</v>
      </c>
      <c r="G10" s="559">
        <f t="shared" si="0"/>
        <v>0</v>
      </c>
      <c r="H10" s="559">
        <f t="shared" si="0"/>
        <v>0</v>
      </c>
      <c r="I10" s="559">
        <f t="shared" si="0"/>
        <v>0</v>
      </c>
      <c r="J10" s="559">
        <f t="shared" si="0"/>
        <v>47.073529411764703</v>
      </c>
      <c r="K10" s="559">
        <f t="shared" si="0"/>
        <v>0</v>
      </c>
      <c r="L10" s="559">
        <f t="shared" si="0"/>
        <v>0</v>
      </c>
      <c r="M10" s="1004"/>
      <c r="N10" s="1004"/>
      <c r="O10" s="560">
        <f>SUM(O4:O9)</f>
        <v>7526.5199999999986</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O31</f>
        <v>45301.446428571428</v>
      </c>
      <c r="C17" s="571">
        <f>B51</f>
        <v>53228.571428571413</v>
      </c>
      <c r="D17" s="572"/>
      <c r="E17" s="572">
        <f>E51</f>
        <v>0</v>
      </c>
      <c r="F17" s="1007"/>
      <c r="G17" s="573"/>
      <c r="H17" s="571">
        <f>I51</f>
        <v>0</v>
      </c>
      <c r="I17" s="572">
        <f>G51+F51</f>
        <v>0</v>
      </c>
      <c r="J17" s="572">
        <f>H51+D51+C51</f>
        <v>67.247899159663859</v>
      </c>
      <c r="K17" s="572"/>
      <c r="L17" s="572"/>
      <c r="M17" s="572"/>
      <c r="N17" s="1008"/>
      <c r="O17" s="574">
        <f>C17*$C$22+E17*$E$22+H17*$H$22+I17*$I$22+J17*$J$22+D17*$D$22+F17*$F$22+G17*$G$22+K17*$K$22+L17*$L$22</f>
        <v>10752.171428571426</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45301.446428571428</v>
      </c>
      <c r="C20" s="558">
        <f>SUM(C17:C19)</f>
        <v>53228.571428571413</v>
      </c>
      <c r="D20" s="558">
        <f t="shared" ref="D20:L20" si="1">SUM(D17:D19)</f>
        <v>0</v>
      </c>
      <c r="E20" s="558">
        <f t="shared" si="1"/>
        <v>0</v>
      </c>
      <c r="F20" s="558">
        <f t="shared" si="1"/>
        <v>0</v>
      </c>
      <c r="G20" s="558">
        <f t="shared" si="1"/>
        <v>0</v>
      </c>
      <c r="H20" s="558">
        <f t="shared" si="1"/>
        <v>0</v>
      </c>
      <c r="I20" s="558">
        <f t="shared" si="1"/>
        <v>0</v>
      </c>
      <c r="J20" s="558">
        <f t="shared" si="1"/>
        <v>67.247899159663859</v>
      </c>
      <c r="K20" s="558">
        <f t="shared" si="1"/>
        <v>0</v>
      </c>
      <c r="L20" s="558">
        <f t="shared" si="1"/>
        <v>0</v>
      </c>
      <c r="M20" s="558"/>
      <c r="N20" s="558"/>
      <c r="O20" s="578">
        <f>SUM(O17:O19)</f>
        <v>10752.171428571426</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13035</v>
      </c>
      <c r="C28" s="777">
        <v>2382</v>
      </c>
      <c r="D28" s="630"/>
      <c r="E28" s="629"/>
      <c r="F28" s="629"/>
      <c r="G28" s="629" t="s">
        <v>926</v>
      </c>
      <c r="H28" s="629" t="s">
        <v>927</v>
      </c>
      <c r="I28" s="629"/>
      <c r="J28" s="776"/>
      <c r="K28" s="776"/>
      <c r="L28" s="629" t="s">
        <v>928</v>
      </c>
      <c r="M28" s="629">
        <v>2014</v>
      </c>
      <c r="N28" s="629">
        <v>9062.9999999999982</v>
      </c>
      <c r="O28" s="629">
        <v>12947.142857142855</v>
      </c>
      <c r="P28" s="629">
        <v>25894.28571428571</v>
      </c>
      <c r="Q28" s="629">
        <v>0</v>
      </c>
      <c r="R28" s="629">
        <v>0</v>
      </c>
      <c r="S28" s="629">
        <v>0</v>
      </c>
      <c r="T28" s="629">
        <v>0</v>
      </c>
      <c r="U28" s="629">
        <v>0</v>
      </c>
      <c r="V28" s="629">
        <v>0</v>
      </c>
      <c r="W28" s="629">
        <v>0</v>
      </c>
      <c r="X28" s="629">
        <v>10</v>
      </c>
      <c r="Y28" s="629" t="s">
        <v>105</v>
      </c>
      <c r="Z28" s="631" t="s">
        <v>105</v>
      </c>
    </row>
    <row r="29" spans="1:26" s="583" customFormat="1" ht="25.5" hidden="1">
      <c r="A29" s="582"/>
      <c r="B29" s="777">
        <v>13035</v>
      </c>
      <c r="C29" s="777">
        <v>2381</v>
      </c>
      <c r="D29" s="630"/>
      <c r="E29" s="629"/>
      <c r="F29" s="629"/>
      <c r="G29" s="629" t="s">
        <v>926</v>
      </c>
      <c r="H29" s="629" t="s">
        <v>927</v>
      </c>
      <c r="I29" s="629"/>
      <c r="J29" s="776"/>
      <c r="K29" s="776"/>
      <c r="L29" s="629" t="s">
        <v>928</v>
      </c>
      <c r="M29" s="629">
        <v>5024</v>
      </c>
      <c r="N29" s="629">
        <v>22608</v>
      </c>
      <c r="O29" s="629">
        <v>32297.142857142859</v>
      </c>
      <c r="P29" s="629">
        <v>64594.285714285717</v>
      </c>
      <c r="Q29" s="629">
        <v>0</v>
      </c>
      <c r="R29" s="629">
        <v>0</v>
      </c>
      <c r="S29" s="629">
        <v>0</v>
      </c>
      <c r="T29" s="629">
        <v>0</v>
      </c>
      <c r="U29" s="629">
        <v>0</v>
      </c>
      <c r="V29" s="629">
        <v>0</v>
      </c>
      <c r="W29" s="629">
        <v>0</v>
      </c>
      <c r="X29" s="629">
        <v>10</v>
      </c>
      <c r="Y29" s="629" t="s">
        <v>105</v>
      </c>
      <c r="Z29" s="631" t="s">
        <v>105</v>
      </c>
    </row>
    <row r="30" spans="1:26" s="583" customFormat="1" ht="25.5" hidden="1">
      <c r="A30" s="582"/>
      <c r="B30" s="777">
        <v>13035</v>
      </c>
      <c r="C30" s="777">
        <v>2380</v>
      </c>
      <c r="D30" s="630"/>
      <c r="E30" s="629"/>
      <c r="F30" s="629"/>
      <c r="G30" s="629" t="s">
        <v>926</v>
      </c>
      <c r="H30" s="629" t="s">
        <v>927</v>
      </c>
      <c r="I30" s="629"/>
      <c r="J30" s="776"/>
      <c r="K30" s="776"/>
      <c r="L30" s="629" t="s">
        <v>928</v>
      </c>
      <c r="M30" s="629">
        <v>9.6999999999999993</v>
      </c>
      <c r="N30" s="629">
        <v>40.012499999999996</v>
      </c>
      <c r="O30" s="629">
        <v>57.160714285714278</v>
      </c>
      <c r="P30" s="629">
        <v>0</v>
      </c>
      <c r="Q30" s="629">
        <v>114.32142857142857</v>
      </c>
      <c r="R30" s="629">
        <v>0</v>
      </c>
      <c r="S30" s="629">
        <v>0</v>
      </c>
      <c r="T30" s="629">
        <v>0</v>
      </c>
      <c r="U30" s="629">
        <v>0</v>
      </c>
      <c r="V30" s="629">
        <v>0</v>
      </c>
      <c r="W30" s="629">
        <v>0</v>
      </c>
      <c r="X30" s="629">
        <v>10</v>
      </c>
      <c r="Y30" s="629" t="s">
        <v>105</v>
      </c>
      <c r="Z30" s="631" t="s">
        <v>105</v>
      </c>
    </row>
    <row r="31" spans="1:26" s="566" customFormat="1" hidden="1">
      <c r="A31" s="585" t="s">
        <v>269</v>
      </c>
      <c r="B31" s="586"/>
      <c r="C31" s="586"/>
      <c r="D31" s="586"/>
      <c r="E31" s="586"/>
      <c r="F31" s="586"/>
      <c r="G31" s="586"/>
      <c r="H31" s="586"/>
      <c r="I31" s="586"/>
      <c r="J31" s="586"/>
      <c r="K31" s="586"/>
      <c r="L31" s="587"/>
      <c r="M31" s="587">
        <f>SUM(M28:M30)</f>
        <v>7047.7</v>
      </c>
      <c r="N31" s="587">
        <f>SUM(N28:N30)</f>
        <v>31711.012500000001</v>
      </c>
      <c r="O31" s="587">
        <f>SUM(O28:O30)</f>
        <v>45301.446428571428</v>
      </c>
      <c r="P31" s="587">
        <f>SUM(P28:P30)</f>
        <v>90488.57142857142</v>
      </c>
      <c r="Q31" s="587">
        <f>SUM(Q28:Q30)</f>
        <v>114.32142857142857</v>
      </c>
      <c r="R31" s="587">
        <f>SUM(R28:R30)</f>
        <v>0</v>
      </c>
      <c r="S31" s="587">
        <f>SUM(S28:S30)</f>
        <v>0</v>
      </c>
      <c r="T31" s="587">
        <f>SUM(T28:T30)</f>
        <v>0</v>
      </c>
      <c r="U31" s="587">
        <f>SUM(U28:U30)</f>
        <v>0</v>
      </c>
      <c r="V31" s="587">
        <f>SUM(V28:V30)</f>
        <v>0</v>
      </c>
      <c r="W31" s="587">
        <f>SUM(W28:W30)</f>
        <v>0</v>
      </c>
      <c r="X31" s="588"/>
      <c r="Y31" s="588"/>
      <c r="Z31" s="589"/>
    </row>
    <row r="32" spans="1:26" s="566" customFormat="1">
      <c r="A32" s="585" t="s">
        <v>276</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6" customFormat="1">
      <c r="A33" s="585" t="s">
        <v>277</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6" customFormat="1" ht="15.75" thickBot="1">
      <c r="A34" s="590" t="s">
        <v>278</v>
      </c>
      <c r="B34" s="591"/>
      <c r="C34" s="591"/>
      <c r="D34" s="591"/>
      <c r="E34" s="591"/>
      <c r="F34" s="591"/>
      <c r="G34" s="591"/>
      <c r="H34" s="591"/>
      <c r="I34" s="591"/>
      <c r="J34" s="591"/>
      <c r="K34" s="591"/>
      <c r="L34" s="592"/>
      <c r="M34" s="592">
        <f>SUMIF($Z$28:$Z$30,"landbouw",M28:M30)</f>
        <v>7047.7</v>
      </c>
      <c r="N34" s="592">
        <f>SUMIF($Z$28:$Z$30,"landbouw",N28:N30)</f>
        <v>31711.012500000001</v>
      </c>
      <c r="O34" s="592">
        <f>SUMIF($Z$28:$Z$30,"landbouw",O28:O30)</f>
        <v>45301.446428571428</v>
      </c>
      <c r="P34" s="592">
        <f>SUMIF($Z$28:$Z$30,"landbouw",P28:P30)</f>
        <v>90488.57142857142</v>
      </c>
      <c r="Q34" s="592">
        <f>SUMIF($Z$28:$Z$30,"landbouw",Q28:Q30)</f>
        <v>114.32142857142857</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270</v>
      </c>
      <c r="B36" s="626" t="s">
        <v>89</v>
      </c>
      <c r="C36" s="626" t="s">
        <v>90</v>
      </c>
      <c r="D36" s="626"/>
      <c r="E36" s="626"/>
      <c r="F36" s="626"/>
      <c r="G36" s="626" t="s">
        <v>91</v>
      </c>
      <c r="H36" s="626" t="s">
        <v>92</v>
      </c>
      <c r="I36" s="626"/>
      <c r="J36" s="626"/>
      <c r="K36" s="626"/>
      <c r="L36" s="626" t="s">
        <v>93</v>
      </c>
      <c r="M36" s="627" t="s">
        <v>287</v>
      </c>
      <c r="N36" s="627" t="s">
        <v>94</v>
      </c>
      <c r="O36" s="627" t="s">
        <v>95</v>
      </c>
      <c r="P36" s="627" t="s">
        <v>530</v>
      </c>
      <c r="Q36" s="627" t="s">
        <v>96</v>
      </c>
      <c r="R36" s="627" t="s">
        <v>97</v>
      </c>
      <c r="S36" s="627" t="s">
        <v>98</v>
      </c>
      <c r="T36" s="627" t="s">
        <v>99</v>
      </c>
      <c r="U36" s="627" t="s">
        <v>100</v>
      </c>
      <c r="V36" s="627" t="s">
        <v>101</v>
      </c>
      <c r="W36" s="626" t="s">
        <v>102</v>
      </c>
      <c r="X36" s="626" t="s">
        <v>288</v>
      </c>
      <c r="Y36" s="626" t="s">
        <v>103</v>
      </c>
      <c r="Z36" s="628" t="s">
        <v>289</v>
      </c>
    </row>
    <row r="37" spans="1:27" s="598" customFormat="1" ht="12.75" hidden="1">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6" customFormat="1" hidden="1">
      <c r="A38" s="585" t="s">
        <v>269</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6" customFormat="1">
      <c r="A39" s="585" t="s">
        <v>276</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6" customFormat="1">
      <c r="A40" s="585" t="s">
        <v>277</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6" customFormat="1" ht="15.75" thickBot="1">
      <c r="A41" s="590" t="s">
        <v>278</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271</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272</v>
      </c>
      <c r="C46" s="609" t="s">
        <v>273</v>
      </c>
      <c r="D46" s="609"/>
      <c r="E46" s="609"/>
      <c r="F46" s="609"/>
      <c r="G46" s="609"/>
      <c r="H46" s="609"/>
      <c r="I46" s="610"/>
      <c r="J46" s="609"/>
      <c r="K46" s="609"/>
      <c r="L46" s="609"/>
      <c r="M46" s="609"/>
      <c r="N46" s="609"/>
      <c r="O46" s="609"/>
      <c r="P46" s="604"/>
    </row>
    <row r="47" spans="1:27">
      <c r="A47" s="606" t="s">
        <v>269</v>
      </c>
      <c r="B47" s="611">
        <f>IF(ISERROR(O31/(O31+N31)),0,O31/(O31+N31))</f>
        <v>0.58823529411764697</v>
      </c>
      <c r="C47" s="612">
        <f>IF(ISERROR(N31/(O31+N31)),0,N31/(N31+O31))</f>
        <v>0.41176470588235292</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530</v>
      </c>
      <c r="C49" s="619" t="s">
        <v>96</v>
      </c>
      <c r="D49" s="619" t="s">
        <v>97</v>
      </c>
      <c r="E49" s="619" t="s">
        <v>98</v>
      </c>
      <c r="F49" s="619" t="s">
        <v>99</v>
      </c>
      <c r="G49" s="619" t="s">
        <v>100</v>
      </c>
      <c r="H49" s="619" t="s">
        <v>101</v>
      </c>
      <c r="I49" s="620" t="s">
        <v>102</v>
      </c>
      <c r="J49" s="609"/>
      <c r="K49" s="609"/>
      <c r="L49" s="617"/>
      <c r="M49" s="617"/>
      <c r="N49" s="617"/>
      <c r="O49" s="604"/>
      <c r="P49" s="604"/>
    </row>
    <row r="50" spans="1:16">
      <c r="A50" s="608" t="s">
        <v>274</v>
      </c>
      <c r="B50" s="621">
        <f t="shared" ref="B50:I50" si="2">$C$47*P31</f>
        <v>37259.999999999993</v>
      </c>
      <c r="C50" s="621">
        <f t="shared" si="2"/>
        <v>47.073529411764703</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275</v>
      </c>
      <c r="B51" s="624">
        <f t="shared" ref="B51:I51" si="3">$B$47*P31</f>
        <v>53228.571428571413</v>
      </c>
      <c r="C51" s="624">
        <f t="shared" si="3"/>
        <v>67.247899159663859</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4"/>
      <c r="K52" s="564"/>
      <c r="L52" s="564"/>
      <c r="M52" s="564"/>
      <c r="N52" s="564"/>
    </row>
    <row r="53" spans="1:16">
      <c r="J53" s="564"/>
      <c r="K53" s="564"/>
      <c r="L53" s="564"/>
      <c r="M53" s="564"/>
      <c r="N53"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2021-11-11T13:19:56Z</dcterms:modified>
</cp:coreProperties>
</file>