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B68E5D7-D7D7-4FFB-958C-B4EF1257876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B17" i="18" l="1"/>
  <c r="J9" i="18"/>
  <c r="F20" i="18"/>
  <c r="I9" i="18"/>
  <c r="I49" i="18"/>
  <c r="H17" i="18" s="1"/>
  <c r="G49" i="18"/>
  <c r="F49" i="18"/>
  <c r="C49" i="18"/>
  <c r="B49" i="18"/>
  <c r="C17" i="18" s="1"/>
  <c r="C20" i="18" s="1"/>
  <c r="B20" i="18"/>
  <c r="C45" i="18"/>
  <c r="E48" i="18" s="1"/>
  <c r="E8" i="18" s="1"/>
  <c r="E10" i="18" s="1"/>
  <c r="O18" i="18"/>
  <c r="H20" i="18"/>
  <c r="G20" i="18"/>
  <c r="K20" i="18"/>
  <c r="B10" i="18"/>
  <c r="O19" i="18"/>
  <c r="O9" i="18"/>
  <c r="D49" i="18"/>
  <c r="H49" i="18"/>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<sst xmlns="http://schemas.openxmlformats.org/spreadsheetml/2006/main" count="2516" uniqueCount="929">
  <si>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</si>
  <si>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</si>
  <si>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</si>
  <si>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</si>
  <si>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</si>
  <si>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</si>
  <si>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</si>
  <si>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</si>
  <si>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</si>
  <si>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</si>
  <si>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</si>
  <si>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</si>
  <si>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</si>
  <si>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</si>
  <si>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</si>
  <si>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</si>
  <si>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</si>
  <si>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</si>
  <si>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</si>
  <si>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</si>
  <si>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</si>
  <si>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</si>
  <si>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</si>
  <si>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</si>
  <si>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</si>
  <si>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</si>
  <si>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</si>
  <si>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</si>
  <si>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</si>
  <si>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</si>
  <si>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</si>
  <si>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</si>
  <si>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</si>
  <si>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</si>
  <si>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</si>
  <si>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</si>
  <si>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</si>
  <si>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</si>
  <si>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</si>
  <si>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</si>
  <si>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</si>
  <si>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</si>
  <si>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</si>
  <si>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</si>
  <si>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</si>
  <si>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</si>
  <si>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</si>
  <si>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</si>
  <si>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</si>
  <si>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</si>
  <si>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</si>
  <si>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</si>
  <si>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</si>
  <si>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</si>
  <si>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</si>
  <si>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</si>
  <si>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</si>
  <si>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</si>
  <si>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</si>
  <si>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</si>
  <si>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</si>
  <si>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</si>
  <si>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</si>
  <si>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</si>
  <si>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</si>
  <si>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</si>
  <si>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</si>
  <si>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</si>
  <si>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</si>
  <si>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</si>
  <si>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</si>
  <si>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</si>
  <si>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</si>
  <si>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</si>
  <si>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</si>
  <si>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</si>
  <si>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</si>
  <si>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</si>
  <si>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</si>
  <si>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</si>
  <si>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</si>
  <si>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</si>
  <si>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</si>
  <si>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</si>
  <si>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</si>
  <si>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</si>
  <si>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</si>
  <si>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</si>
  <si>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</si>
  <si>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</si>
  <si>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</si>
  <si>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</si>
  <si>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</si>
  <si>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</si>
  <si>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</si>
  <si>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</si>
  <si>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</si>
  <si>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</si>
  <si>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</si>
  <si>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</si>
  <si>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</si>
  <si>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</si>
  <si>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</si>
  <si>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</si>
  <si>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</si>
  <si>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</si>
  <si>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</si>
  <si>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</si>
  <si>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</si>
  <si>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</si>
  <si>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</si>
  <si>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</si>
  <si>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</si>
  <si>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</si>
  <si>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</si>
  <si>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</si>
  <si>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</si>
  <si>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</si>
  <si>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</si>
  <si>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</si>
  <si>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</si>
  <si>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</si>
  <si>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</si>
  <si>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</si>
  <si>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</si>
  <si>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</si>
  <si>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</si>
  <si>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</si>
  <si>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</si>
  <si>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</si>
  <si>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</si>
  <si>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</si>
  <si>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</si>
  <si>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</si>
  <si>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</si>
  <si>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</si>
  <si>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</si>
  <si>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</si>
  <si>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</si>
  <si>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</si>
  <si>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</si>
  <si>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</si>
  <si>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</si>
  <si>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</si>
  <si>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</si>
  <si>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</si>
  <si>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</si>
  <si>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</si>
  <si>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</si>
  <si>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</si>
  <si>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</si>
  <si>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</si>
  <si>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</si>
  <si>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</si>
  <si>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</si>
  <si>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</si>
  <si>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</si>
  <si>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</si>
  <si>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</si>
  <si>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</si>
  <si>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</si>
  <si>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</si>
  <si>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</si>
  <si>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</si>
  <si>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</si>
  <si>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</si>
  <si>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</si>
  <si>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</si>
  <si>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</si>
  <si>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</si>
  <si>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</si>
  <si>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</si>
  <si>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</si>
  <si>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</si>
  <si>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</si>
  <si>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</si>
  <si>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</si>
  <si>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</si>
  <si>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</si>
  <si>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</si>
  <si>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</si>
  <si>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</si>
  <si>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</si>
  <si>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</si>
  <si>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</si>
  <si>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</si>
  <si>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</si>
  <si>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</si>
  <si>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</si>
  <si>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</si>
  <si>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</si>
  <si>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</si>
  <si>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</si>
  <si>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</si>
  <si>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</si>
  <si>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</si>
  <si>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</si>
  <si>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</si>
  <si>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</si>
  <si>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</si>
  <si>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</si>
  <si>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</si>
  <si>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</si>
  <si>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</si>
  <si>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</si>
  <si>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</si>
  <si>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</si>
  <si>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</si>
  <si>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</si>
  <si>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</si>
  <si>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</si>
  <si>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</si>
  <si>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</si>
  <si>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</si>
  <si>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</si>
  <si>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</si>
  <si>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</si>
  <si>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</si>
  <si>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</si>
  <si>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</si>
  <si>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</si>
  <si>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</si>
  <si>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</si>
  <si>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</si>
  <si>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</si>
  <si>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</si>
  <si>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</si>
  <si>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</si>
  <si>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</si>
  <si>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</si>
  <si>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</si>
  <si>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</si>
  <si>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</si>
  <si>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</si>
  <si>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</si>
  <si>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</si>
  <si>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</si>
  <si>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</si>
  <si>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</si>
  <si>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</si>
  <si>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</si>
  <si>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</si>
  <si>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</si>
  <si>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</si>
  <si>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</si>
  <si>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</si>
  <si>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</si>
  <si>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</si>
  <si>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</si>
  <si>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</si>
  <si>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</si>
  <si>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</si>
  <si>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</si>
  <si>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</si>
  <si>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</si>
  <si>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</si>
  <si>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</si>
  <si>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</si>
  <si>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</si>
  <si>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</si>
  <si>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</si>
  <si>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</si>
  <si>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</si>
  <si>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</si>
  <si>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</si>
  <si>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</si>
  <si>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</si>
  <si>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</si>
  <si>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</si>
  <si>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</si>
  <si>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</si>
  <si>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</si>
  <si>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</si>
  <si>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</si>
  <si>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</si>
  <si>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</si>
  <si>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</si>
  <si>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</si>
  <si>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</si>
  <si>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</si>
  <si>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</si>
  <si>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</si>
  <si>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</si>
  <si>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</si>
  <si>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</si>
  <si>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</si>
  <si>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</si>
  <si>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</si>
  <si>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</si>
  <si>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</si>
  <si>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</si>
  <si>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</si>
  <si>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</si>
  <si>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</si>
  <si>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</si>
  <si>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</si>
  <si>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</si>
  <si>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</si>
  <si>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</si>
  <si>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</si>
  <si>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</si>
  <si>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</si>
  <si>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</si>
  <si>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</si>
  <si>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</si>
  <si>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</si>
  <si>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</si>
  <si>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</si>
  <si>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</si>
  <si>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</si>
  <si>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</si>
  <si>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</si>
  <si>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</si>
  <si>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</si>
  <si>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</si>
  <si>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</si>
  <si>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</si>
  <si>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</si>
  <si>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</si>
  <si>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</si>
  <si>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</si>
  <si>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</si>
  <si>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</si>
  <si>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</si>
  <si>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</si>
  <si>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</si>
  <si>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</si>
  <si>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</si>
  <si>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</si>
  <si>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</si>
  <si>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</si>
  <si>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</si>
  <si>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</si>
  <si>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</si>
  <si>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</si>
  <si>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</si>
  <si>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</si>
  <si>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</si>
  <si>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</si>
  <si>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</si>
  <si>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</si>
  <si>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</si>
  <si>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</si>
  <si>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</si>
  <si>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</si>
  <si>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</si>
  <si>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</si>
  <si>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</si>
  <si>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</si>
  <si>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</si>
  <si>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</si>
  <si>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</si>
  <si>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</si>
  <si>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</si>
  <si>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</si>
  <si>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</si>
  <si>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</si>
  <si>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</si>
  <si>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</si>
  <si>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</si>
  <si>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</si>
  <si>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</si>
  <si>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</si>
  <si>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</si>
  <si>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</si>
  <si>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</si>
  <si>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</si>
  <si>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</si>
  <si>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</si>
  <si>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</si>
  <si>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</si>
  <si>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</si>
  <si>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</si>
  <si>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</si>
  <si>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</si>
  <si>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</si>
  <si>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</si>
  <si>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</si>
  <si>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</si>
  <si>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</si>
  <si>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</si>
  <si>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</si>
  <si>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</si>
  <si>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</si>
  <si>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</si>
  <si>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</si>
  <si>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</si>
  <si>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</si>
  <si>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</si>
  <si>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</si>
  <si>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</si>
  <si>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</si>
  <si>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</si>
  <si>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</si>
  <si>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</si>
  <si>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</si>
  <si>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</si>
  <si>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</si>
  <si>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</si>
  <si>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</si>
  <si>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</si>
  <si>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</si>
  <si>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</si>
  <si>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</si>
  <si>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</si>
  <si>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</si>
  <si>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</si>
  <si>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</si>
  <si>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</si>
  <si>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</si>
  <si>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</si>
  <si>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</si>
  <si>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</si>
  <si>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</si>
  <si>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</si>
  <si>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</si>
  <si>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</si>
  <si>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</si>
  <si>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</si>
  <si>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</si>
  <si>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</si>
  <si>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</si>
  <si>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</si>
  <si>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</si>
  <si>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</si>
  <si>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</si>
  <si>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</si>
  <si>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</si>
  <si>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</si>
  <si>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</si>
  <si>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</si>
  <si>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</si>
  <si>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</si>
  <si>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</si>
  <si>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</si>
  <si>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</si>
  <si>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</si>
  <si>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</si>
  <si>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</si>
  <si>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</si>
  <si>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</si>
  <si>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</si>
  <si>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</si>
  <si>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</si>
  <si>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</si>
  <si>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</si>
  <si>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</si>
  <si>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</si>
  <si>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</si>
  <si>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</si>
  <si>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</si>
  <si>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</si>
  <si>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</si>
  <si>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</si>
  <si>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</si>
  <si>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</si>
  <si>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</si>
  <si>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</si>
  <si>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</si>
  <si>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</si>
  <si>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</si>
  <si>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</si>
  <si>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</si>
  <si>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</si>
  <si>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</si>
  <si>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</si>
  <si>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</si>
  <si>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</si>
  <si>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</si>
  <si>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</si>
  <si>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</si>
  <si>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</si>
  <si>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</si>
  <si>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</si>
  <si>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</si>
  <si>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</si>
  <si>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</si>
  <si>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</si>
  <si>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</si>
  <si>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</si>
  <si>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</si>
  <si>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</si>
  <si>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</si>
  <si>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</si>
  <si>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</si>
  <si>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</si>
  <si>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</si>
  <si>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</si>
  <si>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</si>
  <si>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</si>
  <si>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</si>
  <si>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</si>
  <si>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</si>
  <si>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</si>
  <si>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</si>
  <si>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</si>
  <si>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</si>
  <si>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</si>
  <si>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</si>
  <si>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</si>
  <si>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</si>
  <si>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</si>
  <si>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</si>
  <si>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</si>
  <si>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</si>
  <si>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</si>
  <si>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</si>
  <si>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</si>
  <si>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</si>
  <si>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</si>
  <si>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</si>
  <si>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</si>
  <si>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</si>
  <si>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</si>
  <si>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</si>
  <si>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</si>
  <si>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</si>
  <si>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</si>
  <si>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</si>
  <si>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</si>
  <si>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</si>
  <si>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</si>
  <si>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</si>
  <si>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</si>
  <si>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</si>
  <si>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</si>
  <si>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</si>
  <si>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</si>
  <si>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</si>
  <si>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</si>
  <si>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</si>
  <si>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</si>
  <si>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</si>
  <si>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</si>
  <si>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</si>
  <si>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</si>
  <si>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</si>
  <si>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</si>
  <si>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</si>
  <si>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</si>
  <si>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</si>
  <si>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</si>
  <si>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</si>
  <si>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</si>
  <si>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</si>
  <si>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</si>
  <si>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</si>
  <si>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</si>
  <si>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</si>
  <si>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</si>
  <si>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</si>
  <si>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</si>
  <si>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</si>
  <si>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</si>
  <si>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</si>
  <si>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</si>
  <si>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</si>
  <si>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</si>
  <si>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</si>
  <si>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</si>
  <si>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</si>
  <si>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</si>
  <si>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</si>
  <si>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</si>
  <si>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</si>
  <si>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</si>
  <si>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</si>
  <si>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</si>
  <si>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</si>
  <si>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</si>
  <si>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</si>
  <si>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</si>
  <si>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</si>
  <si>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</si>
  <si>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</si>
  <si>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</si>
  <si>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</si>
  <si>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</si>
  <si>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</si>
  <si>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</si>
  <si>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</si>
  <si>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</si>
  <si>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</si>
  <si>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</si>
  <si>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</si>
  <si>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</si>
  <si>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</si>
  <si>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</si>
  <si>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</si>
  <si>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</si>
  <si>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</si>
  <si>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</si>
  <si>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</si>
  <si>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</si>
  <si>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</si>
  <si>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</si>
  <si>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</si>
  <si>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</si>
  <si>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</si>
  <si>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</si>
  <si>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</si>
  <si>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</si>
  <si>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</si>
  <si>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</si>
  <si>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</si>
  <si>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</si>
  <si>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</si>
  <si>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</si>
  <si>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</si>
  <si>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</si>
  <si>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</si>
  <si>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</si>
  <si>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</si>
  <si>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</si>
  <si>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</si>
  <si>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</si>
  <si>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</si>
  <si>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</si>
  <si>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</si>
  <si>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</si>
  <si>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</si>
  <si>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</si>
  <si>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</si>
  <si>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</si>
  <si>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</si>
  <si>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</si>
  <si>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</si>
  <si>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</si>
  <si>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</si>
  <si>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</si>
  <si>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</si>
  <si>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</si>
  <si>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</si>
  <si>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</si>
  <si>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</si>
  <si>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</si>
  <si>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</si>
  <si>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</si>
  <si>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</si>
  <si>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</si>
  <si>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</si>
  <si>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</si>
  <si>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</si>
  <si>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</si>
  <si>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</si>
  <si>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</si>
  <si>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</si>
  <si>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</si>
  <si>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</si>
  <si>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</si>
  <si>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</si>
  <si>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</si>
  <si>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</si>
  <si>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</si>
  <si>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</si>
  <si>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</si>
  <si>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</si>
  <si>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</si>
  <si>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</si>
  <si>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</si>
  <si>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</si>
  <si>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</si>
  <si>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</si>
  <si>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</si>
  <si>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</si>
  <si>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</si>
  <si>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</si>
  <si>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</si>
  <si>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</si>
  <si>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</si>
  <si>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</si>
  <si>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</si>
  <si>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</si>
  <si>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</si>
  <si>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</si>
  <si>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</si>
  <si>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</si>
  <si>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</si>
  <si>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</si>
  <si>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</si>
  <si>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</si>
  <si>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</si>
  <si>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</si>
  <si>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</si>
  <si>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</si>
  <si>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</si>
  <si>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</si>
  <si>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</si>
  <si>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</si>
  <si>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</si>
  <si>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</si>
  <si>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</si>
  <si>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</si>
  <si>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</si>
  <si>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</si>
  <si>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</si>
  <si>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</si>
  <si>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</si>
  <si>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</si>
  <si>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</si>
  <si>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</si>
  <si>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</si>
  <si>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</si>
  <si>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</si>
  <si>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</si>
  <si>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</si>
  <si>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</si>
  <si>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</si>
  <si>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</si>
  <si>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</si>
  <si>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</si>
  <si>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</si>
  <si>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</si>
  <si>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</si>
  <si>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</si>
  <si>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</si>
  <si>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</si>
  <si>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</si>
  <si>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</si>
  <si>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</si>
  <si>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</si>
  <si>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</si>
  <si>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</si>
  <si>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</si>
  <si>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</si>
  <si>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</si>
  <si>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</si>
  <si>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</si>
  <si>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</si>
  <si>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</si>
  <si>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</si>
  <si>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</si>
  <si>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</si>
  <si>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</si>
  <si>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</si>
  <si>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</si>
  <si>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</si>
  <si>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</si>
  <si>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</si>
  <si>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</si>
  <si>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</si>
  <si>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</si>
  <si>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</si>
  <si>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</si>
  <si>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</si>
  <si>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</si>
  <si>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</si>
  <si>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</si>
  <si>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</si>
  <si>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</si>
  <si>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</si>
  <si>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</si>
  <si>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</si>
  <si>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</si>
  <si>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</si>
  <si>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</si>
  <si>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</si>
  <si>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</si>
  <si>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</si>
  <si>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</si>
  <si>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</si>
  <si>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</si>
  <si>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</si>
  <si>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</si>
  <si>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</si>
  <si>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</si>
  <si>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</si>
  <si>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</si>
  <si>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</si>
  <si>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</si>
  <si>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</si>
  <si>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</si>
  <si>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</si>
  <si>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</si>
  <si>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</si>
  <si>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</si>
  <si>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</si>
  <si>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</si>
  <si>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</si>
  <si>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</si>
  <si>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</si>
  <si>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</si>
  <si>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</si>
  <si>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</si>
  <si>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</si>
  <si>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</si>
  <si>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</si>
  <si>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</si>
  <si>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</si>
  <si>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</si>
  <si>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</si>
  <si>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</si>
  <si>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</si>
  <si>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</si>
  <si>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</si>
  <si>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</si>
  <si>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</si>
  <si>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</si>
  <si>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</si>
  <si>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</si>
  <si>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</si>
  <si>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</si>
  <si>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</si>
  <si>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</si>
  <si>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</si>
  <si>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</si>
  <si>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</si>
  <si>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</si>
  <si>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</si>
  <si>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</si>
  <si>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</si>
  <si>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</si>
  <si>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</si>
  <si>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</si>
  <si>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</si>
  <si>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</si>
  <si>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</si>
  <si>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</si>
  <si>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</si>
  <si>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</si>
  <si>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</si>
  <si>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</si>
  <si>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</si>
  <si>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</si>
  <si>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</si>
  <si>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</si>
  <si>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</si>
  <si>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</si>
  <si>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</si>
  <si>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</si>
  <si>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</si>
  <si>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</si>
  <si>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</si>
  <si>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</si>
  <si>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</si>
  <si>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</si>
  <si>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</si>
  <si>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</si>
  <si>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</si>
  <si>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</si>
  <si>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</si>
  <si>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</si>
  <si>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</si>
  <si>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</si>
  <si>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</si>
  <si>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</si>
  <si>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</si>
  <si>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</si>
  <si>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</si>
  <si>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</si>
  <si>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</si>
  <si>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</si>
  <si>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</si>
  <si>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</si>
  <si>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</si>
  <si>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</si>
  <si>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</si>
  <si>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</si>
  <si>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</si>
  <si>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</si>
  <si>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</si>
  <si>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</si>
  <si>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</si>
  <si>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</si>
  <si>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</si>
  <si>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</si>
  <si>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</si>
  <si>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</si>
  <si>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</si>
  <si>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</si>
  <si>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</si>
  <si>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</si>
  <si>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</si>
  <si>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</si>
  <si>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</si>
  <si>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</si>
  <si>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</si>
  <si>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</si>
  <si>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</si>
  <si>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</si>
  <si>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</si>
  <si>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</si>
  <si>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</si>
  <si>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</si>
  <si>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</si>
  <si>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</si>
  <si>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</si>
  <si>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</si>
  <si>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</si>
  <si>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</si>
  <si>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</si>
  <si>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</si>
  <si>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</si>
  <si>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</si>
  <si>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</si>
  <si>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</si>
  <si>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</si>
  <si>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</si>
  <si>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</si>
  <si>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</si>
  <si>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</si>
  <si>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</si>
  <si>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</si>
  <si>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</si>
  <si>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</si>
  <si>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</si>
  <si>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</si>
  <si>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</si>
  <si>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</si>
  <si>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</si>
  <si>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</si>
  <si>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</si>
  <si>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</si>
  <si>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</si>
  <si>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</si>
  <si>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</si>
  <si>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</si>
  <si>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</si>
  <si>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</si>
  <si>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13031</t>
  </si>
  <si>
    <t>OUD-TURNHOUT</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</si>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</sst>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64B2A44-C4F9-41E2-808C-069A5AA3E9F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144188.44123528601</c:v>
                </c:pt>
                <c:pt idx="1">
                  <c:v>38114.832905561125</c:v>
                </c:pt>
                <c:pt idx="2">
                  <c:v>700.93299999999999</c:v>
                </c:pt>
                <c:pt idx="3">
                  <c:v>28555.940690010331</c:v>
                </c:pt>
                <c:pt idx="4">
                  <c:v>6166.5236081489202</c:v>
                </c:pt>
                <c:pt idx="5">
                  <c:v>129230.64803774121</c:v>
                </c:pt>
                <c:pt idx="6">
                  <c:v>1415.9452796086698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144188.44123528601</c:v>
                </c:pt>
                <c:pt idx="1">
                  <c:v>38114.832905561125</c:v>
                </c:pt>
                <c:pt idx="2">
                  <c:v>700.93299999999999</c:v>
                </c:pt>
                <c:pt idx="3">
                  <c:v>28555.940690010331</c:v>
                </c:pt>
                <c:pt idx="4">
                  <c:v>6166.5236081489202</c:v>
                </c:pt>
                <c:pt idx="5">
                  <c:v>129230.64803774121</c:v>
                </c:pt>
                <c:pt idx="6">
                  <c:v>1415.9452796086698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28896.691311747887</c:v>
                </c:pt>
                <c:pt idx="2">
                  <c:v>7155.9834998131491</c:v>
                </c:pt>
                <c:pt idx="3">
                  <c:v>129.71907174305755</c:v>
                </c:pt>
                <c:pt idx="4">
                  <c:v>6948.4349560192786</c:v>
                </c:pt>
                <c:pt idx="5">
                  <c:v>1258.4903629872258</c:v>
                </c:pt>
                <c:pt idx="6">
                  <c:v>32748.387669396587</c:v>
                </c:pt>
                <c:pt idx="7">
                  <c:v>361.34424619516864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28896.691311747887</c:v>
                </c:pt>
                <c:pt idx="2">
                  <c:v>7155.9834998131491</c:v>
                </c:pt>
                <c:pt idx="3">
                  <c:v>129.71907174305755</c:v>
                </c:pt>
                <c:pt idx="4">
                  <c:v>6948.4349560192786</c:v>
                </c:pt>
                <c:pt idx="5">
                  <c:v>1258.4903629872258</c:v>
                </c:pt>
                <c:pt idx="6">
                  <c:v>32748.387669396587</c:v>
                </c:pt>
                <c:pt idx="7">
                  <c:v>361.34424619516864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13031</v>
      </c>
      <c r="B6" s="385"/>
      <c r="C6" s="386"/>
    </row>
    <row r="7" spans="1:7" s="383" customFormat="1" ht="15.75" customHeight="1">
      <c r="A7" s="387" t="str">
        <f>txtMunicipality</f>
        <v>OUD-TURNHOUT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13918.147410096815</v>
      </c>
      <c r="D10" s="676">
        <f ca="1">tertiair!C16</f>
        <v>0</v>
      </c>
      <c r="E10" s="676">
        <f ca="1">tertiair!D16</f>
        <v>19160.953978540329</v>
      </c>
      <c r="F10" s="676">
        <f>tertiair!E16</f>
        <v>181.07596212533537</v>
      </c>
      <c r="G10" s="676">
        <f ca="1">tertiair!F16</f>
        <v>2989.9089213887573</v>
      </c>
      <c r="H10" s="676">
        <f>tertiair!G16</f>
        <v>0</v>
      </c>
      <c r="I10" s="676">
        <f>tertiair!H16</f>
        <v>0</v>
      </c>
      <c r="J10" s="676">
        <f>tertiair!I16</f>
        <v>0</v>
      </c>
      <c r="K10" s="676">
        <f>tertiair!J16</f>
        <v>0</v>
      </c>
      <c r="L10" s="676">
        <f>tertiair!K16</f>
        <v>0</v>
      </c>
      <c r="M10" s="676">
        <f ca="1">tertiair!L16</f>
        <v>0</v>
      </c>
      <c r="N10" s="676">
        <f>tertiair!M16</f>
        <v>0</v>
      </c>
      <c r="O10" s="676">
        <f ca="1">tertiair!N16</f>
        <v>2522.8563000765539</v>
      </c>
      <c r="P10" s="676">
        <f>tertiair!O16</f>
        <v>4.6900000000000004</v>
      </c>
      <c r="Q10" s="677">
        <f>tertiair!P16</f>
        <v>38.133333333333333</v>
      </c>
      <c r="R10" s="679">
        <f ca="1">SUM(C10:Q10)</f>
        <v>38815.765905561129</v>
      </c>
      <c r="S10" s="67"/>
    </row>
    <row r="11" spans="1:19" s="444" customFormat="1">
      <c r="A11" s="791" t="s">
        <v>214</v>
      </c>
      <c r="B11" s="796"/>
      <c r="C11" s="676">
        <f>huishoudens!B8</f>
        <v>25085.353981251435</v>
      </c>
      <c r="D11" s="676">
        <f>huishoudens!C8</f>
        <v>0</v>
      </c>
      <c r="E11" s="676">
        <f>huishoudens!D8</f>
        <v>81706.154518661875</v>
      </c>
      <c r="F11" s="676">
        <f>huishoudens!E8</f>
        <v>899.56858941306211</v>
      </c>
      <c r="G11" s="676">
        <f>huishoudens!F8</f>
        <v>27567.704699544298</v>
      </c>
      <c r="H11" s="676">
        <f>huishoudens!G8</f>
        <v>0</v>
      </c>
      <c r="I11" s="676">
        <f>huishoudens!H8</f>
        <v>0</v>
      </c>
      <c r="J11" s="676">
        <f>huishoudens!I8</f>
        <v>0</v>
      </c>
      <c r="K11" s="676">
        <f>huishoudens!J8</f>
        <v>522.07743490186044</v>
      </c>
      <c r="L11" s="676">
        <f>huishoudens!K8</f>
        <v>0</v>
      </c>
      <c r="M11" s="676">
        <f>huishoudens!L8</f>
        <v>0</v>
      </c>
      <c r="N11" s="676">
        <f>huishoudens!M8</f>
        <v>0</v>
      </c>
      <c r="O11" s="676">
        <f>huishoudens!N8</f>
        <v>7762.3820115134922</v>
      </c>
      <c r="P11" s="676">
        <f>huishoudens!O8</f>
        <v>187.6</v>
      </c>
      <c r="Q11" s="677">
        <f>huishoudens!P8</f>
        <v>457.6</v>
      </c>
      <c r="R11" s="679">
        <f>SUM(C11:Q11)</f>
        <v>144188.44123528601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2062.3381793937078</v>
      </c>
      <c r="D13" s="676">
        <f>industrie!C18</f>
        <v>0</v>
      </c>
      <c r="E13" s="676">
        <f>industrie!D18</f>
        <v>2219.1462549977273</v>
      </c>
      <c r="F13" s="676">
        <f>industrie!E18</f>
        <v>259.92400400768787</v>
      </c>
      <c r="G13" s="676">
        <f>industrie!F18</f>
        <v>1381.0780293881362</v>
      </c>
      <c r="H13" s="676">
        <f>industrie!G18</f>
        <v>0</v>
      </c>
      <c r="I13" s="676">
        <f>industrie!H18</f>
        <v>0</v>
      </c>
      <c r="J13" s="676">
        <f>industrie!I18</f>
        <v>0</v>
      </c>
      <c r="K13" s="676">
        <f>industrie!J18</f>
        <v>2.2682360493065197</v>
      </c>
      <c r="L13" s="676">
        <f>industrie!K18</f>
        <v>0</v>
      </c>
      <c r="M13" s="676">
        <f>industrie!L18</f>
        <v>0</v>
      </c>
      <c r="N13" s="676">
        <f>industrie!M18</f>
        <v>0</v>
      </c>
      <c r="O13" s="676">
        <f>industrie!N18</f>
        <v>241.76890431235466</v>
      </c>
      <c r="P13" s="676">
        <f>industrie!O18</f>
        <v>0</v>
      </c>
      <c r="Q13" s="677">
        <f>industrie!P18</f>
        <v>0</v>
      </c>
      <c r="R13" s="679">
        <f>SUM(C13:Q13)</f>
        <v>6166.5236081489202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41065.839570741962</v>
      </c>
      <c r="D16" s="711">
        <f t="shared" ref="D16:R16" ca="1" si="0">SUM(D9:D15)</f>
        <v>0</v>
      </c>
      <c r="E16" s="711">
        <f t="shared" ca="1" si="0"/>
        <v>103086.25475219994</v>
      </c>
      <c r="F16" s="711">
        <f t="shared" si="0"/>
        <v>1340.5685555460855</v>
      </c>
      <c r="G16" s="711">
        <f t="shared" ca="1" si="0"/>
        <v>31938.691650321191</v>
      </c>
      <c r="H16" s="711">
        <f t="shared" si="0"/>
        <v>0</v>
      </c>
      <c r="I16" s="711">
        <f t="shared" si="0"/>
        <v>0</v>
      </c>
      <c r="J16" s="711">
        <f t="shared" si="0"/>
        <v>0</v>
      </c>
      <c r="K16" s="711">
        <f t="shared" si="0"/>
        <v>524.34567095116699</v>
      </c>
      <c r="L16" s="711">
        <f t="shared" si="0"/>
        <v>0</v>
      </c>
      <c r="M16" s="711">
        <f t="shared" ca="1" si="0"/>
        <v>0</v>
      </c>
      <c r="N16" s="711">
        <f t="shared" si="0"/>
        <v>0</v>
      </c>
      <c r="O16" s="711">
        <f t="shared" ca="1" si="0"/>
        <v>10527.007215902402</v>
      </c>
      <c r="P16" s="711">
        <f t="shared" si="0"/>
        <v>192.29</v>
      </c>
      <c r="Q16" s="711">
        <f t="shared" si="0"/>
        <v>495.73333333333335</v>
      </c>
      <c r="R16" s="711">
        <f t="shared" ca="1" si="0"/>
        <v>189170.73074899605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6.9282623711850109</v>
      </c>
      <c r="D19" s="676">
        <f>transport!C54</f>
        <v>0</v>
      </c>
      <c r="E19" s="676">
        <f>transport!D54</f>
        <v>0</v>
      </c>
      <c r="F19" s="676">
        <f>transport!E54</f>
        <v>0</v>
      </c>
      <c r="G19" s="676">
        <f>transport!F54</f>
        <v>0</v>
      </c>
      <c r="H19" s="676">
        <f>transport!G54</f>
        <v>1348.5470350683934</v>
      </c>
      <c r="I19" s="676">
        <f>transport!H54</f>
        <v>0</v>
      </c>
      <c r="J19" s="676">
        <f>transport!I54</f>
        <v>0</v>
      </c>
      <c r="K19" s="676">
        <f>transport!J54</f>
        <v>0</v>
      </c>
      <c r="L19" s="676">
        <f>transport!K54</f>
        <v>0</v>
      </c>
      <c r="M19" s="676">
        <f>transport!L54</f>
        <v>0</v>
      </c>
      <c r="N19" s="676">
        <f>transport!M54</f>
        <v>60.469982169091395</v>
      </c>
      <c r="O19" s="676">
        <f>transport!N54</f>
        <v>0</v>
      </c>
      <c r="P19" s="676">
        <f>transport!O54</f>
        <v>0</v>
      </c>
      <c r="Q19" s="677">
        <f>transport!P54</f>
        <v>0</v>
      </c>
      <c r="R19" s="679">
        <f>SUM(C19:Q19)</f>
        <v>1415.9452796086698</v>
      </c>
      <c r="S19" s="67"/>
    </row>
    <row r="20" spans="1:19" s="444" customFormat="1">
      <c r="A20" s="791" t="s">
        <v>296</v>
      </c>
      <c r="B20" s="796"/>
      <c r="C20" s="676">
        <f>transport!B14</f>
        <v>8.9683858414238298</v>
      </c>
      <c r="D20" s="676">
        <f>transport!C14</f>
        <v>0</v>
      </c>
      <c r="E20" s="676">
        <f>transport!D14</f>
        <v>8.0263599995005546</v>
      </c>
      <c r="F20" s="676">
        <f>transport!E14</f>
        <v>317.13668044412634</v>
      </c>
      <c r="G20" s="676">
        <f>transport!F14</f>
        <v>0</v>
      </c>
      <c r="H20" s="676">
        <f>transport!G14</f>
        <v>109214.84126385853</v>
      </c>
      <c r="I20" s="676">
        <f>transport!H14</f>
        <v>14107.445601792935</v>
      </c>
      <c r="J20" s="676">
        <f>transport!I14</f>
        <v>0</v>
      </c>
      <c r="K20" s="676">
        <f>transport!J14</f>
        <v>0</v>
      </c>
      <c r="L20" s="676">
        <f>transport!K14</f>
        <v>0</v>
      </c>
      <c r="M20" s="676">
        <f>transport!L14</f>
        <v>0</v>
      </c>
      <c r="N20" s="676">
        <f>transport!M14</f>
        <v>5574.2297458046978</v>
      </c>
      <c r="O20" s="676">
        <f>transport!N14</f>
        <v>0</v>
      </c>
      <c r="P20" s="676">
        <f>transport!O14</f>
        <v>0</v>
      </c>
      <c r="Q20" s="677">
        <f>transport!P14</f>
        <v>0</v>
      </c>
      <c r="R20" s="679">
        <f>SUM(C20:Q20)</f>
        <v>129230.64803774121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15.896648212608842</v>
      </c>
      <c r="D22" s="794">
        <f t="shared" ref="D22:R22" si="1">SUM(D18:D21)</f>
        <v>0</v>
      </c>
      <c r="E22" s="794">
        <f t="shared" si="1"/>
        <v>8.0263599995005546</v>
      </c>
      <c r="F22" s="794">
        <f t="shared" si="1"/>
        <v>317.13668044412634</v>
      </c>
      <c r="G22" s="794">
        <f t="shared" si="1"/>
        <v>0</v>
      </c>
      <c r="H22" s="794">
        <f t="shared" si="1"/>
        <v>110563.38829892692</v>
      </c>
      <c r="I22" s="794">
        <f t="shared" si="1"/>
        <v>14107.445601792935</v>
      </c>
      <c r="J22" s="794">
        <f t="shared" si="1"/>
        <v>0</v>
      </c>
      <c r="K22" s="794">
        <f t="shared" si="1"/>
        <v>0</v>
      </c>
      <c r="L22" s="794">
        <f t="shared" si="1"/>
        <v>0</v>
      </c>
      <c r="M22" s="794">
        <f t="shared" si="1"/>
        <v>0</v>
      </c>
      <c r="N22" s="794">
        <f t="shared" si="1"/>
        <v>5634.6997279737889</v>
      </c>
      <c r="O22" s="794">
        <f t="shared" si="1"/>
        <v>0</v>
      </c>
      <c r="P22" s="794">
        <f t="shared" si="1"/>
        <v>0</v>
      </c>
      <c r="Q22" s="794">
        <f t="shared" si="1"/>
        <v>0</v>
      </c>
      <c r="R22" s="794">
        <f t="shared" si="1"/>
        <v>130646.59331734988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2455.4040526368212</v>
      </c>
      <c r="D24" s="676">
        <f>+landbouw!C8</f>
        <v>17228.571428571428</v>
      </c>
      <c r="E24" s="676">
        <f>+landbouw!D8</f>
        <v>0</v>
      </c>
      <c r="F24" s="676">
        <f>+landbouw!E8</f>
        <v>30.941254266788114</v>
      </c>
      <c r="G24" s="676">
        <f>+landbouw!F8</f>
        <v>8471.7590970668771</v>
      </c>
      <c r="H24" s="676">
        <f>+landbouw!G8</f>
        <v>0</v>
      </c>
      <c r="I24" s="676">
        <f>+landbouw!H8</f>
        <v>0</v>
      </c>
      <c r="J24" s="676">
        <f>+landbouw!I8</f>
        <v>0</v>
      </c>
      <c r="K24" s="676">
        <f>+landbouw!J8</f>
        <v>369.26485746841541</v>
      </c>
      <c r="L24" s="676">
        <f>+landbouw!K8</f>
        <v>0</v>
      </c>
      <c r="M24" s="676">
        <f>+landbouw!L8</f>
        <v>0</v>
      </c>
      <c r="N24" s="676">
        <f>+landbouw!M8</f>
        <v>0</v>
      </c>
      <c r="O24" s="676">
        <f>+landbouw!N8</f>
        <v>0</v>
      </c>
      <c r="P24" s="676">
        <f>+landbouw!O8</f>
        <v>0</v>
      </c>
      <c r="Q24" s="677">
        <f>+landbouw!P8</f>
        <v>0</v>
      </c>
      <c r="R24" s="679">
        <f>SUM(C24:Q24)</f>
        <v>28555.940690010331</v>
      </c>
      <c r="S24" s="67"/>
    </row>
    <row r="25" spans="1:19" s="444" customFormat="1" ht="15" thickBot="1">
      <c r="A25" s="813" t="s">
        <v>833</v>
      </c>
      <c r="B25" s="977"/>
      <c r="C25" s="978">
        <f>IF(Onbekend_ele_kWh="---",0,Onbekend_ele_kWh)/1000+IF(REST_rest_ele_kWh="---",0,REST_rest_ele_kWh)/1000</f>
        <v>666.15004971975702</v>
      </c>
      <c r="D25" s="978"/>
      <c r="E25" s="978">
        <f>IF(onbekend_gas_kWh="---",0,onbekend_gas_kWh)/1000+IF(REST_rest_gas_kWh="---",0,REST_rest_gas_kWh)/1000</f>
        <v>1755.8426039275901</v>
      </c>
      <c r="F25" s="978"/>
      <c r="G25" s="978"/>
      <c r="H25" s="978"/>
      <c r="I25" s="978"/>
      <c r="J25" s="978"/>
      <c r="K25" s="978"/>
      <c r="L25" s="978"/>
      <c r="M25" s="978"/>
      <c r="N25" s="978"/>
      <c r="O25" s="978"/>
      <c r="P25" s="978"/>
      <c r="Q25" s="979"/>
      <c r="R25" s="679">
        <f>SUM(C25:Q25)</f>
        <v>2421.9926536473472</v>
      </c>
      <c r="S25" s="67"/>
    </row>
    <row r="26" spans="1:19" s="444" customFormat="1" ht="15.75" thickBot="1">
      <c r="A26" s="684" t="s">
        <v>834</v>
      </c>
      <c r="B26" s="799"/>
      <c r="C26" s="794">
        <f>SUM(C24:C25)</f>
        <v>3121.5541023565784</v>
      </c>
      <c r="D26" s="794">
        <f t="shared" ref="D26:R26" si="2">SUM(D24:D25)</f>
        <v>17228.571428571428</v>
      </c>
      <c r="E26" s="794">
        <f t="shared" si="2"/>
        <v>1755.8426039275901</v>
      </c>
      <c r="F26" s="794">
        <f t="shared" si="2"/>
        <v>30.941254266788114</v>
      </c>
      <c r="G26" s="794">
        <f t="shared" si="2"/>
        <v>8471.7590970668771</v>
      </c>
      <c r="H26" s="794">
        <f t="shared" si="2"/>
        <v>0</v>
      </c>
      <c r="I26" s="794">
        <f t="shared" si="2"/>
        <v>0</v>
      </c>
      <c r="J26" s="794">
        <f t="shared" si="2"/>
        <v>0</v>
      </c>
      <c r="K26" s="794">
        <f t="shared" si="2"/>
        <v>369.26485746841541</v>
      </c>
      <c r="L26" s="794">
        <f t="shared" si="2"/>
        <v>0</v>
      </c>
      <c r="M26" s="794">
        <f t="shared" si="2"/>
        <v>0</v>
      </c>
      <c r="N26" s="794">
        <f t="shared" si="2"/>
        <v>0</v>
      </c>
      <c r="O26" s="794">
        <f t="shared" si="2"/>
        <v>0</v>
      </c>
      <c r="P26" s="794">
        <f t="shared" si="2"/>
        <v>0</v>
      </c>
      <c r="Q26" s="794">
        <f t="shared" si="2"/>
        <v>0</v>
      </c>
      <c r="R26" s="794">
        <f t="shared" si="2"/>
        <v>30977.933343657678</v>
      </c>
      <c r="S26" s="67"/>
    </row>
    <row r="27" spans="1:19" s="444" customFormat="1" ht="17.25" thickTop="1" thickBot="1">
      <c r="A27" s="685" t="s">
        <v>109</v>
      </c>
      <c r="B27" s="786"/>
      <c r="C27" s="686">
        <f ca="1">C22+C16+C26</f>
        <v>44203.290321311142</v>
      </c>
      <c r="D27" s="686">
        <f t="shared" ref="D27:R27" ca="1" si="3">D22+D16+D26</f>
        <v>17228.571428571428</v>
      </c>
      <c r="E27" s="686">
        <f t="shared" ca="1" si="3"/>
        <v>104850.12371612703</v>
      </c>
      <c r="F27" s="686">
        <f t="shared" si="3"/>
        <v>1688.6464902569999</v>
      </c>
      <c r="G27" s="686">
        <f t="shared" ca="1" si="3"/>
        <v>40410.450747388066</v>
      </c>
      <c r="H27" s="686">
        <f t="shared" si="3"/>
        <v>110563.38829892692</v>
      </c>
      <c r="I27" s="686">
        <f t="shared" si="3"/>
        <v>14107.445601792935</v>
      </c>
      <c r="J27" s="686">
        <f t="shared" si="3"/>
        <v>0</v>
      </c>
      <c r="K27" s="686">
        <f t="shared" si="3"/>
        <v>893.61052841958235</v>
      </c>
      <c r="L27" s="686">
        <f t="shared" si="3"/>
        <v>0</v>
      </c>
      <c r="M27" s="686">
        <f t="shared" ca="1" si="3"/>
        <v>0</v>
      </c>
      <c r="N27" s="686">
        <f t="shared" si="3"/>
        <v>5634.6997279737889</v>
      </c>
      <c r="O27" s="686">
        <f t="shared" ca="1" si="3"/>
        <v>10527.007215902402</v>
      </c>
      <c r="P27" s="686">
        <f t="shared" si="3"/>
        <v>192.29</v>
      </c>
      <c r="Q27" s="686">
        <f t="shared" si="3"/>
        <v>495.73333333333335</v>
      </c>
      <c r="R27" s="686">
        <f t="shared" ca="1" si="3"/>
        <v>350795.25741000363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2575.7799424778109</v>
      </c>
      <c r="D40" s="676">
        <f ca="1">tertiair!C20</f>
        <v>0</v>
      </c>
      <c r="E40" s="676">
        <f ca="1">tertiair!D20</f>
        <v>3870.5127036651465</v>
      </c>
      <c r="F40" s="676">
        <f>tertiair!E20</f>
        <v>41.104243402451132</v>
      </c>
      <c r="G40" s="676">
        <f ca="1">tertiair!F20</f>
        <v>798.30568201079825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7285.7025715562077</v>
      </c>
    </row>
    <row r="41" spans="1:18">
      <c r="A41" s="804" t="s">
        <v>214</v>
      </c>
      <c r="B41" s="811"/>
      <c r="C41" s="676">
        <f ca="1">huishoudens!B12</f>
        <v>4642.4534624478365</v>
      </c>
      <c r="D41" s="676">
        <f ca="1">huishoudens!C12</f>
        <v>0</v>
      </c>
      <c r="E41" s="676">
        <f>huishoudens!D12</f>
        <v>16504.643212769701</v>
      </c>
      <c r="F41" s="676">
        <f>huishoudens!E12</f>
        <v>204.2020697967651</v>
      </c>
      <c r="G41" s="676">
        <f>huishoudens!F12</f>
        <v>7360.5771547783279</v>
      </c>
      <c r="H41" s="676">
        <f>huishoudens!G12</f>
        <v>0</v>
      </c>
      <c r="I41" s="676">
        <f>huishoudens!H12</f>
        <v>0</v>
      </c>
      <c r="J41" s="676">
        <f>huishoudens!I12</f>
        <v>0</v>
      </c>
      <c r="K41" s="676">
        <f>huishoudens!J12</f>
        <v>184.81541195525858</v>
      </c>
      <c r="L41" s="676">
        <f>huishoudens!K12</f>
        <v>0</v>
      </c>
      <c r="M41" s="676">
        <f>huishoudens!L12</f>
        <v>0</v>
      </c>
      <c r="N41" s="676">
        <f>huishoudens!M12</f>
        <v>0</v>
      </c>
      <c r="O41" s="676">
        <f>huishoudens!N12</f>
        <v>0</v>
      </c>
      <c r="P41" s="676">
        <f>huishoudens!O12</f>
        <v>0</v>
      </c>
      <c r="Q41" s="753">
        <f>huishoudens!P12</f>
        <v>0</v>
      </c>
      <c r="R41" s="832">
        <f t="shared" ca="1" si="4"/>
        <v>28896.691311747887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381.6692811598528</v>
      </c>
      <c r="D43" s="676">
        <f ca="1">industrie!C22</f>
        <v>0</v>
      </c>
      <c r="E43" s="676">
        <f>industrie!D22</f>
        <v>448.26754350954093</v>
      </c>
      <c r="F43" s="676">
        <f>industrie!E22</f>
        <v>59.002748909745151</v>
      </c>
      <c r="G43" s="676">
        <f>industrie!F22</f>
        <v>368.74783384663237</v>
      </c>
      <c r="H43" s="676">
        <f>industrie!G22</f>
        <v>0</v>
      </c>
      <c r="I43" s="676">
        <f>industrie!H22</f>
        <v>0</v>
      </c>
      <c r="J43" s="676">
        <f>industrie!I22</f>
        <v>0</v>
      </c>
      <c r="K43" s="676">
        <f>industrie!J22</f>
        <v>0.80295556145450797</v>
      </c>
      <c r="L43" s="676">
        <f>industrie!K22</f>
        <v>0</v>
      </c>
      <c r="M43" s="676">
        <f>industrie!L22</f>
        <v>0</v>
      </c>
      <c r="N43" s="676">
        <f>industrie!M22</f>
        <v>0</v>
      </c>
      <c r="O43" s="676">
        <f>industrie!N22</f>
        <v>0</v>
      </c>
      <c r="P43" s="676">
        <f>industrie!O22</f>
        <v>0</v>
      </c>
      <c r="Q43" s="753">
        <f>industrie!P22</f>
        <v>0</v>
      </c>
      <c r="R43" s="831">
        <f t="shared" ca="1" si="4"/>
        <v>1258.4903629872258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7599.902686085501</v>
      </c>
      <c r="D46" s="711">
        <f t="shared" ref="D46:Q46" ca="1" si="5">SUM(D39:D45)</f>
        <v>0</v>
      </c>
      <c r="E46" s="711">
        <f t="shared" ca="1" si="5"/>
        <v>20823.423459944388</v>
      </c>
      <c r="F46" s="711">
        <f t="shared" si="5"/>
        <v>304.30906210896137</v>
      </c>
      <c r="G46" s="711">
        <f t="shared" ca="1" si="5"/>
        <v>8527.6306706357591</v>
      </c>
      <c r="H46" s="711">
        <f t="shared" si="5"/>
        <v>0</v>
      </c>
      <c r="I46" s="711">
        <f t="shared" si="5"/>
        <v>0</v>
      </c>
      <c r="J46" s="711">
        <f t="shared" si="5"/>
        <v>0</v>
      </c>
      <c r="K46" s="711">
        <f t="shared" si="5"/>
        <v>185.61836751671308</v>
      </c>
      <c r="L46" s="711">
        <f t="shared" si="5"/>
        <v>0</v>
      </c>
      <c r="M46" s="711">
        <f t="shared" ca="1" si="5"/>
        <v>0</v>
      </c>
      <c r="N46" s="711">
        <f t="shared" si="5"/>
        <v>0</v>
      </c>
      <c r="O46" s="711">
        <f t="shared" ca="1" si="5"/>
        <v>0</v>
      </c>
      <c r="P46" s="711">
        <f t="shared" si="5"/>
        <v>0</v>
      </c>
      <c r="Q46" s="711">
        <f t="shared" si="5"/>
        <v>0</v>
      </c>
      <c r="R46" s="711">
        <f ca="1">SUM(R39:R45)</f>
        <v>37440.884246291324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1.2821878319075781</v>
      </c>
      <c r="D49" s="676">
        <f ca="1">transport!C58</f>
        <v>0</v>
      </c>
      <c r="E49" s="676">
        <f>transport!D58</f>
        <v>0</v>
      </c>
      <c r="F49" s="676">
        <f>transport!E58</f>
        <v>0</v>
      </c>
      <c r="G49" s="676">
        <f>transport!F58</f>
        <v>0</v>
      </c>
      <c r="H49" s="676">
        <f>transport!G58</f>
        <v>360.06205836326103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361.34424619516864</v>
      </c>
    </row>
    <row r="50" spans="1:18">
      <c r="A50" s="807" t="s">
        <v>296</v>
      </c>
      <c r="B50" s="817"/>
      <c r="C50" s="682">
        <f ca="1">transport!B18</f>
        <v>1.6597459192006645</v>
      </c>
      <c r="D50" s="682">
        <f>transport!C18</f>
        <v>0</v>
      </c>
      <c r="E50" s="682">
        <f>transport!D18</f>
        <v>1.6213247198991121</v>
      </c>
      <c r="F50" s="682">
        <f>transport!E18</f>
        <v>71.990026460816679</v>
      </c>
      <c r="G50" s="682">
        <f>transport!F18</f>
        <v>0</v>
      </c>
      <c r="H50" s="682">
        <f>transport!G18</f>
        <v>29160.362617450228</v>
      </c>
      <c r="I50" s="682">
        <f>transport!H18</f>
        <v>3512.753954846441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32748.387669396587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2.9419337511082428</v>
      </c>
      <c r="D52" s="711">
        <f t="shared" ref="D52:Q52" ca="1" si="6">SUM(D48:D51)</f>
        <v>0</v>
      </c>
      <c r="E52" s="711">
        <f t="shared" si="6"/>
        <v>1.6213247198991121</v>
      </c>
      <c r="F52" s="711">
        <f t="shared" si="6"/>
        <v>71.990026460816679</v>
      </c>
      <c r="G52" s="711">
        <f t="shared" si="6"/>
        <v>0</v>
      </c>
      <c r="H52" s="711">
        <f t="shared" si="6"/>
        <v>29520.42467581349</v>
      </c>
      <c r="I52" s="711">
        <f t="shared" si="6"/>
        <v>3512.753954846441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33109.731915591758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454.41252510894776</v>
      </c>
      <c r="D54" s="682">
        <f ca="1">+landbouw!C12</f>
        <v>4094.3193277310938</v>
      </c>
      <c r="E54" s="682">
        <f>+landbouw!D12</f>
        <v>0</v>
      </c>
      <c r="F54" s="682">
        <f>+landbouw!E12</f>
        <v>7.0236647185609025</v>
      </c>
      <c r="G54" s="682">
        <f>+landbouw!F12</f>
        <v>2261.9596789168563</v>
      </c>
      <c r="H54" s="682">
        <f>+landbouw!G12</f>
        <v>0</v>
      </c>
      <c r="I54" s="682">
        <f>+landbouw!H12</f>
        <v>0</v>
      </c>
      <c r="J54" s="682">
        <f>+landbouw!I12</f>
        <v>0</v>
      </c>
      <c r="K54" s="682">
        <f>+landbouw!J12</f>
        <v>130.71975954381904</v>
      </c>
      <c r="L54" s="682">
        <f>+landbouw!K12</f>
        <v>0</v>
      </c>
      <c r="M54" s="682">
        <f>+landbouw!L12</f>
        <v>0</v>
      </c>
      <c r="N54" s="682">
        <f>+landbouw!M12</f>
        <v>0</v>
      </c>
      <c r="O54" s="682">
        <f>+landbouw!N12</f>
        <v>0</v>
      </c>
      <c r="P54" s="682">
        <f>+landbouw!O12</f>
        <v>0</v>
      </c>
      <c r="Q54" s="683">
        <f>+landbouw!P12</f>
        <v>0</v>
      </c>
      <c r="R54" s="710">
        <f ca="1">SUM(C54:Q54)</f>
        <v>6948.4349560192786</v>
      </c>
    </row>
    <row r="55" spans="1:18" ht="15" thickBot="1">
      <c r="A55" s="807" t="s">
        <v>833</v>
      </c>
      <c r="B55" s="817"/>
      <c r="C55" s="682">
        <f ca="1">C25*'EF ele_warmte'!B12</f>
        <v>123.28192008542688</v>
      </c>
      <c r="D55" s="682"/>
      <c r="E55" s="682">
        <f>E25*EF_CO2_aardgas</f>
        <v>354.68020599337319</v>
      </c>
      <c r="F55" s="682"/>
      <c r="G55" s="682"/>
      <c r="H55" s="682"/>
      <c r="I55" s="682"/>
      <c r="J55" s="682"/>
      <c r="K55" s="682"/>
      <c r="L55" s="682"/>
      <c r="M55" s="682"/>
      <c r="N55" s="682"/>
      <c r="O55" s="682"/>
      <c r="P55" s="682"/>
      <c r="Q55" s="683"/>
      <c r="R55" s="710">
        <f ca="1">SUM(C55:Q55)</f>
        <v>477.96212607880005</v>
      </c>
    </row>
    <row r="56" spans="1:18" ht="15.75" thickBot="1">
      <c r="A56" s="805" t="s">
        <v>834</v>
      </c>
      <c r="B56" s="818"/>
      <c r="C56" s="711">
        <f ca="1">SUM(C54:C55)</f>
        <v>577.69444519437468</v>
      </c>
      <c r="D56" s="711">
        <f t="shared" ref="D56:Q56" ca="1" si="7">SUM(D54:D55)</f>
        <v>4094.3193277310938</v>
      </c>
      <c r="E56" s="711">
        <f t="shared" si="7"/>
        <v>354.68020599337319</v>
      </c>
      <c r="F56" s="711">
        <f t="shared" si="7"/>
        <v>7.0236647185609025</v>
      </c>
      <c r="G56" s="711">
        <f t="shared" si="7"/>
        <v>2261.9596789168563</v>
      </c>
      <c r="H56" s="711">
        <f t="shared" si="7"/>
        <v>0</v>
      </c>
      <c r="I56" s="711">
        <f t="shared" si="7"/>
        <v>0</v>
      </c>
      <c r="J56" s="711">
        <f t="shared" si="7"/>
        <v>0</v>
      </c>
      <c r="K56" s="711">
        <f t="shared" si="7"/>
        <v>130.71975954381904</v>
      </c>
      <c r="L56" s="711">
        <f t="shared" si="7"/>
        <v>0</v>
      </c>
      <c r="M56" s="711">
        <f t="shared" si="7"/>
        <v>0</v>
      </c>
      <c r="N56" s="711">
        <f t="shared" si="7"/>
        <v>0</v>
      </c>
      <c r="O56" s="711">
        <f t="shared" si="7"/>
        <v>0</v>
      </c>
      <c r="P56" s="711">
        <f t="shared" si="7"/>
        <v>0</v>
      </c>
      <c r="Q56" s="712">
        <f t="shared" si="7"/>
        <v>0</v>
      </c>
      <c r="R56" s="713">
        <f ca="1">SUM(R54:R55)</f>
        <v>7426.3970820980785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8180.5390650309837</v>
      </c>
      <c r="D61" s="719">
        <f t="shared" ref="D61:Q61" ca="1" si="8">D46+D52+D56</f>
        <v>4094.3193277310938</v>
      </c>
      <c r="E61" s="719">
        <f t="shared" ca="1" si="8"/>
        <v>21179.724990657658</v>
      </c>
      <c r="F61" s="719">
        <f t="shared" si="8"/>
        <v>383.32275328833896</v>
      </c>
      <c r="G61" s="719">
        <f t="shared" ca="1" si="8"/>
        <v>10789.590349552614</v>
      </c>
      <c r="H61" s="719">
        <f t="shared" si="8"/>
        <v>29520.42467581349</v>
      </c>
      <c r="I61" s="719">
        <f t="shared" si="8"/>
        <v>3512.753954846441</v>
      </c>
      <c r="J61" s="719">
        <f t="shared" si="8"/>
        <v>0</v>
      </c>
      <c r="K61" s="719">
        <f t="shared" si="8"/>
        <v>316.33812706053209</v>
      </c>
      <c r="L61" s="719">
        <f t="shared" si="8"/>
        <v>0</v>
      </c>
      <c r="M61" s="719">
        <f t="shared" ca="1" si="8"/>
        <v>0</v>
      </c>
      <c r="N61" s="719">
        <f t="shared" si="8"/>
        <v>0</v>
      </c>
      <c r="O61" s="719">
        <f t="shared" ca="1" si="8"/>
        <v>0</v>
      </c>
      <c r="P61" s="719">
        <f t="shared" si="8"/>
        <v>0</v>
      </c>
      <c r="Q61" s="719">
        <f t="shared" si="8"/>
        <v>0</v>
      </c>
      <c r="R61" s="719">
        <f ca="1">R46+R52+R56</f>
        <v>77977.013243981157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0.18506629270280836</v>
      </c>
      <c r="D63" s="762">
        <f t="shared" ca="1" si="9"/>
        <v>0.23764705882352952</v>
      </c>
      <c r="E63" s="984">
        <f t="shared" ca="1" si="9"/>
        <v>0.20199999999999999</v>
      </c>
      <c r="F63" s="762">
        <f t="shared" si="9"/>
        <v>0.22699999999999998</v>
      </c>
      <c r="G63" s="762">
        <f t="shared" ca="1" si="9"/>
        <v>0.26700000000000002</v>
      </c>
      <c r="H63" s="762">
        <f t="shared" si="9"/>
        <v>0.26700000000000002</v>
      </c>
      <c r="I63" s="762">
        <f t="shared" si="9"/>
        <v>0.24900000000000003</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4232.3554720000002</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3863.3532401744128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12060</v>
      </c>
      <c r="D76" s="994">
        <f>'lokale energieproductie'!C8</f>
        <v>14188.23529411765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2866.0235294117656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8095.7087121744134</v>
      </c>
      <c r="C78" s="734">
        <f>SUM(C72:C77)</f>
        <v>12060</v>
      </c>
      <c r="D78" s="735">
        <f t="shared" ref="D78:H78" si="10">SUM(D76:D77)</f>
        <v>14188.23529411765</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2866.0235294117656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17228.571428571428</v>
      </c>
      <c r="D87" s="756">
        <f>'lokale energieproductie'!C17</f>
        <v>20268.907563025215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4094.3193277310938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17228.571428571428</v>
      </c>
      <c r="D90" s="734">
        <f t="shared" ref="D90:H90" si="12">SUM(D87:D89)</f>
        <v>20268.907563025215</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4094.3193277310938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25085.353981251435</v>
      </c>
      <c r="C4" s="448">
        <f>huishoudens!C8</f>
        <v>0</v>
      </c>
      <c r="D4" s="448">
        <f>huishoudens!D8</f>
        <v>81706.154518661875</v>
      </c>
      <c r="E4" s="448">
        <f>huishoudens!E8</f>
        <v>899.56858941306211</v>
      </c>
      <c r="F4" s="448">
        <f>huishoudens!F8</f>
        <v>27567.704699544298</v>
      </c>
      <c r="G4" s="448">
        <f>huishoudens!G8</f>
        <v>0</v>
      </c>
      <c r="H4" s="448">
        <f>huishoudens!H8</f>
        <v>0</v>
      </c>
      <c r="I4" s="448">
        <f>huishoudens!I8</f>
        <v>0</v>
      </c>
      <c r="J4" s="448">
        <f>huishoudens!J8</f>
        <v>522.07743490186044</v>
      </c>
      <c r="K4" s="448">
        <f>huishoudens!K8</f>
        <v>0</v>
      </c>
      <c r="L4" s="448">
        <f>huishoudens!L8</f>
        <v>0</v>
      </c>
      <c r="M4" s="448">
        <f>huishoudens!M8</f>
        <v>0</v>
      </c>
      <c r="N4" s="448">
        <f>huishoudens!N8</f>
        <v>7762.3820115134922</v>
      </c>
      <c r="O4" s="448">
        <f>huishoudens!O8</f>
        <v>187.6</v>
      </c>
      <c r="P4" s="449">
        <f>huishoudens!P8</f>
        <v>457.6</v>
      </c>
      <c r="Q4" s="450">
        <f>SUM(B4:P4)</f>
        <v>144188.44123528601</v>
      </c>
    </row>
    <row r="5" spans="1:17">
      <c r="A5" s="447" t="s">
        <v>149</v>
      </c>
      <c r="B5" s="448">
        <f ca="1">tertiair!B16</f>
        <v>13217.214410096814</v>
      </c>
      <c r="C5" s="448">
        <f ca="1">tertiair!C16</f>
        <v>0</v>
      </c>
      <c r="D5" s="448">
        <f ca="1">tertiair!D16</f>
        <v>19160.953978540329</v>
      </c>
      <c r="E5" s="448">
        <f>tertiair!E16</f>
        <v>181.07596212533537</v>
      </c>
      <c r="F5" s="448">
        <f ca="1">tertiair!F16</f>
        <v>2989.9089213887573</v>
      </c>
      <c r="G5" s="448">
        <f>tertiair!G16</f>
        <v>0</v>
      </c>
      <c r="H5" s="448">
        <f>tertiair!H16</f>
        <v>0</v>
      </c>
      <c r="I5" s="448">
        <f>tertiair!I16</f>
        <v>0</v>
      </c>
      <c r="J5" s="448">
        <f>tertiair!J16</f>
        <v>0</v>
      </c>
      <c r="K5" s="448">
        <f>tertiair!K16</f>
        <v>0</v>
      </c>
      <c r="L5" s="448">
        <f ca="1">tertiair!L16</f>
        <v>0</v>
      </c>
      <c r="M5" s="448">
        <f>tertiair!M16</f>
        <v>0</v>
      </c>
      <c r="N5" s="448">
        <f ca="1">tertiair!N16</f>
        <v>2522.8563000765539</v>
      </c>
      <c r="O5" s="448">
        <f>tertiair!O16</f>
        <v>4.6900000000000004</v>
      </c>
      <c r="P5" s="449">
        <f>tertiair!P16</f>
        <v>38.133333333333333</v>
      </c>
      <c r="Q5" s="447">
        <f t="shared" ref="Q5:Q14" ca="1" si="0">SUM(B5:P5)</f>
        <v>38114.832905561125</v>
      </c>
    </row>
    <row r="6" spans="1:17">
      <c r="A6" s="447" t="s">
        <v>187</v>
      </c>
      <c r="B6" s="448">
        <f>'openbare verlichting'!B8</f>
        <v>700.93299999999999</v>
      </c>
      <c r="C6" s="448"/>
      <c r="D6" s="448"/>
      <c r="E6" s="448"/>
      <c r="F6" s="448"/>
      <c r="G6" s="448"/>
      <c r="H6" s="448"/>
      <c r="I6" s="448"/>
      <c r="J6" s="448"/>
      <c r="K6" s="448"/>
      <c r="L6" s="448"/>
      <c r="M6" s="448"/>
      <c r="N6" s="448"/>
      <c r="O6" s="448"/>
      <c r="P6" s="449"/>
      <c r="Q6" s="447">
        <f t="shared" si="0"/>
        <v>700.93299999999999</v>
      </c>
    </row>
    <row r="7" spans="1:17">
      <c r="A7" s="447" t="s">
        <v>105</v>
      </c>
      <c r="B7" s="448">
        <f>landbouw!B8</f>
        <v>2455.4040526368212</v>
      </c>
      <c r="C7" s="448">
        <f>landbouw!C8</f>
        <v>17228.571428571428</v>
      </c>
      <c r="D7" s="448">
        <f>landbouw!D8</f>
        <v>0</v>
      </c>
      <c r="E7" s="448">
        <f>landbouw!E8</f>
        <v>30.941254266788114</v>
      </c>
      <c r="F7" s="448">
        <f>landbouw!F8</f>
        <v>8471.7590970668771</v>
      </c>
      <c r="G7" s="448">
        <f>landbouw!G8</f>
        <v>0</v>
      </c>
      <c r="H7" s="448">
        <f>landbouw!H8</f>
        <v>0</v>
      </c>
      <c r="I7" s="448">
        <f>landbouw!I8</f>
        <v>0</v>
      </c>
      <c r="J7" s="448">
        <f>landbouw!J8</f>
        <v>369.26485746841541</v>
      </c>
      <c r="K7" s="448">
        <f>landbouw!K8</f>
        <v>0</v>
      </c>
      <c r="L7" s="448">
        <f>landbouw!L8</f>
        <v>0</v>
      </c>
      <c r="M7" s="448">
        <f>landbouw!M8</f>
        <v>0</v>
      </c>
      <c r="N7" s="448">
        <f>landbouw!N8</f>
        <v>0</v>
      </c>
      <c r="O7" s="448">
        <f>landbouw!O8</f>
        <v>0</v>
      </c>
      <c r="P7" s="449">
        <f>landbouw!P8</f>
        <v>0</v>
      </c>
      <c r="Q7" s="447">
        <f t="shared" si="0"/>
        <v>28555.940690010331</v>
      </c>
    </row>
    <row r="8" spans="1:17">
      <c r="A8" s="447" t="s">
        <v>639</v>
      </c>
      <c r="B8" s="448">
        <f>industrie!B18</f>
        <v>2062.3381793937078</v>
      </c>
      <c r="C8" s="448">
        <f>industrie!C18</f>
        <v>0</v>
      </c>
      <c r="D8" s="448">
        <f>industrie!D18</f>
        <v>2219.1462549977273</v>
      </c>
      <c r="E8" s="448">
        <f>industrie!E18</f>
        <v>259.92400400768787</v>
      </c>
      <c r="F8" s="448">
        <f>industrie!F18</f>
        <v>1381.0780293881362</v>
      </c>
      <c r="G8" s="448">
        <f>industrie!G18</f>
        <v>0</v>
      </c>
      <c r="H8" s="448">
        <f>industrie!H18</f>
        <v>0</v>
      </c>
      <c r="I8" s="448">
        <f>industrie!I18</f>
        <v>0</v>
      </c>
      <c r="J8" s="448">
        <f>industrie!J18</f>
        <v>2.2682360493065197</v>
      </c>
      <c r="K8" s="448">
        <f>industrie!K18</f>
        <v>0</v>
      </c>
      <c r="L8" s="448">
        <f>industrie!L18</f>
        <v>0</v>
      </c>
      <c r="M8" s="448">
        <f>industrie!M18</f>
        <v>0</v>
      </c>
      <c r="N8" s="448">
        <f>industrie!N18</f>
        <v>241.76890431235466</v>
      </c>
      <c r="O8" s="448">
        <f>industrie!O18</f>
        <v>0</v>
      </c>
      <c r="P8" s="449">
        <f>industrie!P18</f>
        <v>0</v>
      </c>
      <c r="Q8" s="447">
        <f t="shared" si="0"/>
        <v>6166.5236081489202</v>
      </c>
    </row>
    <row r="9" spans="1:17" s="453" customFormat="1">
      <c r="A9" s="451" t="s">
        <v>557</v>
      </c>
      <c r="B9" s="452">
        <f>transport!B14</f>
        <v>8.9683858414238298</v>
      </c>
      <c r="C9" s="452">
        <f>transport!C14</f>
        <v>0</v>
      </c>
      <c r="D9" s="452">
        <f>transport!D14</f>
        <v>8.0263599995005546</v>
      </c>
      <c r="E9" s="452">
        <f>transport!E14</f>
        <v>317.13668044412634</v>
      </c>
      <c r="F9" s="452">
        <f>transport!F14</f>
        <v>0</v>
      </c>
      <c r="G9" s="452">
        <f>transport!G14</f>
        <v>109214.84126385853</v>
      </c>
      <c r="H9" s="452">
        <f>transport!H14</f>
        <v>14107.445601792935</v>
      </c>
      <c r="I9" s="452">
        <f>transport!I14</f>
        <v>0</v>
      </c>
      <c r="J9" s="452">
        <f>transport!J14</f>
        <v>0</v>
      </c>
      <c r="K9" s="452">
        <f>transport!K14</f>
        <v>0</v>
      </c>
      <c r="L9" s="452">
        <f>transport!L14</f>
        <v>0</v>
      </c>
      <c r="M9" s="452">
        <f>transport!M14</f>
        <v>5574.2297458046978</v>
      </c>
      <c r="N9" s="452">
        <f>transport!N14</f>
        <v>0</v>
      </c>
      <c r="O9" s="452">
        <f>transport!O14</f>
        <v>0</v>
      </c>
      <c r="P9" s="452">
        <f>transport!P14</f>
        <v>0</v>
      </c>
      <c r="Q9" s="451">
        <f>SUM(B9:P9)</f>
        <v>129230.64803774121</v>
      </c>
    </row>
    <row r="10" spans="1:17">
      <c r="A10" s="447" t="s">
        <v>547</v>
      </c>
      <c r="B10" s="448">
        <f>transport!B54</f>
        <v>6.9282623711850109</v>
      </c>
      <c r="C10" s="448">
        <f>transport!C54</f>
        <v>0</v>
      </c>
      <c r="D10" s="448">
        <f>transport!D54</f>
        <v>0</v>
      </c>
      <c r="E10" s="448">
        <f>transport!E54</f>
        <v>0</v>
      </c>
      <c r="F10" s="448">
        <f>transport!F54</f>
        <v>0</v>
      </c>
      <c r="G10" s="448">
        <f>transport!G54</f>
        <v>1348.5470350683934</v>
      </c>
      <c r="H10" s="448">
        <f>transport!H54</f>
        <v>0</v>
      </c>
      <c r="I10" s="448">
        <f>transport!I54</f>
        <v>0</v>
      </c>
      <c r="J10" s="448">
        <f>transport!J54</f>
        <v>0</v>
      </c>
      <c r="K10" s="448">
        <f>transport!K54</f>
        <v>0</v>
      </c>
      <c r="L10" s="448">
        <f>transport!L54</f>
        <v>0</v>
      </c>
      <c r="M10" s="448">
        <f>transport!M54</f>
        <v>60.469982169091395</v>
      </c>
      <c r="N10" s="448">
        <f>transport!N54</f>
        <v>0</v>
      </c>
      <c r="O10" s="448">
        <f>transport!O54</f>
        <v>0</v>
      </c>
      <c r="P10" s="449">
        <f>transport!P54</f>
        <v>0</v>
      </c>
      <c r="Q10" s="447">
        <f t="shared" si="0"/>
        <v>1415.9452796086698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666.15004971975702</v>
      </c>
      <c r="C14" s="455"/>
      <c r="D14" s="455">
        <f>'SEAP template'!E25</f>
        <v>1755.8426039275901</v>
      </c>
      <c r="E14" s="455"/>
      <c r="F14" s="455"/>
      <c r="G14" s="455"/>
      <c r="H14" s="455"/>
      <c r="I14" s="455"/>
      <c r="J14" s="455"/>
      <c r="K14" s="455"/>
      <c r="L14" s="455"/>
      <c r="M14" s="455"/>
      <c r="N14" s="455"/>
      <c r="O14" s="455"/>
      <c r="P14" s="456"/>
      <c r="Q14" s="447">
        <f t="shared" si="0"/>
        <v>2421.9926536473472</v>
      </c>
    </row>
    <row r="15" spans="1:17" s="460" customFormat="1">
      <c r="A15" s="457" t="s">
        <v>551</v>
      </c>
      <c r="B15" s="458">
        <f ca="1">SUM(B4:B14)</f>
        <v>44203.290321311135</v>
      </c>
      <c r="C15" s="458">
        <f t="shared" ref="C15:Q15" ca="1" si="1">SUM(C4:C14)</f>
        <v>17228.571428571428</v>
      </c>
      <c r="D15" s="458">
        <f t="shared" ca="1" si="1"/>
        <v>104850.12371612703</v>
      </c>
      <c r="E15" s="458">
        <f t="shared" si="1"/>
        <v>1688.6464902569999</v>
      </c>
      <c r="F15" s="458">
        <f t="shared" ca="1" si="1"/>
        <v>40410.450747388066</v>
      </c>
      <c r="G15" s="458">
        <f t="shared" si="1"/>
        <v>110563.38829892692</v>
      </c>
      <c r="H15" s="458">
        <f t="shared" si="1"/>
        <v>14107.445601792935</v>
      </c>
      <c r="I15" s="458">
        <f t="shared" si="1"/>
        <v>0</v>
      </c>
      <c r="J15" s="458">
        <f t="shared" si="1"/>
        <v>893.61052841958235</v>
      </c>
      <c r="K15" s="458">
        <f t="shared" si="1"/>
        <v>0</v>
      </c>
      <c r="L15" s="458">
        <f t="shared" ca="1" si="1"/>
        <v>0</v>
      </c>
      <c r="M15" s="458">
        <f t="shared" si="1"/>
        <v>5634.6997279737889</v>
      </c>
      <c r="N15" s="458">
        <f t="shared" ca="1" si="1"/>
        <v>10527.007215902402</v>
      </c>
      <c r="O15" s="458">
        <f t="shared" si="1"/>
        <v>192.29</v>
      </c>
      <c r="P15" s="458">
        <f t="shared" si="1"/>
        <v>495.73333333333335</v>
      </c>
      <c r="Q15" s="458">
        <f t="shared" ca="1" si="1"/>
        <v>350795.25741000357</v>
      </c>
    </row>
    <row r="17" spans="1:17">
      <c r="A17" s="461" t="s">
        <v>552</v>
      </c>
      <c r="B17" s="767">
        <f ca="1">huishoudens!B10</f>
        <v>0.18506629270280833</v>
      </c>
      <c r="C17" s="767">
        <f ca="1">huishoudens!C10</f>
        <v>0.23764705882352952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4642.4534624478365</v>
      </c>
      <c r="C22" s="448">
        <f t="shared" ref="C22:C32" ca="1" si="3">C4*$C$17</f>
        <v>0</v>
      </c>
      <c r="D22" s="448">
        <f t="shared" ref="D22:D32" si="4">D4*$D$17</f>
        <v>16504.643212769701</v>
      </c>
      <c r="E22" s="448">
        <f t="shared" ref="E22:E32" si="5">E4*$E$17</f>
        <v>204.2020697967651</v>
      </c>
      <c r="F22" s="448">
        <f t="shared" ref="F22:F32" si="6">F4*$F$17</f>
        <v>7360.5771547783279</v>
      </c>
      <c r="G22" s="448">
        <f t="shared" ref="G22:G32" si="7">G4*$G$17</f>
        <v>0</v>
      </c>
      <c r="H22" s="448">
        <f t="shared" ref="H22:H32" si="8">H4*$H$17</f>
        <v>0</v>
      </c>
      <c r="I22" s="448">
        <f t="shared" ref="I22:I32" si="9">I4*$I$17</f>
        <v>0</v>
      </c>
      <c r="J22" s="448">
        <f t="shared" ref="J22:J32" si="10">J4*$J$17</f>
        <v>184.81541195525858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28896.691311747887</v>
      </c>
    </row>
    <row r="23" spans="1:17">
      <c r="A23" s="447" t="s">
        <v>149</v>
      </c>
      <c r="B23" s="448">
        <f t="shared" ca="1" si="2"/>
        <v>2446.0608707347533</v>
      </c>
      <c r="C23" s="448">
        <f t="shared" ca="1" si="3"/>
        <v>0</v>
      </c>
      <c r="D23" s="448">
        <f t="shared" ca="1" si="4"/>
        <v>3870.5127036651465</v>
      </c>
      <c r="E23" s="448">
        <f t="shared" si="5"/>
        <v>41.104243402451132</v>
      </c>
      <c r="F23" s="448">
        <f t="shared" ca="1" si="6"/>
        <v>798.30568201079825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7155.9834998131491</v>
      </c>
    </row>
    <row r="24" spans="1:17">
      <c r="A24" s="447" t="s">
        <v>187</v>
      </c>
      <c r="B24" s="448">
        <f t="shared" ca="1" si="2"/>
        <v>129.71907174305755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129.71907174305755</v>
      </c>
    </row>
    <row r="25" spans="1:17">
      <c r="A25" s="447" t="s">
        <v>105</v>
      </c>
      <c r="B25" s="448">
        <f t="shared" ca="1" si="2"/>
        <v>454.41252510894776</v>
      </c>
      <c r="C25" s="448">
        <f t="shared" ca="1" si="3"/>
        <v>4094.3193277310938</v>
      </c>
      <c r="D25" s="448">
        <f t="shared" si="4"/>
        <v>0</v>
      </c>
      <c r="E25" s="448">
        <f t="shared" si="5"/>
        <v>7.0236647185609025</v>
      </c>
      <c r="F25" s="448">
        <f t="shared" si="6"/>
        <v>2261.9596789168563</v>
      </c>
      <c r="G25" s="448">
        <f t="shared" si="7"/>
        <v>0</v>
      </c>
      <c r="H25" s="448">
        <f t="shared" si="8"/>
        <v>0</v>
      </c>
      <c r="I25" s="448">
        <f t="shared" si="9"/>
        <v>0</v>
      </c>
      <c r="J25" s="448">
        <f t="shared" si="10"/>
        <v>130.71975954381904</v>
      </c>
      <c r="K25" s="448">
        <f t="shared" si="11"/>
        <v>0</v>
      </c>
      <c r="L25" s="448">
        <f t="shared" si="12"/>
        <v>0</v>
      </c>
      <c r="M25" s="448">
        <f t="shared" si="13"/>
        <v>0</v>
      </c>
      <c r="N25" s="448">
        <f t="shared" si="14"/>
        <v>0</v>
      </c>
      <c r="O25" s="448">
        <f t="shared" si="15"/>
        <v>0</v>
      </c>
      <c r="P25" s="449">
        <f t="shared" si="16"/>
        <v>0</v>
      </c>
      <c r="Q25" s="447">
        <f t="shared" ca="1" si="17"/>
        <v>6948.4349560192786</v>
      </c>
    </row>
    <row r="26" spans="1:17">
      <c r="A26" s="447" t="s">
        <v>639</v>
      </c>
      <c r="B26" s="448">
        <f t="shared" ca="1" si="2"/>
        <v>381.6692811598528</v>
      </c>
      <c r="C26" s="448">
        <f t="shared" ca="1" si="3"/>
        <v>0</v>
      </c>
      <c r="D26" s="448">
        <f t="shared" si="4"/>
        <v>448.26754350954093</v>
      </c>
      <c r="E26" s="448">
        <f t="shared" si="5"/>
        <v>59.002748909745151</v>
      </c>
      <c r="F26" s="448">
        <f t="shared" si="6"/>
        <v>368.74783384663237</v>
      </c>
      <c r="G26" s="448">
        <f t="shared" si="7"/>
        <v>0</v>
      </c>
      <c r="H26" s="448">
        <f t="shared" si="8"/>
        <v>0</v>
      </c>
      <c r="I26" s="448">
        <f t="shared" si="9"/>
        <v>0</v>
      </c>
      <c r="J26" s="448">
        <f t="shared" si="10"/>
        <v>0.80295556145450797</v>
      </c>
      <c r="K26" s="448">
        <f t="shared" si="11"/>
        <v>0</v>
      </c>
      <c r="L26" s="448">
        <f t="shared" si="12"/>
        <v>0</v>
      </c>
      <c r="M26" s="448">
        <f t="shared" si="13"/>
        <v>0</v>
      </c>
      <c r="N26" s="448">
        <f t="shared" si="14"/>
        <v>0</v>
      </c>
      <c r="O26" s="448">
        <f t="shared" si="15"/>
        <v>0</v>
      </c>
      <c r="P26" s="449">
        <f t="shared" si="16"/>
        <v>0</v>
      </c>
      <c r="Q26" s="447">
        <f t="shared" ca="1" si="17"/>
        <v>1258.4903629872258</v>
      </c>
    </row>
    <row r="27" spans="1:17" s="453" customFormat="1">
      <c r="A27" s="451" t="s">
        <v>557</v>
      </c>
      <c r="B27" s="761">
        <f t="shared" ca="1" si="2"/>
        <v>1.6597459192006645</v>
      </c>
      <c r="C27" s="452">
        <f t="shared" ca="1" si="3"/>
        <v>0</v>
      </c>
      <c r="D27" s="452">
        <f t="shared" si="4"/>
        <v>1.6213247198991121</v>
      </c>
      <c r="E27" s="452">
        <f t="shared" si="5"/>
        <v>71.990026460816679</v>
      </c>
      <c r="F27" s="452">
        <f t="shared" si="6"/>
        <v>0</v>
      </c>
      <c r="G27" s="452">
        <f t="shared" si="7"/>
        <v>29160.362617450228</v>
      </c>
      <c r="H27" s="452">
        <f t="shared" si="8"/>
        <v>3512.753954846441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32748.387669396587</v>
      </c>
    </row>
    <row r="28" spans="1:17">
      <c r="A28" s="447" t="s">
        <v>547</v>
      </c>
      <c r="B28" s="448">
        <f t="shared" ca="1" si="2"/>
        <v>1.2821878319075781</v>
      </c>
      <c r="C28" s="448">
        <f t="shared" ca="1" si="3"/>
        <v>0</v>
      </c>
      <c r="D28" s="448">
        <f t="shared" si="4"/>
        <v>0</v>
      </c>
      <c r="E28" s="448">
        <f t="shared" si="5"/>
        <v>0</v>
      </c>
      <c r="F28" s="448">
        <f t="shared" si="6"/>
        <v>0</v>
      </c>
      <c r="G28" s="448">
        <f t="shared" si="7"/>
        <v>360.06205836326103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361.34424619516864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123.28192008542688</v>
      </c>
      <c r="C32" s="448">
        <f t="shared" ca="1" si="3"/>
        <v>0</v>
      </c>
      <c r="D32" s="448">
        <f t="shared" si="4"/>
        <v>354.68020599337319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477.96212607880005</v>
      </c>
    </row>
    <row r="33" spans="1:17" s="460" customFormat="1">
      <c r="A33" s="457" t="s">
        <v>551</v>
      </c>
      <c r="B33" s="458">
        <f ca="1">SUM(B22:B32)</f>
        <v>8180.5390650309828</v>
      </c>
      <c r="C33" s="458">
        <f t="shared" ref="C33:Q33" ca="1" si="18">SUM(C22:C32)</f>
        <v>4094.3193277310938</v>
      </c>
      <c r="D33" s="458">
        <f t="shared" ca="1" si="18"/>
        <v>21179.724990657658</v>
      </c>
      <c r="E33" s="458">
        <f t="shared" si="18"/>
        <v>383.32275328833896</v>
      </c>
      <c r="F33" s="458">
        <f t="shared" ca="1" si="18"/>
        <v>10789.590349552614</v>
      </c>
      <c r="G33" s="458">
        <f t="shared" si="18"/>
        <v>29520.42467581349</v>
      </c>
      <c r="H33" s="458">
        <f t="shared" si="18"/>
        <v>3512.753954846441</v>
      </c>
      <c r="I33" s="458">
        <f t="shared" si="18"/>
        <v>0</v>
      </c>
      <c r="J33" s="458">
        <f t="shared" si="18"/>
        <v>316.33812706053209</v>
      </c>
      <c r="K33" s="458">
        <f t="shared" si="18"/>
        <v>0</v>
      </c>
      <c r="L33" s="458">
        <f t="shared" ca="1" si="18"/>
        <v>0</v>
      </c>
      <c r="M33" s="458">
        <f t="shared" si="18"/>
        <v>0</v>
      </c>
      <c r="N33" s="458">
        <f t="shared" ca="1" si="18"/>
        <v>0</v>
      </c>
      <c r="O33" s="458">
        <f t="shared" si="18"/>
        <v>0</v>
      </c>
      <c r="P33" s="458">
        <f t="shared" si="18"/>
        <v>0</v>
      </c>
      <c r="Q33" s="458">
        <f t="shared" ca="1" si="18"/>
        <v>77977.013243981157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4232.3554720000002</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3863.3532401744128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12060</v>
      </c>
      <c r="D8" s="1020">
        <f>'SEAP template'!D76</f>
        <v>14188.23529411765</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2866.0235294117656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8095.7087121744134</v>
      </c>
      <c r="C10" s="1024">
        <f>SUM(C4:C9)</f>
        <v>12060</v>
      </c>
      <c r="D10" s="1024">
        <f t="shared" ref="D10:H10" si="0">SUM(D8:D9)</f>
        <v>14188.23529411765</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2866.0235294117656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0.18506629270280833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17228.571428571428</v>
      </c>
      <c r="D17" s="1021">
        <f>'SEAP template'!D87</f>
        <v>20268.907563025215</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4094.3193277310938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17228.571428571428</v>
      </c>
      <c r="D20" s="1024">
        <f t="shared" ref="D20:H20" si="2">SUM(D17:D19)</f>
        <v>20268.907563025215</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4094.3193277310938</v>
      </c>
    </row>
    <row r="22" spans="1:16">
      <c r="A22" s="461" t="s">
        <v>856</v>
      </c>
      <c r="B22" s="767" t="s">
        <v>850</v>
      </c>
      <c r="C22" s="767">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0.18506629270280833</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0.18506629270280833</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0.18506629270280833</v>
      </c>
      <c r="C29" s="499">
        <f ca="1">'EF ele_warmte'!B22</f>
        <v>0.23764705882352952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5097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1758</v>
      </c>
      <c r="C14" s="327"/>
      <c r="D14" s="327"/>
      <c r="E14" s="327"/>
      <c r="F14" s="327"/>
    </row>
    <row r="15" spans="1:6">
      <c r="A15" s="1296" t="s">
        <v>177</v>
      </c>
      <c r="B15" s="1297">
        <v>2439</v>
      </c>
      <c r="C15" s="327"/>
      <c r="D15" s="327"/>
      <c r="E15" s="327"/>
      <c r="F15" s="327"/>
    </row>
    <row r="16" spans="1:6">
      <c r="A16" s="1296" t="s">
        <v>6</v>
      </c>
      <c r="B16" s="1297">
        <v>941</v>
      </c>
      <c r="C16" s="327"/>
      <c r="D16" s="327"/>
      <c r="E16" s="327"/>
      <c r="F16" s="327"/>
    </row>
    <row r="17" spans="1:6">
      <c r="A17" s="1296" t="s">
        <v>7</v>
      </c>
      <c r="B17" s="1297">
        <v>193</v>
      </c>
      <c r="C17" s="327"/>
      <c r="D17" s="327"/>
      <c r="E17" s="327"/>
      <c r="F17" s="327"/>
    </row>
    <row r="18" spans="1:6">
      <c r="A18" s="1296" t="s">
        <v>8</v>
      </c>
      <c r="B18" s="1297">
        <v>757</v>
      </c>
      <c r="C18" s="327"/>
      <c r="D18" s="327"/>
      <c r="E18" s="327"/>
      <c r="F18" s="327"/>
    </row>
    <row r="19" spans="1:6">
      <c r="A19" s="1296" t="s">
        <v>9</v>
      </c>
      <c r="B19" s="1297">
        <v>720</v>
      </c>
      <c r="C19" s="327"/>
      <c r="D19" s="327"/>
      <c r="E19" s="327"/>
      <c r="F19" s="327"/>
    </row>
    <row r="20" spans="1:6">
      <c r="A20" s="1296" t="s">
        <v>10</v>
      </c>
      <c r="B20" s="1297">
        <v>528</v>
      </c>
      <c r="C20" s="327"/>
      <c r="D20" s="327"/>
      <c r="E20" s="327"/>
      <c r="F20" s="327"/>
    </row>
    <row r="21" spans="1:6">
      <c r="A21" s="1296" t="s">
        <v>11</v>
      </c>
      <c r="B21" s="1297">
        <v>8125</v>
      </c>
      <c r="C21" s="327"/>
      <c r="D21" s="327"/>
      <c r="E21" s="327"/>
      <c r="F21" s="327"/>
    </row>
    <row r="22" spans="1:6">
      <c r="A22" s="1296" t="s">
        <v>12</v>
      </c>
      <c r="B22" s="1297">
        <v>9193</v>
      </c>
      <c r="C22" s="327"/>
      <c r="D22" s="327"/>
      <c r="E22" s="327"/>
      <c r="F22" s="327"/>
    </row>
    <row r="23" spans="1:6">
      <c r="A23" s="1296" t="s">
        <v>13</v>
      </c>
      <c r="B23" s="1297">
        <v>243</v>
      </c>
      <c r="C23" s="327"/>
      <c r="D23" s="327"/>
      <c r="E23" s="327"/>
      <c r="F23" s="327"/>
    </row>
    <row r="24" spans="1:6">
      <c r="A24" s="1296" t="s">
        <v>14</v>
      </c>
      <c r="B24" s="1297">
        <v>10</v>
      </c>
      <c r="C24" s="327"/>
      <c r="D24" s="327"/>
      <c r="E24" s="327"/>
      <c r="F24" s="327"/>
    </row>
    <row r="25" spans="1:6">
      <c r="A25" s="1296" t="s">
        <v>15</v>
      </c>
      <c r="B25" s="1297">
        <v>922</v>
      </c>
      <c r="C25" s="327"/>
      <c r="D25" s="327"/>
      <c r="E25" s="327"/>
      <c r="F25" s="327"/>
    </row>
    <row r="26" spans="1:6">
      <c r="A26" s="1296" t="s">
        <v>16</v>
      </c>
      <c r="B26" s="1297">
        <v>73</v>
      </c>
      <c r="C26" s="327"/>
      <c r="D26" s="327"/>
      <c r="E26" s="327"/>
      <c r="F26" s="327"/>
    </row>
    <row r="27" spans="1:6">
      <c r="A27" s="1296" t="s">
        <v>17</v>
      </c>
      <c r="B27" s="1297">
        <v>1</v>
      </c>
      <c r="C27" s="327"/>
      <c r="D27" s="327"/>
      <c r="E27" s="327"/>
      <c r="F27" s="327"/>
    </row>
    <row r="28" spans="1:6">
      <c r="A28" s="1296" t="s">
        <v>18</v>
      </c>
      <c r="B28" s="1298">
        <v>305821</v>
      </c>
      <c r="C28" s="327"/>
      <c r="D28" s="327"/>
      <c r="E28" s="327"/>
      <c r="F28" s="327"/>
    </row>
    <row r="29" spans="1:6">
      <c r="A29" s="1296" t="s">
        <v>922</v>
      </c>
      <c r="B29" s="1298">
        <v>61</v>
      </c>
      <c r="C29" s="327"/>
      <c r="D29" s="327"/>
      <c r="E29" s="327"/>
      <c r="F29" s="327"/>
    </row>
    <row r="30" spans="1:6">
      <c r="A30" s="1291" t="s">
        <v>923</v>
      </c>
      <c r="B30" s="1299">
        <v>13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787476.29505391198</v>
      </c>
      <c r="E38" s="1297">
        <v>4</v>
      </c>
      <c r="F38" s="1297">
        <v>44578.557335051999</v>
      </c>
    </row>
    <row r="39" spans="1:6">
      <c r="A39" s="1296" t="s">
        <v>29</v>
      </c>
      <c r="B39" s="1296" t="s">
        <v>30</v>
      </c>
      <c r="C39" s="1297">
        <v>3691</v>
      </c>
      <c r="D39" s="1297">
        <v>90583319.865478799</v>
      </c>
      <c r="E39" s="1297">
        <v>5058</v>
      </c>
      <c r="F39" s="1297">
        <v>22410225.469757099</v>
      </c>
    </row>
    <row r="40" spans="1:6">
      <c r="A40" s="1296" t="s">
        <v>29</v>
      </c>
      <c r="B40" s="1296" t="s">
        <v>28</v>
      </c>
      <c r="C40" s="1297">
        <v>0</v>
      </c>
      <c r="D40" s="1297">
        <v>0</v>
      </c>
      <c r="E40" s="1297">
        <v>0</v>
      </c>
      <c r="F40" s="1297">
        <v>0</v>
      </c>
    </row>
    <row r="41" spans="1:6">
      <c r="A41" s="1296" t="s">
        <v>31</v>
      </c>
      <c r="B41" s="1296" t="s">
        <v>32</v>
      </c>
      <c r="C41" s="1297">
        <v>38</v>
      </c>
      <c r="D41" s="1297">
        <v>844823.35309162398</v>
      </c>
      <c r="E41" s="1297">
        <v>86</v>
      </c>
      <c r="F41" s="1297">
        <v>621721.18304603803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59004.640007660601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17</v>
      </c>
      <c r="D48" s="1297">
        <v>908811.20900309796</v>
      </c>
      <c r="E48" s="1297">
        <v>24</v>
      </c>
      <c r="F48" s="1297">
        <v>882394.26824932604</v>
      </c>
    </row>
    <row r="49" spans="1:6">
      <c r="A49" s="1296" t="s">
        <v>31</v>
      </c>
      <c r="B49" s="1296" t="s">
        <v>39</v>
      </c>
      <c r="C49" s="1297">
        <v>0</v>
      </c>
      <c r="D49" s="1297">
        <v>0</v>
      </c>
      <c r="E49" s="1297">
        <v>0</v>
      </c>
      <c r="F49" s="1297">
        <v>0</v>
      </c>
    </row>
    <row r="50" spans="1:6">
      <c r="A50" s="1296" t="s">
        <v>31</v>
      </c>
      <c r="B50" s="1296" t="s">
        <v>40</v>
      </c>
      <c r="C50" s="1297">
        <v>7</v>
      </c>
      <c r="D50" s="1297">
        <v>706616.27493158297</v>
      </c>
      <c r="E50" s="1297">
        <v>9</v>
      </c>
      <c r="F50" s="1297">
        <v>499218.08809068298</v>
      </c>
    </row>
    <row r="51" spans="1:6">
      <c r="A51" s="1296" t="s">
        <v>41</v>
      </c>
      <c r="B51" s="1296" t="s">
        <v>42</v>
      </c>
      <c r="C51" s="1297">
        <v>3</v>
      </c>
      <c r="D51" s="1297">
        <v>173429.581308544</v>
      </c>
      <c r="E51" s="1297">
        <v>58</v>
      </c>
      <c r="F51" s="1297">
        <v>2365183.6314119799</v>
      </c>
    </row>
    <row r="52" spans="1:6">
      <c r="A52" s="1296" t="s">
        <v>41</v>
      </c>
      <c r="B52" s="1296" t="s">
        <v>28</v>
      </c>
      <c r="C52" s="1297">
        <v>5</v>
      </c>
      <c r="D52" s="1297">
        <v>33716213.615847297</v>
      </c>
      <c r="E52" s="1297">
        <v>8</v>
      </c>
      <c r="F52" s="1297">
        <v>90220.421224841601</v>
      </c>
    </row>
    <row r="53" spans="1:6">
      <c r="A53" s="1296" t="s">
        <v>43</v>
      </c>
      <c r="B53" s="1296" t="s">
        <v>44</v>
      </c>
      <c r="C53" s="1297">
        <v>65</v>
      </c>
      <c r="D53" s="1297">
        <v>1755842.60392759</v>
      </c>
      <c r="E53" s="1297">
        <v>138</v>
      </c>
      <c r="F53" s="1297">
        <v>666150.04971975705</v>
      </c>
    </row>
    <row r="54" spans="1:6">
      <c r="A54" s="1296" t="s">
        <v>45</v>
      </c>
      <c r="B54" s="1296" t="s">
        <v>46</v>
      </c>
      <c r="C54" s="1297">
        <v>0</v>
      </c>
      <c r="D54" s="1297">
        <v>0</v>
      </c>
      <c r="E54" s="1297">
        <v>1</v>
      </c>
      <c r="F54" s="1297">
        <v>700933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15</v>
      </c>
      <c r="D57" s="1297">
        <v>322736.71460832201</v>
      </c>
      <c r="E57" s="1297">
        <v>73</v>
      </c>
      <c r="F57" s="1297">
        <v>3357611.00915155</v>
      </c>
    </row>
    <row r="58" spans="1:6">
      <c r="A58" s="1296" t="s">
        <v>48</v>
      </c>
      <c r="B58" s="1296" t="s">
        <v>50</v>
      </c>
      <c r="C58" s="1297">
        <v>12</v>
      </c>
      <c r="D58" s="1297">
        <v>540739.23404739297</v>
      </c>
      <c r="E58" s="1297">
        <v>14</v>
      </c>
      <c r="F58" s="1297">
        <v>117435.636515292</v>
      </c>
    </row>
    <row r="59" spans="1:6">
      <c r="A59" s="1296" t="s">
        <v>48</v>
      </c>
      <c r="B59" s="1296" t="s">
        <v>51</v>
      </c>
      <c r="C59" s="1297">
        <v>61</v>
      </c>
      <c r="D59" s="1297">
        <v>3359925.8458666299</v>
      </c>
      <c r="E59" s="1297">
        <v>115</v>
      </c>
      <c r="F59" s="1297">
        <v>2524352.7437477601</v>
      </c>
    </row>
    <row r="60" spans="1:6">
      <c r="A60" s="1296" t="s">
        <v>48</v>
      </c>
      <c r="B60" s="1296" t="s">
        <v>52</v>
      </c>
      <c r="C60" s="1297">
        <v>39</v>
      </c>
      <c r="D60" s="1297">
        <v>2355840.3040884798</v>
      </c>
      <c r="E60" s="1297">
        <v>53</v>
      </c>
      <c r="F60" s="1297">
        <v>1611410.9074953101</v>
      </c>
    </row>
    <row r="61" spans="1:6">
      <c r="A61" s="1296" t="s">
        <v>48</v>
      </c>
      <c r="B61" s="1296" t="s">
        <v>53</v>
      </c>
      <c r="C61" s="1297">
        <v>95</v>
      </c>
      <c r="D61" s="1297">
        <v>6525330.8705473701</v>
      </c>
      <c r="E61" s="1297">
        <v>155</v>
      </c>
      <c r="F61" s="1297">
        <v>2862359.0795894102</v>
      </c>
    </row>
    <row r="62" spans="1:6">
      <c r="A62" s="1296" t="s">
        <v>48</v>
      </c>
      <c r="B62" s="1296" t="s">
        <v>54</v>
      </c>
      <c r="C62" s="1297">
        <v>5</v>
      </c>
      <c r="D62" s="1297">
        <v>2033637.1600395299</v>
      </c>
      <c r="E62" s="1297">
        <v>4</v>
      </c>
      <c r="F62" s="1297">
        <v>540186.48575713299</v>
      </c>
    </row>
    <row r="63" spans="1:6">
      <c r="A63" s="1296" t="s">
        <v>48</v>
      </c>
      <c r="B63" s="1296" t="s">
        <v>28</v>
      </c>
      <c r="C63" s="1297">
        <v>88</v>
      </c>
      <c r="D63" s="1297">
        <v>6104532.6408026395</v>
      </c>
      <c r="E63" s="1297">
        <v>91</v>
      </c>
      <c r="F63" s="1297">
        <v>2203858.5478403601</v>
      </c>
    </row>
    <row r="64" spans="1:6">
      <c r="A64" s="1296" t="s">
        <v>55</v>
      </c>
      <c r="B64" s="1296" t="s">
        <v>56</v>
      </c>
      <c r="C64" s="1297">
        <v>0</v>
      </c>
      <c r="D64" s="1297">
        <v>0</v>
      </c>
      <c r="E64" s="1297">
        <v>0</v>
      </c>
      <c r="F64" s="1297">
        <v>0</v>
      </c>
    </row>
    <row r="65" spans="1:6">
      <c r="A65" s="1296" t="s">
        <v>55</v>
      </c>
      <c r="B65" s="1296" t="s">
        <v>28</v>
      </c>
      <c r="C65" s="1297">
        <v>1</v>
      </c>
      <c r="D65" s="1297">
        <v>613.20384768810004</v>
      </c>
      <c r="E65" s="1297">
        <v>4</v>
      </c>
      <c r="F65" s="1297">
        <v>19430.383088410999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39620620</v>
      </c>
      <c r="E73" s="446"/>
      <c r="F73" s="327"/>
    </row>
    <row r="74" spans="1:6">
      <c r="A74" s="1296" t="s">
        <v>63</v>
      </c>
      <c r="B74" s="1296" t="s">
        <v>706</v>
      </c>
      <c r="C74" s="1309" t="s">
        <v>707</v>
      </c>
      <c r="D74" s="1297">
        <v>1920455.583966153</v>
      </c>
      <c r="E74" s="446"/>
      <c r="F74" s="327"/>
    </row>
    <row r="75" spans="1:6">
      <c r="A75" s="1296" t="s">
        <v>64</v>
      </c>
      <c r="B75" s="1296" t="s">
        <v>704</v>
      </c>
      <c r="C75" s="1309" t="s">
        <v>708</v>
      </c>
      <c r="D75" s="1297">
        <v>15224993</v>
      </c>
      <c r="E75" s="446"/>
      <c r="F75" s="327"/>
    </row>
    <row r="76" spans="1:6">
      <c r="A76" s="1296" t="s">
        <v>64</v>
      </c>
      <c r="B76" s="1296" t="s">
        <v>706</v>
      </c>
      <c r="C76" s="1309" t="s">
        <v>709</v>
      </c>
      <c r="D76" s="1297">
        <v>16034.5</v>
      </c>
      <c r="E76" s="446"/>
      <c r="F76" s="327"/>
    </row>
    <row r="77" spans="1:6">
      <c r="A77" s="1296" t="s">
        <v>65</v>
      </c>
      <c r="B77" s="1296" t="s">
        <v>704</v>
      </c>
      <c r="C77" s="1309" t="s">
        <v>710</v>
      </c>
      <c r="D77" s="1297">
        <v>59269095</v>
      </c>
      <c r="E77" s="446"/>
      <c r="F77" s="327"/>
    </row>
    <row r="78" spans="1:6">
      <c r="A78" s="1291" t="s">
        <v>65</v>
      </c>
      <c r="B78" s="1291" t="s">
        <v>706</v>
      </c>
      <c r="C78" s="1291" t="s">
        <v>711</v>
      </c>
      <c r="D78" s="1299">
        <v>17979656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374758.83206769387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4232.3554720000002</v>
      </c>
      <c r="C90" s="327"/>
      <c r="D90" s="327"/>
      <c r="E90" s="327"/>
      <c r="F90" s="327"/>
    </row>
    <row r="91" spans="1:6">
      <c r="A91" s="1296" t="s">
        <v>67</v>
      </c>
      <c r="B91" s="1297">
        <v>2675.128511494338</v>
      </c>
      <c r="C91" s="327"/>
      <c r="D91" s="327"/>
      <c r="E91" s="327"/>
      <c r="F91" s="327"/>
    </row>
    <row r="92" spans="1:6">
      <c r="A92" s="1291" t="s">
        <v>68</v>
      </c>
      <c r="B92" s="1292">
        <v>1188.2247286800748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2401</v>
      </c>
      <c r="C97" s="327"/>
      <c r="D97" s="327"/>
      <c r="E97" s="327"/>
      <c r="F97" s="327"/>
    </row>
    <row r="98" spans="1:6">
      <c r="A98" s="1296" t="s">
        <v>71</v>
      </c>
      <c r="B98" s="1297">
        <v>5</v>
      </c>
      <c r="C98" s="327"/>
      <c r="D98" s="327"/>
      <c r="E98" s="327"/>
      <c r="F98" s="327"/>
    </row>
    <row r="99" spans="1:6">
      <c r="A99" s="1296" t="s">
        <v>72</v>
      </c>
      <c r="B99" s="1297">
        <v>47</v>
      </c>
      <c r="C99" s="327"/>
      <c r="D99" s="327"/>
      <c r="E99" s="327"/>
      <c r="F99" s="327"/>
    </row>
    <row r="100" spans="1:6">
      <c r="A100" s="1296" t="s">
        <v>73</v>
      </c>
      <c r="B100" s="1297">
        <v>151</v>
      </c>
      <c r="C100" s="327"/>
      <c r="D100" s="327"/>
      <c r="E100" s="327"/>
      <c r="F100" s="327"/>
    </row>
    <row r="101" spans="1:6">
      <c r="A101" s="1296" t="s">
        <v>74</v>
      </c>
      <c r="B101" s="1297">
        <v>98</v>
      </c>
      <c r="C101" s="327"/>
      <c r="D101" s="327"/>
      <c r="E101" s="327"/>
      <c r="F101" s="327"/>
    </row>
    <row r="102" spans="1:6">
      <c r="A102" s="1296" t="s">
        <v>75</v>
      </c>
      <c r="B102" s="1297">
        <v>50</v>
      </c>
      <c r="C102" s="327"/>
      <c r="D102" s="327"/>
      <c r="E102" s="327"/>
      <c r="F102" s="327"/>
    </row>
    <row r="103" spans="1:6">
      <c r="A103" s="1296" t="s">
        <v>76</v>
      </c>
      <c r="B103" s="1297">
        <v>89</v>
      </c>
      <c r="C103" s="327"/>
      <c r="D103" s="327"/>
      <c r="E103" s="327"/>
      <c r="F103" s="327"/>
    </row>
    <row r="104" spans="1:6">
      <c r="A104" s="1296" t="s">
        <v>77</v>
      </c>
      <c r="B104" s="1297">
        <v>1664</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11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109</v>
      </c>
      <c r="C129" s="327"/>
      <c r="D129" s="327"/>
      <c r="E129" s="327"/>
      <c r="F129" s="327"/>
    </row>
    <row r="130" spans="1:6">
      <c r="A130" s="1296" t="s">
        <v>284</v>
      </c>
      <c r="B130" s="1297">
        <v>3</v>
      </c>
      <c r="C130" s="327"/>
      <c r="D130" s="327"/>
      <c r="E130" s="327"/>
      <c r="F130" s="327"/>
    </row>
    <row r="131" spans="1:6">
      <c r="A131" s="1296" t="s">
        <v>285</v>
      </c>
      <c r="B131" s="1297">
        <v>2</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44203.290321311142</v>
      </c>
      <c r="C3" s="43" t="s">
        <v>163</v>
      </c>
      <c r="D3" s="43"/>
      <c r="E3" s="156"/>
      <c r="F3" s="43"/>
      <c r="G3" s="43"/>
      <c r="H3" s="43"/>
      <c r="I3" s="43"/>
      <c r="J3" s="43"/>
      <c r="K3" s="96"/>
    </row>
    <row r="4" spans="1:11">
      <c r="A4" s="353" t="s">
        <v>164</v>
      </c>
      <c r="B4" s="49">
        <f>IF(ISERROR('SEAP template'!B78+'SEAP template'!C78),0,'SEAP template'!B78+'SEAP template'!C78)</f>
        <v>20155.708712174412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2866.0235294117656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0.18506629270280833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4094.3193277310938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17228.571428571428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0.23764705882352952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700.93299999999999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700.93299999999999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0.18506629270280833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129.71907174305755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22410.225469757097</v>
      </c>
      <c r="C5" s="17">
        <f>IF(ISERROR('Eigen informatie GS &amp; warmtenet'!B57),0,'Eigen informatie GS &amp; warmtenet'!B57)</f>
        <v>0</v>
      </c>
      <c r="D5" s="30">
        <f>(SUM(HH_hh_gas_kWh,HH_rest_gas_kWh)/1000)*0.902</f>
        <v>81706.154518661875</v>
      </c>
      <c r="E5" s="17">
        <f>B32*B41</f>
        <v>899.56858941306211</v>
      </c>
      <c r="F5" s="17">
        <f>B36*B45</f>
        <v>27567.704699544298</v>
      </c>
      <c r="G5" s="18"/>
      <c r="H5" s="17"/>
      <c r="I5" s="17"/>
      <c r="J5" s="17">
        <f>B35*B44+C35*C44</f>
        <v>522.07743490186044</v>
      </c>
      <c r="K5" s="17"/>
      <c r="L5" s="17"/>
      <c r="M5" s="17"/>
      <c r="N5" s="17">
        <f>B34*B43+C34*C43</f>
        <v>7762.3820115134922</v>
      </c>
      <c r="O5" s="17">
        <f>B52*B53*B54</f>
        <v>187.6</v>
      </c>
      <c r="P5" s="17">
        <f>B60*B61*B62/1000-B60*B61*B62/1000/B63</f>
        <v>457.6</v>
      </c>
    </row>
    <row r="6" spans="1:16">
      <c r="A6" s="16" t="s">
        <v>617</v>
      </c>
      <c r="B6" s="769">
        <f>kWh_PV_kleiner_dan_10kW</f>
        <v>2675.128511494338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25085.353981251435</v>
      </c>
      <c r="C8" s="21">
        <f>C5</f>
        <v>0</v>
      </c>
      <c r="D8" s="21">
        <f>D5</f>
        <v>81706.154518661875</v>
      </c>
      <c r="E8" s="21">
        <f>E5</f>
        <v>899.56858941306211</v>
      </c>
      <c r="F8" s="21">
        <f>F5</f>
        <v>27567.704699544298</v>
      </c>
      <c r="G8" s="21"/>
      <c r="H8" s="21"/>
      <c r="I8" s="21"/>
      <c r="J8" s="21">
        <f>J5</f>
        <v>522.07743490186044</v>
      </c>
      <c r="K8" s="21"/>
      <c r="L8" s="21">
        <f>L5</f>
        <v>0</v>
      </c>
      <c r="M8" s="21">
        <f>M5</f>
        <v>0</v>
      </c>
      <c r="N8" s="21">
        <f>N5</f>
        <v>7762.3820115134922</v>
      </c>
      <c r="O8" s="21">
        <f>O5</f>
        <v>187.6</v>
      </c>
      <c r="P8" s="21">
        <f>P5</f>
        <v>457.6</v>
      </c>
    </row>
    <row r="9" spans="1:16">
      <c r="B9" s="19"/>
      <c r="C9" s="19"/>
      <c r="D9" s="257"/>
      <c r="E9" s="19"/>
      <c r="F9" s="19"/>
      <c r="G9" s="19"/>
      <c r="H9" s="19"/>
      <c r="I9" s="19"/>
      <c r="J9" s="19"/>
      <c r="K9" s="19"/>
      <c r="L9" s="19"/>
      <c r="M9" s="19"/>
      <c r="N9" s="19"/>
      <c r="O9" s="19"/>
      <c r="P9" s="19"/>
    </row>
    <row r="10" spans="1:16">
      <c r="A10" s="24" t="s">
        <v>207</v>
      </c>
      <c r="B10" s="25">
        <f ca="1">'EF ele_warmte'!B12</f>
        <v>0.18506629270280833</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4642.4534624478365</v>
      </c>
      <c r="C12" s="23">
        <f ca="1">C10*C8</f>
        <v>0</v>
      </c>
      <c r="D12" s="23">
        <f>D8*D10</f>
        <v>16504.643212769701</v>
      </c>
      <c r="E12" s="23">
        <f>E10*E8</f>
        <v>204.2020697967651</v>
      </c>
      <c r="F12" s="23">
        <f>F10*F8</f>
        <v>7360.5771547783279</v>
      </c>
      <c r="G12" s="23"/>
      <c r="H12" s="23"/>
      <c r="I12" s="23"/>
      <c r="J12" s="23">
        <f>J10*J8</f>
        <v>184.81541195525858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5097</v>
      </c>
      <c r="C26" s="36"/>
      <c r="D26" s="227"/>
    </row>
    <row r="27" spans="1:5" s="15" customFormat="1">
      <c r="A27" s="229" t="s">
        <v>722</v>
      </c>
      <c r="B27" s="37">
        <f>SUM(HH_hh_gas_aantal,HH_rest_gas_aantal)</f>
        <v>3691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3506.45</v>
      </c>
      <c r="C31" s="34" t="s">
        <v>104</v>
      </c>
      <c r="D31" s="173"/>
    </row>
    <row r="32" spans="1:5">
      <c r="A32" s="170" t="s">
        <v>72</v>
      </c>
      <c r="B32" s="33">
        <f>IF((B21*($B$26-($B$27-0.05*$B$27)-$B$60))&lt;0,0,B21*($B$26-($B$27-0.05*$B$27)-$B$60))</f>
        <v>39.22885903977771</v>
      </c>
      <c r="C32" s="34" t="s">
        <v>104</v>
      </c>
      <c r="D32" s="173"/>
    </row>
    <row r="33" spans="1:6">
      <c r="A33" s="170" t="s">
        <v>73</v>
      </c>
      <c r="B33" s="33">
        <f>IF((B22*($B$26-($B$27-0.05*$B$27)-$B$60))&lt;0,0,B22*($B$26-($B$27-0.05*$B$27)-$B$60))</f>
        <v>264.05623049336799</v>
      </c>
      <c r="C33" s="34" t="s">
        <v>104</v>
      </c>
      <c r="D33" s="173"/>
    </row>
    <row r="34" spans="1:6">
      <c r="A34" s="170" t="s">
        <v>74</v>
      </c>
      <c r="B34" s="33">
        <f>IF((B24*($B$26-($B$27-0.05*$B$27)-$B$60))&lt;0,0,B24*($B$26-($B$27-0.05*$B$27)-$B$60))</f>
        <v>66.994644831052256</v>
      </c>
      <c r="C34" s="33">
        <f>B26*C24</f>
        <v>1042.6426647038859</v>
      </c>
      <c r="D34" s="232"/>
    </row>
    <row r="35" spans="1:6">
      <c r="A35" s="170" t="s">
        <v>76</v>
      </c>
      <c r="B35" s="33">
        <f>IF((B19*($B$26-($B$27-0.05*$B$27)-$B$60))&lt;0,0,B19*($B$26-($B$27-0.05*$B$27)-$B$60))</f>
        <v>24.897410639546163</v>
      </c>
      <c r="C35" s="33">
        <f>B35/2</f>
        <v>12.448705319773081</v>
      </c>
      <c r="D35" s="232"/>
    </row>
    <row r="36" spans="1:6">
      <c r="A36" s="170" t="s">
        <v>77</v>
      </c>
      <c r="B36" s="33">
        <f>IF((B18*($B$26-($B$27-0.05*$B$27)-$B$60))&lt;0,0,B18*($B$26-($B$27-0.05*$B$27)-$B$60))</f>
        <v>1171.3728549962561</v>
      </c>
      <c r="C36" s="34" t="s">
        <v>104</v>
      </c>
      <c r="D36" s="173"/>
    </row>
    <row r="37" spans="1:6">
      <c r="A37" s="170" t="s">
        <v>78</v>
      </c>
      <c r="B37" s="33">
        <f>B60</f>
        <v>24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13217.214410096814</v>
      </c>
      <c r="C5" s="17">
        <f>IF(ISERROR('Eigen informatie GS &amp; warmtenet'!B58),0,'Eigen informatie GS &amp; warmtenet'!B58)</f>
        <v>0</v>
      </c>
      <c r="D5" s="30">
        <f>SUM(D6:D12)</f>
        <v>19160.953978540329</v>
      </c>
      <c r="E5" s="17">
        <f>SUM(E6:E12)</f>
        <v>181.07596212533537</v>
      </c>
      <c r="F5" s="17">
        <f>SUM(F6:F12)</f>
        <v>2989.9089213887573</v>
      </c>
      <c r="G5" s="18"/>
      <c r="H5" s="17"/>
      <c r="I5" s="17"/>
      <c r="J5" s="17">
        <f>SUM(J6:J12)</f>
        <v>0</v>
      </c>
      <c r="K5" s="17"/>
      <c r="L5" s="17"/>
      <c r="M5" s="17"/>
      <c r="N5" s="17">
        <f>SUM(N6:N12)</f>
        <v>2522.8563000765539</v>
      </c>
      <c r="O5" s="17">
        <f>B38*B39*B40</f>
        <v>4.6900000000000004</v>
      </c>
      <c r="P5" s="17">
        <f>B46*B47*B48/1000-B46*B47*B48/1000/B49</f>
        <v>38.133333333333333</v>
      </c>
      <c r="R5" s="32"/>
    </row>
    <row r="6" spans="1:18">
      <c r="A6" s="32" t="s">
        <v>53</v>
      </c>
      <c r="B6" s="37">
        <f>B26</f>
        <v>2862.3590795894102</v>
      </c>
      <c r="C6" s="33"/>
      <c r="D6" s="37">
        <f>IF(ISERROR(TER_kantoor_gas_kWh/1000),0,TER_kantoor_gas_kWh/1000)*0.902</f>
        <v>5885.8484452337279</v>
      </c>
      <c r="E6" s="33">
        <f>$C$26*'E Balans VL '!I12/100/3.6*1000000</f>
        <v>11.120871020930309</v>
      </c>
      <c r="F6" s="33">
        <f>$C$26*('E Balans VL '!L12+'E Balans VL '!N12)/100/3.6*1000000</f>
        <v>435.33877061444366</v>
      </c>
      <c r="G6" s="34"/>
      <c r="H6" s="33"/>
      <c r="I6" s="33"/>
      <c r="J6" s="33">
        <f>$C$26*('E Balans VL '!D12+'E Balans VL '!E12)/100/3.6*1000000</f>
        <v>0</v>
      </c>
      <c r="K6" s="33"/>
      <c r="L6" s="33"/>
      <c r="M6" s="33"/>
      <c r="N6" s="33">
        <f>$C$26*'E Balans VL '!Y12/100/3.6*1000000</f>
        <v>1.5775027550268674</v>
      </c>
      <c r="O6" s="33"/>
      <c r="P6" s="33"/>
      <c r="R6" s="32"/>
    </row>
    <row r="7" spans="1:18">
      <c r="A7" s="32" t="s">
        <v>52</v>
      </c>
      <c r="B7" s="37">
        <f t="shared" ref="B7:B12" si="0">B27</f>
        <v>1611.4109074953101</v>
      </c>
      <c r="C7" s="33"/>
      <c r="D7" s="37">
        <f>IF(ISERROR(TER_horeca_gas_kWh/1000),0,TER_horeca_gas_kWh/1000)*0.902</f>
        <v>2124.9679542878089</v>
      </c>
      <c r="E7" s="33">
        <f>$C$27*'E Balans VL '!I9/100/3.6*1000000</f>
        <v>90.771207239108179</v>
      </c>
      <c r="F7" s="33">
        <f>$C$27*('E Balans VL '!L9+'E Balans VL '!N9)/100/3.6*1000000</f>
        <v>464.63443252001929</v>
      </c>
      <c r="G7" s="34"/>
      <c r="H7" s="33"/>
      <c r="I7" s="33"/>
      <c r="J7" s="33">
        <f>$C$27*('E Balans VL '!D9+'E Balans VL '!E9)/100/3.6*1000000</f>
        <v>0</v>
      </c>
      <c r="K7" s="33"/>
      <c r="L7" s="33"/>
      <c r="M7" s="33"/>
      <c r="N7" s="33">
        <f>$C$27*'E Balans VL '!Y9/100/3.6*1000000</f>
        <v>0.44490217788052605</v>
      </c>
      <c r="O7" s="33"/>
      <c r="P7" s="33"/>
      <c r="R7" s="32"/>
    </row>
    <row r="8" spans="1:18">
      <c r="A8" s="6" t="s">
        <v>51</v>
      </c>
      <c r="B8" s="37">
        <f t="shared" si="0"/>
        <v>2524.3527437477601</v>
      </c>
      <c r="C8" s="33"/>
      <c r="D8" s="37">
        <f>IF(ISERROR(TER_handel_gas_kWh/1000),0,TER_handel_gas_kWh/1000)*0.902</f>
        <v>3030.6531129717005</v>
      </c>
      <c r="E8" s="33">
        <f>$C$28*'E Balans VL '!I13/100/3.6*1000000</f>
        <v>36.384487314327522</v>
      </c>
      <c r="F8" s="33">
        <f>$C$28*('E Balans VL '!L13+'E Balans VL '!N13)/100/3.6*1000000</f>
        <v>438.53885979742699</v>
      </c>
      <c r="G8" s="34"/>
      <c r="H8" s="33"/>
      <c r="I8" s="33"/>
      <c r="J8" s="33">
        <f>$C$28*('E Balans VL '!D13+'E Balans VL '!E13)/100/3.6*1000000</f>
        <v>0</v>
      </c>
      <c r="K8" s="33"/>
      <c r="L8" s="33"/>
      <c r="M8" s="33"/>
      <c r="N8" s="33">
        <f>$C$28*'E Balans VL '!Y13/100/3.6*1000000</f>
        <v>7.5632418370047114</v>
      </c>
      <c r="O8" s="33"/>
      <c r="P8" s="33"/>
      <c r="R8" s="32"/>
    </row>
    <row r="9" spans="1:18">
      <c r="A9" s="32" t="s">
        <v>50</v>
      </c>
      <c r="B9" s="37">
        <f t="shared" si="0"/>
        <v>117.435636515292</v>
      </c>
      <c r="C9" s="33"/>
      <c r="D9" s="37">
        <f>IF(ISERROR(TER_gezond_gas_kWh/1000),0,TER_gezond_gas_kWh/1000)*0.902</f>
        <v>487.74678911074847</v>
      </c>
      <c r="E9" s="33">
        <f>$C$29*'E Balans VL '!I10/100/3.6*1000000</f>
        <v>0.12545169799750916</v>
      </c>
      <c r="F9" s="33">
        <f>$C$29*('E Balans VL '!L10+'E Balans VL '!N10)/100/3.6*1000000</f>
        <v>19.157321318565515</v>
      </c>
      <c r="G9" s="34"/>
      <c r="H9" s="33"/>
      <c r="I9" s="33"/>
      <c r="J9" s="33">
        <f>$C$29*('E Balans VL '!D10+'E Balans VL '!E10)/100/3.6*1000000</f>
        <v>0</v>
      </c>
      <c r="K9" s="33"/>
      <c r="L9" s="33"/>
      <c r="M9" s="33"/>
      <c r="N9" s="33">
        <f>$C$29*'E Balans VL '!Y10/100/3.6*1000000</f>
        <v>1.2089328704875544</v>
      </c>
      <c r="O9" s="33"/>
      <c r="P9" s="33"/>
      <c r="R9" s="32"/>
    </row>
    <row r="10" spans="1:18">
      <c r="A10" s="32" t="s">
        <v>49</v>
      </c>
      <c r="B10" s="37">
        <f t="shared" si="0"/>
        <v>3357.6110091515502</v>
      </c>
      <c r="C10" s="33"/>
      <c r="D10" s="37">
        <f>IF(ISERROR(TER_ander_gas_kWh/1000),0,TER_ander_gas_kWh/1000)*0.902</f>
        <v>291.10851657670645</v>
      </c>
      <c r="E10" s="33">
        <f>$C$30*'E Balans VL '!I14/100/3.6*1000000</f>
        <v>15.441142300540102</v>
      </c>
      <c r="F10" s="33">
        <f>$C$30*('E Balans VL '!L14+'E Balans VL '!N14)/100/3.6*1000000</f>
        <v>1006.3819280128301</v>
      </c>
      <c r="G10" s="34"/>
      <c r="H10" s="33"/>
      <c r="I10" s="33"/>
      <c r="J10" s="33">
        <f>$C$30*('E Balans VL '!D14+'E Balans VL '!E14)/100/3.6*1000000</f>
        <v>0</v>
      </c>
      <c r="K10" s="33"/>
      <c r="L10" s="33"/>
      <c r="M10" s="33"/>
      <c r="N10" s="33">
        <f>$C$30*'E Balans VL '!Y14/100/3.6*1000000</f>
        <v>2337.1189008531401</v>
      </c>
      <c r="O10" s="33"/>
      <c r="P10" s="33"/>
      <c r="R10" s="32"/>
    </row>
    <row r="11" spans="1:18">
      <c r="A11" s="32" t="s">
        <v>54</v>
      </c>
      <c r="B11" s="37">
        <f t="shared" si="0"/>
        <v>540.18648575713303</v>
      </c>
      <c r="C11" s="33"/>
      <c r="D11" s="37">
        <f>IF(ISERROR(TER_onderwijs_gas_kWh/1000),0,TER_onderwijs_gas_kWh/1000)*0.902</f>
        <v>1834.340718355656</v>
      </c>
      <c r="E11" s="33">
        <f>$C$31*'E Balans VL '!I11/100/3.6*1000000</f>
        <v>0.50109400480449562</v>
      </c>
      <c r="F11" s="33">
        <f>$C$31*('E Balans VL '!L11+'E Balans VL '!N11)/100/3.6*1000000</f>
        <v>189.75509715271824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2203.8585478403602</v>
      </c>
      <c r="C12" s="33"/>
      <c r="D12" s="37">
        <f>IF(ISERROR(TER_rest_gas_kWh/1000),0,TER_rest_gas_kWh/1000)*0.902</f>
        <v>5506.2884420039809</v>
      </c>
      <c r="E12" s="33">
        <f>$C$32*'E Balans VL '!I8/100/3.6*1000000</f>
        <v>26.731708547627285</v>
      </c>
      <c r="F12" s="33">
        <f>$C$32*('E Balans VL '!L8+'E Balans VL '!N8)/100/3.6*1000000</f>
        <v>436.10251197275397</v>
      </c>
      <c r="G12" s="34"/>
      <c r="H12" s="33"/>
      <c r="I12" s="33"/>
      <c r="J12" s="33">
        <f>$C$32*('E Balans VL '!D8+'E Balans VL '!E8)/100/3.6*1000000</f>
        <v>0</v>
      </c>
      <c r="K12" s="33"/>
      <c r="L12" s="33"/>
      <c r="M12" s="33"/>
      <c r="N12" s="33">
        <f>$C$32*'E Balans VL '!Y8/100/3.6*1000000</f>
        <v>174.94281958301397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13217.214410096814</v>
      </c>
      <c r="C16" s="21">
        <f t="shared" ca="1" si="1"/>
        <v>0</v>
      </c>
      <c r="D16" s="21">
        <f t="shared" ca="1" si="1"/>
        <v>19160.953978540329</v>
      </c>
      <c r="E16" s="21">
        <f t="shared" si="1"/>
        <v>181.07596212533537</v>
      </c>
      <c r="F16" s="21">
        <f t="shared" ca="1" si="1"/>
        <v>2989.9089213887573</v>
      </c>
      <c r="G16" s="21">
        <f t="shared" si="1"/>
        <v>0</v>
      </c>
      <c r="H16" s="21">
        <f t="shared" si="1"/>
        <v>0</v>
      </c>
      <c r="I16" s="21">
        <f t="shared" si="1"/>
        <v>0</v>
      </c>
      <c r="J16" s="21">
        <f t="shared" si="1"/>
        <v>0</v>
      </c>
      <c r="K16" s="21">
        <f t="shared" si="1"/>
        <v>0</v>
      </c>
      <c r="L16" s="21">
        <f t="shared" ca="1" si="1"/>
        <v>0</v>
      </c>
      <c r="M16" s="21">
        <f t="shared" si="1"/>
        <v>0</v>
      </c>
      <c r="N16" s="21">
        <f t="shared" ca="1" si="1"/>
        <v>2522.8563000765539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0.18506629270280833</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2446.0608707347533</v>
      </c>
      <c r="C20" s="23">
        <f t="shared" ref="C20:P20" ca="1" si="2">C16*C18</f>
        <v>0</v>
      </c>
      <c r="D20" s="23">
        <f t="shared" ca="1" si="2"/>
        <v>3870.5127036651465</v>
      </c>
      <c r="E20" s="23">
        <f t="shared" si="2"/>
        <v>41.104243402451132</v>
      </c>
      <c r="F20" s="23">
        <f t="shared" ca="1" si="2"/>
        <v>798.30568201079825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2862.3590795894102</v>
      </c>
      <c r="C26" s="39">
        <f>IF(ISERROR(B26*3.6/1000000/'E Balans VL '!Z12*100),0,B26*3.6/1000000/'E Balans VL '!Z12*100)</f>
        <v>6.0797924678851922E-2</v>
      </c>
      <c r="D26" s="235" t="s">
        <v>672</v>
      </c>
      <c r="F26" s="6"/>
    </row>
    <row r="27" spans="1:18">
      <c r="A27" s="230" t="s">
        <v>52</v>
      </c>
      <c r="B27" s="33">
        <f>IF(ISERROR(TER_horeca_ele_kWh/1000),0,TER_horeca_ele_kWh/1000)</f>
        <v>1611.4109074953101</v>
      </c>
      <c r="C27" s="39">
        <f>IF(ISERROR(B27*3.6/1000000/'E Balans VL '!Z9*100),0,B27*3.6/1000000/'E Balans VL '!Z9*100)</f>
        <v>0.12529701167635368</v>
      </c>
      <c r="D27" s="235" t="s">
        <v>672</v>
      </c>
      <c r="F27" s="6"/>
    </row>
    <row r="28" spans="1:18">
      <c r="A28" s="170" t="s">
        <v>51</v>
      </c>
      <c r="B28" s="33">
        <f>IF(ISERROR(TER_handel_ele_kWh/1000),0,TER_handel_ele_kWh/1000)</f>
        <v>2524.3527437477601</v>
      </c>
      <c r="C28" s="39">
        <f>IF(ISERROR(B28*3.6/1000000/'E Balans VL '!Z13*100),0,B28*3.6/1000000/'E Balans VL '!Z13*100)</f>
        <v>7.2224702864611995E-2</v>
      </c>
      <c r="D28" s="235" t="s">
        <v>672</v>
      </c>
      <c r="F28" s="6"/>
    </row>
    <row r="29" spans="1:18">
      <c r="A29" s="230" t="s">
        <v>50</v>
      </c>
      <c r="B29" s="33">
        <f>IF(ISERROR(TER_gezond_ele_kWh/1000),0,TER_gezond_ele_kWh/1000)</f>
        <v>117.435636515292</v>
      </c>
      <c r="C29" s="39">
        <f>IF(ISERROR(B29*3.6/1000000/'E Balans VL '!Z10*100),0,B29*3.6/1000000/'E Balans VL '!Z10*100)</f>
        <v>1.2803213257080252E-2</v>
      </c>
      <c r="D29" s="235" t="s">
        <v>672</v>
      </c>
      <c r="F29" s="6"/>
    </row>
    <row r="30" spans="1:18">
      <c r="A30" s="230" t="s">
        <v>49</v>
      </c>
      <c r="B30" s="33">
        <f>IF(ISERROR(TER_ander_ele_kWh/1000),0,TER_ander_ele_kWh/1000)</f>
        <v>3357.6110091515502</v>
      </c>
      <c r="C30" s="39">
        <f>IF(ISERROR(B30*3.6/1000000/'E Balans VL '!Z14*100),0,B30*3.6/1000000/'E Balans VL '!Z14*100)</f>
        <v>0.24570235708969013</v>
      </c>
      <c r="D30" s="235" t="s">
        <v>672</v>
      </c>
      <c r="F30" s="6"/>
    </row>
    <row r="31" spans="1:18">
      <c r="A31" s="230" t="s">
        <v>54</v>
      </c>
      <c r="B31" s="33">
        <f>IF(ISERROR(TER_onderwijs_ele_kWh/1000),0,TER_onderwijs_ele_kWh/1000)</f>
        <v>540.18648575713303</v>
      </c>
      <c r="C31" s="39">
        <f>IF(ISERROR(B31*3.6/1000000/'E Balans VL '!Z11*100),0,B31*3.6/1000000/'E Balans VL '!Z11*100)</f>
        <v>0.10849685679574332</v>
      </c>
      <c r="D31" s="235" t="s">
        <v>672</v>
      </c>
    </row>
    <row r="32" spans="1:18">
      <c r="A32" s="230" t="s">
        <v>249</v>
      </c>
      <c r="B32" s="33">
        <f>IF(ISERROR(TER_rest_ele_kWh/1000),0,TER_rest_ele_kWh/1000)</f>
        <v>2203.8585478403602</v>
      </c>
      <c r="C32" s="39">
        <f>IF(ISERROR(B32*3.6/1000000/'E Balans VL '!Z8*100),0,B32*3.6/1000000/'E Balans VL '!Z8*100)</f>
        <v>1.7960109711101197E-2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2062.3381793937078</v>
      </c>
      <c r="C5" s="17">
        <f>IF(ISERROR('Eigen informatie GS &amp; warmtenet'!B59),0,'Eigen informatie GS &amp; warmtenet'!B59)</f>
        <v>0</v>
      </c>
      <c r="D5" s="30">
        <f>SUM(D6:D15)</f>
        <v>2219.1462549977273</v>
      </c>
      <c r="E5" s="17">
        <f>SUM(E6:E15)</f>
        <v>259.92400400768787</v>
      </c>
      <c r="F5" s="17">
        <f>SUM(F6:F15)</f>
        <v>1381.0780293881362</v>
      </c>
      <c r="G5" s="18"/>
      <c r="H5" s="17"/>
      <c r="I5" s="17"/>
      <c r="J5" s="17">
        <f>SUM(J6:J15)</f>
        <v>2.2682360493065197</v>
      </c>
      <c r="K5" s="17"/>
      <c r="L5" s="17"/>
      <c r="M5" s="17"/>
      <c r="N5" s="17">
        <f>SUM(N6:N15)</f>
        <v>241.76890431235466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59.004640007660598</v>
      </c>
      <c r="C8" s="33"/>
      <c r="D8" s="37">
        <f>IF( ISERROR(IND_metaal_Gas_kWH/1000),0,IND_metaal_Gas_kWH/1000)*0.902</f>
        <v>0</v>
      </c>
      <c r="E8" s="33">
        <f>C30*'E Balans VL '!I18/100/3.6*1000000</f>
        <v>1.6948347372682147</v>
      </c>
      <c r="F8" s="33">
        <f>C30*'E Balans VL '!L18/100/3.6*1000000+C30*'E Balans VL '!N18/100/3.6*1000000</f>
        <v>15.133555339650824</v>
      </c>
      <c r="G8" s="34"/>
      <c r="H8" s="33"/>
      <c r="I8" s="33"/>
      <c r="J8" s="40">
        <f>C30*'E Balans VL '!D18/100/3.6*1000000+C30*'E Balans VL '!E18/100/3.6*1000000</f>
        <v>0</v>
      </c>
      <c r="K8" s="33"/>
      <c r="L8" s="33"/>
      <c r="M8" s="33"/>
      <c r="N8" s="33">
        <f>C30*'E Balans VL '!Y18/100/3.6*1000000</f>
        <v>1.6020964217426901</v>
      </c>
      <c r="O8" s="33"/>
      <c r="P8" s="33"/>
      <c r="R8" s="32"/>
    </row>
    <row r="9" spans="1:18">
      <c r="A9" s="6" t="s">
        <v>32</v>
      </c>
      <c r="B9" s="37">
        <f t="shared" si="0"/>
        <v>621.72118304603805</v>
      </c>
      <c r="C9" s="33"/>
      <c r="D9" s="37">
        <f>IF( ISERROR(IND_andere_gas_kWh/1000),0,IND_andere_gas_kWh/1000)*0.902</f>
        <v>762.03066448864479</v>
      </c>
      <c r="E9" s="33">
        <f>C31*'E Balans VL '!I19/100/3.6*1000000</f>
        <v>168.28463796668893</v>
      </c>
      <c r="F9" s="33">
        <f>C31*'E Balans VL '!L19/100/3.6*1000000+C31*'E Balans VL '!N19/100/3.6*1000000</f>
        <v>414.13209975310235</v>
      </c>
      <c r="G9" s="34"/>
      <c r="H9" s="33"/>
      <c r="I9" s="33"/>
      <c r="J9" s="40">
        <f>C31*'E Balans VL '!D19/100/3.6*1000000+C31*'E Balans VL '!E19/100/3.6*1000000</f>
        <v>0</v>
      </c>
      <c r="K9" s="33"/>
      <c r="L9" s="33"/>
      <c r="M9" s="33"/>
      <c r="N9" s="33">
        <f>C31*'E Balans VL '!Y19/100/3.6*1000000</f>
        <v>52.562407594004185</v>
      </c>
      <c r="O9" s="33"/>
      <c r="P9" s="33"/>
      <c r="R9" s="32"/>
    </row>
    <row r="10" spans="1:18">
      <c r="A10" s="6" t="s">
        <v>40</v>
      </c>
      <c r="B10" s="37">
        <f t="shared" si="0"/>
        <v>499.21808809068301</v>
      </c>
      <c r="C10" s="33"/>
      <c r="D10" s="37">
        <f>IF( ISERROR(IND_voed_gas_kWh/1000),0,IND_voed_gas_kWh/1000)*0.902</f>
        <v>637.36787998828788</v>
      </c>
      <c r="E10" s="33">
        <f>C32*'E Balans VL '!I20/100/3.6*1000000</f>
        <v>40.717374188388987</v>
      </c>
      <c r="F10" s="33">
        <f>C32*'E Balans VL '!L20/100/3.6*1000000+C32*'E Balans VL '!N20/100/3.6*1000000</f>
        <v>744.37946237679398</v>
      </c>
      <c r="G10" s="34"/>
      <c r="H10" s="33"/>
      <c r="I10" s="33"/>
      <c r="J10" s="40">
        <f>C32*'E Balans VL '!D20/100/3.6*1000000+C32*'E Balans VL '!E20/100/3.6*1000000</f>
        <v>6.6040493359719689E-3</v>
      </c>
      <c r="K10" s="33"/>
      <c r="L10" s="33"/>
      <c r="M10" s="33"/>
      <c r="N10" s="33">
        <f>C32*'E Balans VL '!Y20/100/3.6*1000000</f>
        <v>146.65265877415635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882.39426824932605</v>
      </c>
      <c r="C15" s="33"/>
      <c r="D15" s="37">
        <f>IF( ISERROR(IND_rest_gas_kWh/1000),0,IND_rest_gas_kWh/1000)*0.902</f>
        <v>819.74771052079439</v>
      </c>
      <c r="E15" s="33">
        <f>C37*'E Balans VL '!I15/100/3.6*1000000</f>
        <v>49.227157115341718</v>
      </c>
      <c r="F15" s="33">
        <f>C37*'E Balans VL '!L15/100/3.6*1000000+C37*'E Balans VL '!N15/100/3.6*1000000</f>
        <v>207.43291191858907</v>
      </c>
      <c r="G15" s="34"/>
      <c r="H15" s="33"/>
      <c r="I15" s="33"/>
      <c r="J15" s="40">
        <f>C37*'E Balans VL '!D15/100/3.6*1000000+C37*'E Balans VL '!E15/100/3.6*1000000</f>
        <v>2.2616319999705476</v>
      </c>
      <c r="K15" s="33"/>
      <c r="L15" s="33"/>
      <c r="M15" s="33"/>
      <c r="N15" s="33">
        <f>C37*'E Balans VL '!Y15/100/3.6*1000000</f>
        <v>40.951741522451456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2062.3381793937078</v>
      </c>
      <c r="C18" s="21">
        <f>C5+C16</f>
        <v>0</v>
      </c>
      <c r="D18" s="21">
        <f>MAX((D5+D16),0)</f>
        <v>2219.1462549977273</v>
      </c>
      <c r="E18" s="21">
        <f>MAX((E5+E16),0)</f>
        <v>259.92400400768787</v>
      </c>
      <c r="F18" s="21">
        <f>MAX((F5+F16),0)</f>
        <v>1381.0780293881362</v>
      </c>
      <c r="G18" s="21"/>
      <c r="H18" s="21"/>
      <c r="I18" s="21"/>
      <c r="J18" s="21">
        <f>MAX((J5+J16),0)</f>
        <v>2.2682360493065197</v>
      </c>
      <c r="K18" s="21"/>
      <c r="L18" s="21">
        <f>MAX((L5+L16),0)</f>
        <v>0</v>
      </c>
      <c r="M18" s="21"/>
      <c r="N18" s="21">
        <f>MAX((N5+N16),0)</f>
        <v>241.76890431235466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0.18506629270280833</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381.6692811598528</v>
      </c>
      <c r="C22" s="23">
        <f ca="1">C18*C20</f>
        <v>0</v>
      </c>
      <c r="D22" s="23">
        <f>D18*D20</f>
        <v>448.26754350954093</v>
      </c>
      <c r="E22" s="23">
        <f>E18*E20</f>
        <v>59.002748909745151</v>
      </c>
      <c r="F22" s="23">
        <f>F18*F20</f>
        <v>368.74783384663237</v>
      </c>
      <c r="G22" s="23"/>
      <c r="H22" s="23"/>
      <c r="I22" s="23"/>
      <c r="J22" s="23">
        <f>J18*J20</f>
        <v>0.80295556145450797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59.004640007660598</v>
      </c>
      <c r="C30" s="39">
        <f>IF(ISERROR(B30*3.6/1000000/'E Balans VL '!Z18*100),0,B30*3.6/1000000/'E Balans VL '!Z18*100)</f>
        <v>5.8059059539529662E-3</v>
      </c>
      <c r="D30" s="235" t="s">
        <v>672</v>
      </c>
    </row>
    <row r="31" spans="1:18">
      <c r="A31" s="6" t="s">
        <v>32</v>
      </c>
      <c r="B31" s="37">
        <f>IF( ISERROR(IND_ander_ele_kWh/1000),0,IND_ander_ele_kWh/1000)</f>
        <v>621.72118304603805</v>
      </c>
      <c r="C31" s="39">
        <f>IF(ISERROR(B31*3.6/1000000/'E Balans VL '!Z19*100),0,B31*3.6/1000000/'E Balans VL '!Z19*100)</f>
        <v>2.7075461579552589E-2</v>
      </c>
      <c r="D31" s="235" t="s">
        <v>672</v>
      </c>
    </row>
    <row r="32" spans="1:18">
      <c r="A32" s="170" t="s">
        <v>40</v>
      </c>
      <c r="B32" s="37">
        <f>IF( ISERROR(IND_voed_ele_kWh/1000),0,IND_voed_ele_kWh/1000)</f>
        <v>499.21808809068301</v>
      </c>
      <c r="C32" s="39">
        <f>IF(ISERROR(B32*3.6/1000000/'E Balans VL '!Z20*100),0,B32*3.6/1000000/'E Balans VL '!Z20*100)</f>
        <v>9.4719432707163945E-2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882.39426824932605</v>
      </c>
      <c r="C37" s="39">
        <f>IF(ISERROR(B37*3.6/1000000/'E Balans VL '!Z15*100),0,B37*3.6/1000000/'E Balans VL '!Z15*100)</f>
        <v>6.7999316404253208E-3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2455.4040526368212</v>
      </c>
      <c r="C5" s="17">
        <f>'Eigen informatie GS &amp; warmtenet'!B60</f>
        <v>0</v>
      </c>
      <c r="D5" s="30">
        <f>IF(ISERROR(SUM(LB_lb_gas_kWh,LB_rest_gas_kWh)/1000),0,SUM(LB_lb_gas_kWh,LB_rest_gas_kWh)/1000)*0.902</f>
        <v>30568.45816383457</v>
      </c>
      <c r="E5" s="17">
        <f>B17*'E Balans VL '!I25/3.6*1000000/100</f>
        <v>30.941254266788114</v>
      </c>
      <c r="F5" s="17">
        <f>B17*('E Balans VL '!L25/3.6*1000000+'E Balans VL '!N25/3.6*1000000)/100</f>
        <v>8471.7590970668771</v>
      </c>
      <c r="G5" s="18"/>
      <c r="H5" s="17"/>
      <c r="I5" s="17"/>
      <c r="J5" s="17">
        <f>('E Balans VL '!D25+'E Balans VL '!E25)/3.6*1000000*landbouw!B17/100</f>
        <v>369.26485746841541</v>
      </c>
      <c r="K5" s="17"/>
      <c r="L5" s="17">
        <f>L6*(-1)</f>
        <v>0</v>
      </c>
      <c r="M5" s="17"/>
      <c r="N5" s="17">
        <f>N6*(-1)</f>
        <v>0</v>
      </c>
      <c r="O5" s="17"/>
      <c r="P5" s="17"/>
      <c r="R5" s="32"/>
    </row>
    <row r="6" spans="1:18">
      <c r="A6" s="16" t="s">
        <v>484</v>
      </c>
      <c r="B6" s="17" t="s">
        <v>204</v>
      </c>
      <c r="C6" s="17">
        <f>'lokale energieproductie'!O39+'lokale energieproductie'!O32</f>
        <v>17228.571428571428</v>
      </c>
      <c r="D6" s="305">
        <f>('lokale energieproductie'!P32+'lokale energieproductie'!P39)*(-1)</f>
        <v>-34457.142857142862</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2455.4040526368212</v>
      </c>
      <c r="C8" s="21">
        <f>C5+C6</f>
        <v>17228.571428571428</v>
      </c>
      <c r="D8" s="21">
        <f>MAX((D5+D6),0)</f>
        <v>0</v>
      </c>
      <c r="E8" s="21">
        <f>MAX((E5+E6),0)</f>
        <v>30.941254266788114</v>
      </c>
      <c r="F8" s="21">
        <f>MAX((F5+F6),0)</f>
        <v>8471.7590970668771</v>
      </c>
      <c r="G8" s="21"/>
      <c r="H8" s="21"/>
      <c r="I8" s="21"/>
      <c r="J8" s="21">
        <f>MAX((J5+J6),0)</f>
        <v>369.26485746841541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0.18506629270280833</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454.41252510894776</v>
      </c>
      <c r="C12" s="23">
        <f ca="1">C8*C10</f>
        <v>4094.3193277310938</v>
      </c>
      <c r="D12" s="23">
        <f>D8*D10</f>
        <v>0</v>
      </c>
      <c r="E12" s="23">
        <f>E8*E10</f>
        <v>7.0236647185609025</v>
      </c>
      <c r="F12" s="23">
        <f>F8*F10</f>
        <v>2261.9596789168563</v>
      </c>
      <c r="G12" s="23"/>
      <c r="H12" s="23"/>
      <c r="I12" s="23"/>
      <c r="J12" s="23">
        <f>J8*J10</f>
        <v>130.71975954381904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0.34245147549929156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248.45266177697755</v>
      </c>
      <c r="C26" s="245">
        <f>B26*'GWP N2O_CH4'!B5</f>
        <v>5217.5058973165287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123.16451499275158</v>
      </c>
      <c r="C27" s="245">
        <f>B27*'GWP N2O_CH4'!B5</f>
        <v>2586.4548148477829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6.0217234180389605</v>
      </c>
      <c r="C28" s="245">
        <f>B28*'GWP N2O_CH4'!B4</f>
        <v>1866.7342595920777</v>
      </c>
      <c r="D28" s="50"/>
    </row>
    <row r="29" spans="1:4">
      <c r="A29" s="41" t="s">
        <v>266</v>
      </c>
      <c r="B29" s="245">
        <f>B34*'ha_N2O bodem landbouw'!B4</f>
        <v>10.471745265682783</v>
      </c>
      <c r="C29" s="245">
        <f>B29*'GWP N2O_CH4'!B4</f>
        <v>3246.2410323616627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2.6146901562418665E-3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3.228618902912579E-5</v>
      </c>
      <c r="C5" s="434" t="s">
        <v>204</v>
      </c>
      <c r="D5" s="419">
        <f>SUM(D6:D11)</f>
        <v>2.8894895998201996E-5</v>
      </c>
      <c r="E5" s="419">
        <f>SUM(E6:E11)</f>
        <v>1.1416920495988547E-3</v>
      </c>
      <c r="F5" s="432" t="s">
        <v>204</v>
      </c>
      <c r="G5" s="419">
        <f>SUM(G6:G11)</f>
        <v>0.39317342854989068</v>
      </c>
      <c r="H5" s="419">
        <f>SUM(H6:H11)</f>
        <v>5.078680416645457E-2</v>
      </c>
      <c r="I5" s="434" t="s">
        <v>204</v>
      </c>
      <c r="J5" s="434" t="s">
        <v>204</v>
      </c>
      <c r="K5" s="434" t="s">
        <v>204</v>
      </c>
      <c r="L5" s="434" t="s">
        <v>204</v>
      </c>
      <c r="M5" s="419">
        <f>SUM(M6:M11)</f>
        <v>2.0067227084896912E-2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1.0329737021655697E-5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9.2025698687417537E-6</v>
      </c>
      <c r="E6" s="873">
        <f>vkm_GW_PW*SUMIFS(TableVerdeelsleutelVkm[LPG],TableVerdeelsleutelVkm[Voertuigtype],"Lichte voertuigen")*SUMIFS(TableECFTransport[EnergieConsumptieFactor (PJ per km)],TableECFTransport[Index],CONCATENATE($A6,"_LPG_LPG"))</f>
        <v>3.3122196121001775E-4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6.4921292443142264E-2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1.5915998799839841E-2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3.6568014320865283E-3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1.1615447113188978E-7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1.8176547121805383E-2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4.1432951490948772E-7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8.2069910951521876E-4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4.2927969281656014E-6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6.0299528965946088E-6</v>
      </c>
      <c r="E8" s="422">
        <f>vkm_NGW_PW*SUMIFS(TableVerdeelsleutelVkm[LPG],TableVerdeelsleutelVkm[Voertuigtype],"Lichte voertuigen")*SUMIFS(TableECFTransport[EnergieConsumptieFactor (PJ per km)],TableECFTransport[Index],CONCATENATE($A8,"_LPG_LPG"))</f>
        <v>2.065512520910054E-4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3.8029891337158492E-2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1.0011320699489705E-2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2.1734609585884906E-3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9.6981095679279796E-10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1.9494073174714516E-4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4.1755479224719804E-9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8.8018621880303187E-6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1.6459071419738158E-5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1.3662373232865635E-5</v>
      </c>
      <c r="E10" s="422">
        <f>vkm_SW_PW*SUMIFS(TableVerdeelsleutelVkm[LPG],TableVerdeelsleutelVkm[Voertuigtype],"Lichte voertuigen")*SUMIFS(TableECFTransport[EnergieConsumptieFactor (PJ per km)],TableECFTransport[Index],CONCATENATE($A10,"_LPG_LPG"))</f>
        <v>6.0391883629783139E-4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0.10971231566313536</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2.4855073583948031E-2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6.0866497474601168E-3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1.0874593774776496E-6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0.16213844125290205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3.992578114170759E-6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7.3208139750585302E-3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8.9683858414238298</v>
      </c>
      <c r="C14" s="21"/>
      <c r="D14" s="21">
        <f t="shared" ref="D14:M14" si="0">((D5)*10^9/3600)+D12</f>
        <v>8.0263599995005546</v>
      </c>
      <c r="E14" s="21">
        <f t="shared" si="0"/>
        <v>317.13668044412634</v>
      </c>
      <c r="F14" s="21"/>
      <c r="G14" s="21">
        <f t="shared" si="0"/>
        <v>109214.84126385853</v>
      </c>
      <c r="H14" s="21">
        <f t="shared" si="0"/>
        <v>14107.445601792935</v>
      </c>
      <c r="I14" s="21"/>
      <c r="J14" s="21"/>
      <c r="K14" s="21"/>
      <c r="L14" s="21"/>
      <c r="M14" s="21">
        <f t="shared" si="0"/>
        <v>5574.2297458046978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0.18506629270280833</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1.6597459192006645</v>
      </c>
      <c r="C18" s="23"/>
      <c r="D18" s="23">
        <f t="shared" ref="D18:M18" si="1">D14*D16</f>
        <v>1.6213247198991121</v>
      </c>
      <c r="E18" s="23">
        <f t="shared" si="1"/>
        <v>71.990026460816679</v>
      </c>
      <c r="F18" s="23"/>
      <c r="G18" s="23">
        <f t="shared" si="1"/>
        <v>29160.362617450228</v>
      </c>
      <c r="H18" s="23">
        <f t="shared" si="1"/>
        <v>3512.753954846441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2.4941744536266041E-5</v>
      </c>
      <c r="C50" s="316">
        <f t="shared" ref="C50:P50" si="2">SUM(C51:C52)</f>
        <v>0</v>
      </c>
      <c r="D50" s="316">
        <f t="shared" si="2"/>
        <v>0</v>
      </c>
      <c r="E50" s="316">
        <f t="shared" si="2"/>
        <v>0</v>
      </c>
      <c r="F50" s="316">
        <f t="shared" si="2"/>
        <v>0</v>
      </c>
      <c r="G50" s="316">
        <f t="shared" si="2"/>
        <v>4.8547693262462159E-3</v>
      </c>
      <c r="H50" s="316">
        <f t="shared" si="2"/>
        <v>0</v>
      </c>
      <c r="I50" s="316">
        <f t="shared" si="2"/>
        <v>0</v>
      </c>
      <c r="J50" s="316">
        <f t="shared" si="2"/>
        <v>0</v>
      </c>
      <c r="K50" s="316">
        <f t="shared" si="2"/>
        <v>0</v>
      </c>
      <c r="L50" s="316">
        <f t="shared" si="2"/>
        <v>0</v>
      </c>
      <c r="M50" s="316">
        <f t="shared" si="2"/>
        <v>2.1769193580872904E-4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2.4941744536266041E-5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4.8547693262462159E-3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2.1769193580872904E-4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6.9282623711850109</v>
      </c>
      <c r="C54" s="21">
        <f t="shared" ref="C54:P54" si="3">(C50)*10^9/3600</f>
        <v>0</v>
      </c>
      <c r="D54" s="21">
        <f t="shared" si="3"/>
        <v>0</v>
      </c>
      <c r="E54" s="21">
        <f t="shared" si="3"/>
        <v>0</v>
      </c>
      <c r="F54" s="21">
        <f t="shared" si="3"/>
        <v>0</v>
      </c>
      <c r="G54" s="21">
        <f t="shared" si="3"/>
        <v>1348.5470350683934</v>
      </c>
      <c r="H54" s="21">
        <f t="shared" si="3"/>
        <v>0</v>
      </c>
      <c r="I54" s="21">
        <f t="shared" si="3"/>
        <v>0</v>
      </c>
      <c r="J54" s="21">
        <f t="shared" si="3"/>
        <v>0</v>
      </c>
      <c r="K54" s="21">
        <f t="shared" si="3"/>
        <v>0</v>
      </c>
      <c r="L54" s="21">
        <f t="shared" si="3"/>
        <v>0</v>
      </c>
      <c r="M54" s="21">
        <f t="shared" si="3"/>
        <v>60.469982169091395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0.18506629270280833</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1.2821878319075781</v>
      </c>
      <c r="C58" s="23">
        <f t="shared" ref="C58:P58" ca="1" si="4">C54*C56</f>
        <v>0</v>
      </c>
      <c r="D58" s="23">
        <f t="shared" si="4"/>
        <v>0</v>
      </c>
      <c r="E58" s="23">
        <f t="shared" si="4"/>
        <v>0</v>
      </c>
      <c r="F58" s="23">
        <f t="shared" si="4"/>
        <v>0</v>
      </c>
      <c r="G58" s="23">
        <f t="shared" si="4"/>
        <v>360.06205836326103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4232.3554720000002</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3863.3532401744128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12060</v>
      </c>
      <c r="C8" s="546">
        <f>B48</f>
        <v>14188.23529411765</v>
      </c>
      <c r="D8" s="1001"/>
      <c r="E8" s="1001">
        <f>E48</f>
        <v>0</v>
      </c>
      <c r="F8" s="1002"/>
      <c r="G8" s="547"/>
      <c r="H8" s="1001">
        <f>I48</f>
        <v>0</v>
      </c>
      <c r="I8" s="1001">
        <f>G48+F48</f>
        <v>0</v>
      </c>
      <c r="J8" s="1001">
        <f>H48+D48+C48</f>
        <v>0</v>
      </c>
      <c r="K8" s="1001"/>
      <c r="L8" s="1001"/>
      <c r="M8" s="1001"/>
      <c r="N8" s="548"/>
      <c r="O8" s="549">
        <f>C8*$C$12+D8*$D$12+E8*$E$12+F8*$F$12+G8*$G$12+H8*$H$12+I8*$I$12+J8*$J$12</f>
        <v>2866.0235294117656</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20155.708712174412</v>
      </c>
      <c r="C10" s="559">
        <f t="shared" ref="C10:L10" si="0">SUM(C8:C9)</f>
        <v>14188.23529411765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2866.0235294117656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17228.571428571428</v>
      </c>
      <c r="C17" s="571">
        <f>B49</f>
        <v>20268.907563025215</v>
      </c>
      <c r="D17" s="572"/>
      <c r="E17" s="572">
        <f>E49</f>
        <v>0</v>
      </c>
      <c r="F17" s="1007"/>
      <c r="G17" s="573"/>
      <c r="H17" s="571">
        <f>I49</f>
        <v>0</v>
      </c>
      <c r="I17" s="572">
        <f>G49+F49</f>
        <v>0</v>
      </c>
      <c r="J17" s="572">
        <f>H49+D49+C49</f>
        <v>0</v>
      </c>
      <c r="K17" s="572"/>
      <c r="L17" s="572"/>
      <c r="M17" s="572"/>
      <c r="N17" s="1008"/>
      <c r="O17" s="574">
        <f>C17*$C$22+E17*$E$22+H17*$H$22+I17*$I$22+J17*$J$22+D17*$D$22+F17*$F$22+G17*$G$22+K17*$K$22+L17*$L$22</f>
        <v>4094.3193277310938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17228.571428571428</v>
      </c>
      <c r="C20" s="558">
        <f>SUM(C17:C19)</f>
        <v>20268.907563025215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4094.3193277310938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13031</v>
      </c>
      <c r="C28" s="777">
        <v>2360</v>
      </c>
      <c r="D28" s="630"/>
      <c r="E28" s="629"/>
      <c r="F28" s="629"/>
      <c r="G28" s="629" t="s">
        <v>926</v>
      </c>
      <c r="H28" s="629" t="s">
        <v>927</v>
      </c>
      <c r="I28" s="629"/>
      <c r="J28" s="776"/>
      <c r="K28" s="776"/>
      <c r="L28" s="629" t="s">
        <v>928</v>
      </c>
      <c r="M28" s="629">
        <v>2680</v>
      </c>
      <c r="N28" s="629">
        <v>12060</v>
      </c>
      <c r="O28" s="629">
        <v>17228.571428571428</v>
      </c>
      <c r="P28" s="629">
        <v>34457.142857142862</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2680</v>
      </c>
      <c r="N29" s="587">
        <f>SUM(N28:N28)</f>
        <v>12060</v>
      </c>
      <c r="O29" s="587">
        <f>SUM(O28:O28)</f>
        <v>17228.571428571428</v>
      </c>
      <c r="P29" s="587">
        <f>SUM(P28:P28)</f>
        <v>34457.142857142862</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2680</v>
      </c>
      <c r="N32" s="592">
        <f>SUMIF($Z$28:$Z$28,"landbouw",N28:N28)</f>
        <v>12060</v>
      </c>
      <c r="O32" s="592">
        <f>SUMIF($Z$28:$Z$28,"landbouw",O28:O28)</f>
        <v>17228.571428571428</v>
      </c>
      <c r="P32" s="592">
        <f>SUMIF($Z$28:$Z$28,"landbouw",P28:P28)</f>
        <v>34457.142857142862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14188.23529411765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20268.907563025215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2021-11-11T13:19:54Z</dcterms:modified>
</cp:coreProperties>
</file>