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43B12566-62DD-4BC1-B0E7-FDCC574F86D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B8" i="18" s="1"/>
  <c r="M30" i="18"/>
  <c r="G22" i="18"/>
  <c r="F22" i="18"/>
  <c r="E22" i="18"/>
  <c r="D22" i="18"/>
  <c r="C22" i="18"/>
  <c r="L20" i="18"/>
  <c r="D20" i="18"/>
  <c r="G12" i="18"/>
  <c r="F12" i="18"/>
  <c r="E12" i="18"/>
  <c r="D12" i="18"/>
  <c r="C12" i="18"/>
  <c r="L10" i="18"/>
  <c r="K10" i="18"/>
  <c r="G10" i="18"/>
  <c r="D10" i="18"/>
  <c r="B6" i="18"/>
  <c r="B5" i="18"/>
  <c r="B4" i="18"/>
  <c r="J9" i="18" l="1"/>
  <c r="F20" i="18"/>
  <c r="B17" i="18"/>
  <c r="B20" i="18" s="1"/>
  <c r="I50" i="18"/>
  <c r="H17" i="18" s="1"/>
  <c r="G50" i="18"/>
  <c r="F50" i="18"/>
  <c r="C50" i="18"/>
  <c r="B50" i="18"/>
  <c r="C17" i="18" s="1"/>
  <c r="C20" i="18" s="1"/>
  <c r="C46" i="18"/>
  <c r="O18" i="18"/>
  <c r="H20" i="18"/>
  <c r="G20" i="18"/>
  <c r="K20" i="18"/>
  <c r="B10" i="18"/>
  <c r="O19" i="18"/>
  <c r="O9" i="18"/>
  <c r="D50" i="18"/>
  <c r="H50" i="18"/>
  <c r="E49" i="18"/>
  <c r="E8" i="18" s="1"/>
  <c r="E10" i="18" s="1"/>
  <c r="E50" i="18"/>
  <c r="E17" i="18" s="1"/>
  <c r="E20" i="18" s="1"/>
  <c r="N6" i="17"/>
  <c r="I17" i="18" l="1"/>
  <c r="I20" i="18" s="1"/>
  <c r="I49" i="18"/>
  <c r="H8" i="18" s="1"/>
  <c r="H10" i="18" s="1"/>
  <c r="G49" i="18"/>
  <c r="I8" i="18" s="1"/>
  <c r="I10" i="18" s="1"/>
  <c r="F49" i="18"/>
  <c r="D49" i="18"/>
  <c r="C49" i="18"/>
  <c r="B49" i="18"/>
  <c r="C8" i="18" s="1"/>
  <c r="C10" i="18" s="1"/>
  <c r="H49"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2" i="13" l="1"/>
  <c r="B34" i="13"/>
  <c r="B33" i="13"/>
  <c r="B36"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<sst xmlns="http://schemas.openxmlformats.org/spreadsheetml/2006/main" count="2526" uniqueCount="933">
  <si>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</si>
  <si>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</si>
  <si>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</si>
  <si>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</si>
  <si>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</si>
  <si>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</si>
  <si>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</si>
  <si>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</si>
  <si>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</si>
  <si>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</si>
  <si>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</si>
  <si>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</si>
  <si>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</si>
  <si>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</si>
  <si>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</si>
  <si>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</si>
  <si>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</si>
  <si>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</si>
  <si>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</si>
  <si>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</si>
  <si>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</si>
  <si>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</si>
  <si>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</si>
  <si>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</si>
  <si>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</si>
  <si>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</si>
  <si>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</si>
  <si>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</si>
  <si>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</si>
  <si>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</si>
  <si>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</si>
  <si>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</si>
  <si>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</si>
  <si>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</si>
  <si>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</si>
  <si>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</si>
  <si>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</si>
  <si>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</si>
  <si>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</si>
  <si>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</si>
  <si>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</si>
  <si>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</si>
  <si>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</si>
  <si>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</si>
  <si>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</si>
  <si>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</si>
  <si>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</si>
  <si>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</si>
  <si>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</si>
  <si>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</si>
  <si>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</si>
  <si>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</si>
  <si>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</si>
  <si>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</si>
  <si>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</si>
  <si>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</si>
  <si>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</si>
  <si>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</si>
  <si>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</si>
  <si>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</si>
  <si>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</si>
  <si>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</si>
  <si>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</si>
  <si>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</si>
  <si>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</si>
  <si>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</si>
  <si>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</si>
  <si>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</si>
  <si>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</si>
  <si>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</si>
  <si>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</si>
  <si>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</si>
  <si>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</si>
  <si>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</si>
  <si>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</si>
  <si>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</si>
  <si>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</si>
  <si>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</si>
  <si>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</si>
  <si>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</si>
  <si>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</si>
  <si>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</si>
  <si>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</si>
  <si>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</si>
  <si>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</si>
  <si>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</si>
  <si>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</si>
  <si>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</si>
  <si>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</si>
  <si>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</si>
  <si>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</si>
  <si>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</si>
  <si>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</si>
  <si>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</si>
  <si>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</si>
  <si>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</si>
  <si>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</si>
  <si>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</si>
  <si>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</si>
  <si>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</si>
  <si>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</si>
  <si>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</si>
  <si>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</si>
  <si>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</si>
  <si>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</si>
  <si>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</si>
  <si>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</si>
  <si>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</si>
  <si>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</si>
  <si>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</si>
  <si>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</si>
  <si>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</si>
  <si>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</si>
  <si>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</si>
  <si>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</si>
  <si>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</si>
  <si>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</si>
  <si>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</si>
  <si>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</si>
  <si>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</si>
  <si>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</si>
  <si>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</si>
  <si>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</si>
  <si>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</si>
  <si>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</si>
  <si>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</si>
  <si>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</si>
  <si>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</si>
  <si>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</si>
  <si>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</si>
  <si>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</si>
  <si>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</si>
  <si>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</si>
  <si>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</si>
  <si>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</si>
  <si>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</si>
  <si>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</si>
  <si>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</si>
  <si>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</si>
  <si>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</si>
  <si>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</si>
  <si>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</si>
  <si>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</si>
  <si>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</si>
  <si>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</si>
  <si>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</si>
  <si>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</si>
  <si>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</si>
  <si>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</si>
  <si>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</si>
  <si>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</si>
  <si>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</si>
  <si>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</si>
  <si>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</si>
  <si>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</si>
  <si>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</si>
  <si>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</si>
  <si>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</si>
  <si>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</si>
  <si>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</si>
  <si>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</si>
  <si>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</si>
  <si>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</si>
  <si>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</si>
  <si>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</si>
  <si>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</si>
  <si>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</si>
  <si>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</si>
  <si>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</si>
  <si>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</si>
  <si>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</si>
  <si>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</si>
  <si>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</si>
  <si>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</si>
  <si>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</si>
  <si>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</si>
  <si>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</si>
  <si>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</si>
  <si>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</si>
  <si>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</si>
  <si>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</si>
  <si>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</si>
  <si>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</si>
  <si>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</si>
  <si>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</si>
  <si>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</si>
  <si>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</si>
  <si>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</si>
  <si>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</si>
  <si>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</si>
  <si>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</si>
  <si>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</si>
  <si>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</si>
  <si>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</si>
  <si>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</si>
  <si>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</si>
  <si>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</si>
  <si>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</si>
  <si>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</si>
  <si>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</si>
  <si>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</si>
  <si>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</si>
  <si>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</si>
  <si>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</si>
  <si>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</si>
  <si>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</si>
  <si>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</si>
  <si>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</si>
  <si>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</si>
  <si>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</si>
  <si>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</si>
  <si>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</si>
  <si>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</si>
  <si>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</si>
  <si>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</si>
  <si>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</si>
  <si>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</si>
  <si>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</si>
  <si>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</si>
  <si>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</si>
  <si>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</si>
  <si>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</si>
  <si>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</si>
  <si>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</si>
  <si>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</si>
  <si>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</si>
  <si>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</si>
  <si>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</si>
  <si>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</si>
  <si>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</si>
  <si>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</si>
  <si>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</si>
  <si>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</si>
  <si>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</si>
  <si>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</si>
  <si>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</si>
  <si>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</si>
  <si>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</si>
  <si>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</si>
  <si>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</si>
  <si>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</si>
  <si>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</si>
  <si>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</si>
  <si>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</si>
  <si>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</si>
  <si>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</si>
  <si>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</si>
  <si>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</si>
  <si>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</si>
  <si>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</si>
  <si>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</si>
  <si>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</si>
  <si>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</si>
  <si>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</si>
  <si>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</si>
  <si>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</si>
  <si>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</si>
  <si>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</si>
  <si>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</si>
  <si>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</si>
  <si>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</si>
  <si>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</si>
  <si>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</si>
  <si>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</si>
  <si>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</si>
  <si>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</si>
  <si>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</si>
  <si>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</si>
  <si>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</si>
  <si>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</si>
  <si>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</si>
  <si>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</si>
  <si>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</si>
  <si>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</si>
  <si>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</si>
  <si>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</si>
  <si>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</si>
  <si>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</si>
  <si>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</si>
  <si>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</si>
  <si>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</si>
  <si>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</si>
  <si>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</si>
  <si>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</si>
  <si>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</si>
  <si>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</si>
  <si>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</si>
  <si>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</si>
  <si>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</si>
  <si>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</si>
  <si>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</si>
  <si>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</si>
  <si>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</si>
  <si>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</si>
  <si>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</si>
  <si>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</si>
  <si>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</si>
  <si>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</si>
  <si>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</si>
  <si>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</si>
  <si>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</si>
  <si>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</si>
  <si>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</si>
  <si>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</si>
  <si>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</si>
  <si>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</si>
  <si>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</si>
  <si>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</si>
  <si>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</si>
  <si>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</si>
  <si>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</si>
  <si>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</si>
  <si>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</si>
  <si>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</si>
  <si>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</si>
  <si>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</si>
  <si>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</si>
  <si>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</si>
  <si>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</si>
  <si>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</si>
  <si>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</si>
  <si>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</si>
  <si>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</si>
  <si>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</si>
  <si>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</si>
  <si>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</si>
  <si>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</si>
  <si>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</si>
  <si>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</si>
  <si>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</si>
  <si>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</si>
  <si>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</si>
  <si>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</si>
  <si>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</si>
  <si>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</si>
  <si>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</si>
  <si>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</si>
  <si>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</si>
  <si>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</si>
  <si>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</si>
  <si>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</si>
  <si>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</si>
  <si>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</si>
  <si>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</si>
  <si>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</si>
  <si>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</si>
  <si>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</si>
  <si>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</si>
  <si>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</si>
  <si>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</si>
  <si>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</si>
  <si>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</si>
  <si>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</si>
  <si>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</si>
  <si>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</si>
  <si>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</si>
  <si>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</si>
  <si>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</si>
  <si>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</si>
  <si>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</si>
  <si>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</si>
  <si>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</si>
  <si>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</si>
  <si>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</si>
  <si>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</si>
  <si>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</si>
  <si>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</si>
  <si>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</si>
  <si>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</si>
  <si>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</si>
  <si>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</si>
  <si>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</si>
  <si>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</si>
  <si>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</si>
  <si>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</si>
  <si>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</si>
  <si>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</si>
  <si>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</si>
  <si>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</si>
  <si>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</si>
  <si>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</si>
  <si>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</si>
  <si>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</si>
  <si>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</si>
  <si>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</si>
  <si>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</si>
  <si>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</si>
  <si>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</si>
  <si>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</si>
  <si>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</si>
  <si>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</si>
  <si>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</si>
  <si>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</si>
  <si>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</si>
  <si>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</si>
  <si>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</si>
  <si>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</si>
  <si>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</si>
  <si>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</si>
  <si>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</si>
  <si>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</si>
  <si>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</si>
  <si>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</si>
  <si>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</si>
  <si>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</si>
  <si>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</si>
  <si>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</si>
  <si>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</si>
  <si>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</si>
  <si>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</si>
  <si>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</si>
  <si>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</si>
  <si>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</si>
  <si>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</si>
  <si>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</si>
  <si>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</si>
  <si>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</si>
  <si>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</si>
  <si>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</si>
  <si>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</si>
  <si>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</si>
  <si>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</si>
  <si>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</si>
  <si>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</si>
  <si>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</si>
  <si>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</si>
  <si>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</si>
  <si>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</si>
  <si>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</si>
  <si>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</si>
  <si>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</si>
  <si>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</si>
  <si>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</si>
  <si>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</si>
  <si>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</si>
  <si>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</si>
  <si>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</si>
  <si>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</si>
  <si>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</si>
  <si>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</si>
  <si>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</si>
  <si>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</si>
  <si>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</si>
  <si>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</si>
  <si>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</si>
  <si>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</si>
  <si>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</si>
  <si>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</si>
  <si>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</si>
  <si>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</si>
  <si>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</si>
  <si>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</si>
  <si>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</si>
  <si>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</si>
  <si>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</si>
  <si>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</si>
  <si>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</si>
  <si>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</si>
  <si>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</si>
  <si>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</si>
  <si>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</si>
  <si>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</si>
  <si>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</si>
  <si>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</si>
  <si>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</si>
  <si>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</si>
  <si>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</si>
  <si>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</si>
  <si>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</si>
  <si>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</si>
  <si>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</si>
  <si>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</si>
  <si>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</si>
  <si>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</si>
  <si>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</si>
  <si>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</si>
  <si>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</si>
  <si>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</si>
  <si>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</si>
  <si>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</si>
  <si>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</si>
  <si>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</si>
  <si>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</si>
  <si>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</si>
  <si>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</si>
  <si>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</si>
  <si>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</si>
  <si>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</si>
  <si>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</si>
  <si>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</si>
  <si>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</si>
  <si>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</si>
  <si>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</si>
  <si>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</si>
  <si>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</si>
  <si>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</si>
  <si>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</si>
  <si>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</si>
  <si>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</si>
  <si>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</si>
  <si>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</si>
  <si>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</si>
  <si>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</si>
  <si>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</si>
  <si>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</si>
  <si>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</si>
  <si>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</si>
  <si>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</si>
  <si>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</si>
  <si>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</si>
  <si>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</si>
  <si>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</si>
  <si>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</si>
  <si>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</si>
  <si>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</si>
  <si>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</si>
  <si>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</si>
  <si>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</si>
  <si>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</si>
  <si>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</si>
  <si>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</si>
  <si>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</si>
  <si>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</si>
  <si>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</si>
  <si>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</si>
  <si>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</si>
  <si>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</si>
  <si>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</si>
  <si>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</si>
  <si>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</si>
  <si>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</si>
  <si>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</si>
  <si>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</si>
  <si>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</si>
  <si>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</si>
  <si>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</si>
  <si>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</si>
  <si>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</si>
  <si>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</si>
  <si>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</si>
  <si>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</si>
  <si>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</si>
  <si>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</si>
  <si>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</si>
  <si>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</si>
  <si>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</si>
  <si>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</si>
  <si>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</si>
  <si>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</si>
  <si>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</si>
  <si>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</si>
  <si>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</si>
  <si>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</si>
  <si>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</si>
  <si>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</si>
  <si>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</si>
  <si>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</si>
  <si>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</si>
  <si>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</si>
  <si>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</si>
  <si>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</si>
  <si>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</si>
  <si>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</si>
  <si>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</si>
  <si>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</si>
  <si>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</si>
  <si>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</si>
  <si>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</si>
  <si>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</si>
  <si>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</si>
  <si>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</si>
  <si>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</si>
  <si>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</si>
  <si>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</si>
  <si>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</si>
  <si>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</si>
  <si>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</si>
  <si>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</si>
  <si>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</si>
  <si>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</si>
  <si>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</si>
  <si>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</si>
  <si>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</si>
  <si>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</si>
  <si>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</si>
  <si>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</si>
  <si>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</si>
  <si>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</si>
  <si>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</si>
  <si>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</si>
  <si>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</si>
  <si>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</si>
  <si>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</si>
  <si>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</si>
  <si>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</si>
  <si>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</si>
  <si>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</si>
  <si>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</si>
  <si>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</si>
  <si>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</si>
  <si>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</si>
  <si>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</si>
  <si>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</si>
  <si>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</si>
  <si>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</si>
  <si>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</si>
  <si>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</si>
  <si>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</si>
  <si>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</si>
  <si>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</si>
  <si>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</si>
  <si>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</si>
  <si>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</si>
  <si>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</si>
  <si>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</si>
  <si>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</si>
  <si>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</si>
  <si>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</si>
  <si>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</si>
  <si>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</si>
  <si>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</si>
  <si>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</si>
  <si>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</si>
  <si>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</si>
  <si>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</si>
  <si>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</si>
  <si>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</si>
  <si>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</si>
  <si>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</si>
  <si>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</si>
  <si>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</si>
  <si>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</si>
  <si>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</si>
  <si>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</si>
  <si>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</si>
  <si>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</si>
  <si>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</si>
  <si>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</si>
  <si>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</si>
  <si>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</si>
  <si>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</si>
  <si>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</si>
  <si>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</si>
  <si>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</si>
  <si>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</si>
  <si>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</si>
  <si>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</si>
  <si>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</si>
  <si>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</si>
  <si>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</si>
  <si>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</si>
  <si>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</si>
  <si>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</si>
  <si>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</si>
  <si>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</si>
  <si>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</si>
  <si>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</si>
  <si>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</si>
  <si>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</si>
  <si>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</si>
  <si>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</si>
  <si>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</si>
  <si>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</si>
  <si>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</si>
  <si>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</si>
  <si>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</si>
  <si>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</si>
  <si>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</si>
  <si>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</si>
  <si>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</si>
  <si>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</si>
  <si>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</si>
  <si>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</si>
  <si>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</si>
  <si>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</si>
  <si>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</si>
  <si>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</si>
  <si>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</si>
  <si>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</si>
  <si>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</si>
  <si>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</si>
  <si>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</si>
  <si>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</si>
  <si>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</si>
  <si>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</si>
  <si>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</si>
  <si>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</si>
  <si>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</si>
  <si>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</si>
  <si>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</si>
  <si>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</si>
  <si>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</si>
  <si>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</si>
  <si>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</si>
  <si>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</si>
  <si>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</si>
  <si>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</si>
  <si>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</si>
  <si>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</si>
  <si>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</si>
  <si>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</si>
  <si>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</si>
  <si>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</si>
  <si>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</si>
  <si>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</si>
  <si>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</si>
  <si>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</si>
  <si>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</si>
  <si>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</si>
  <si>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</si>
  <si>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</si>
  <si>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</si>
  <si>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</si>
  <si>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</si>
  <si>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</si>
  <si>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</si>
  <si>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</si>
  <si>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</si>
  <si>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</si>
  <si>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</si>
  <si>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</si>
  <si>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</si>
  <si>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</si>
  <si>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</si>
  <si>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</si>
  <si>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</si>
  <si>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</si>
  <si>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</si>
  <si>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</si>
  <si>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</si>
  <si>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</si>
  <si>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</si>
  <si>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</si>
  <si>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</si>
  <si>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</si>
  <si>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</si>
  <si>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</si>
  <si>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</si>
  <si>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</si>
  <si>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</si>
  <si>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</si>
  <si>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</si>
  <si>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</si>
  <si>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</si>
  <si>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</si>
  <si>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</si>
  <si>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</si>
  <si>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</si>
  <si>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</si>
  <si>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</si>
  <si>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</si>
  <si>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</si>
  <si>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</si>
  <si>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</si>
  <si>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</si>
  <si>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</si>
  <si>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</si>
  <si>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</si>
  <si>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</si>
  <si>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</si>
  <si>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</si>
  <si>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</si>
  <si>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</si>
  <si>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</si>
  <si>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</si>
  <si>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</si>
  <si>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</si>
  <si>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</si>
  <si>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</si>
  <si>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</si>
  <si>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</si>
  <si>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</si>
  <si>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</si>
  <si>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</si>
  <si>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</si>
  <si>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</si>
  <si>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</si>
  <si>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</si>
  <si>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</si>
  <si>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</si>
  <si>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</si>
  <si>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</si>
  <si>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</si>
  <si>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</si>
  <si>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</si>
  <si>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</si>
  <si>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</si>
  <si>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</si>
  <si>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</si>
  <si>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</si>
  <si>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</si>
  <si>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</si>
  <si>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</si>
  <si>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</si>
  <si>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</si>
  <si>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</si>
  <si>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</si>
  <si>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</si>
  <si>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</si>
  <si>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</si>
  <si>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</si>
  <si>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</si>
  <si>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</si>
  <si>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</si>
  <si>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</si>
  <si>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</si>
  <si>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</si>
  <si>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</si>
  <si>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</si>
  <si>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</si>
  <si>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</si>
  <si>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</si>
  <si>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</si>
  <si>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</si>
  <si>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</si>
  <si>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</si>
  <si>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</si>
  <si>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</si>
  <si>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</si>
  <si>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</si>
  <si>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</si>
  <si>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</si>
  <si>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</si>
  <si>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</si>
  <si>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</si>
  <si>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</si>
  <si>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</si>
  <si>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</si>
  <si>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</si>
  <si>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</si>
  <si>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</si>
  <si>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</si>
  <si>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</si>
  <si>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</si>
  <si>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</si>
  <si>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</si>
  <si>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</si>
  <si>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</si>
  <si>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</si>
  <si>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</si>
  <si>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</si>
  <si>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</si>
  <si>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</si>
  <si>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</si>
  <si>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</si>
  <si>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</si>
  <si>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</si>
  <si>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</si>
  <si>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</si>
  <si>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</si>
  <si>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</si>
  <si>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</si>
  <si>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</si>
  <si>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</si>
  <si>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</si>
  <si>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</si>
  <si>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</si>
  <si>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</si>
  <si>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</si>
  <si>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</si>
  <si>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</si>
  <si>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</si>
  <si>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</si>
  <si>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</si>
  <si>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</si>
  <si>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</si>
  <si>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</si>
  <si>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</si>
  <si>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</si>
  <si>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</si>
  <si>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</si>
  <si>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</si>
  <si>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</si>
  <si>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</si>
  <si>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</si>
  <si>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</si>
  <si>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</si>
  <si>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</si>
  <si>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</si>
  <si>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</si>
  <si>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</si>
  <si>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</si>
  <si>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</si>
  <si>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</si>
  <si>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</si>
  <si>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</si>
  <si>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</si>
  <si>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</si>
  <si>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</si>
  <si>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</si>
  <si>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</si>
  <si>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</si>
  <si>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</si>
  <si>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</si>
  <si>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</si>
  <si>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</si>
  <si>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</si>
  <si>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</si>
  <si>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</si>
  <si>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</si>
  <si>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</si>
  <si>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</si>
  <si>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</si>
  <si>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</si>
  <si>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</si>
  <si>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</si>
  <si>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</si>
  <si>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</si>
  <si>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</si>
  <si>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</si>
  <si>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</si>
  <si>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</si>
  <si>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</si>
  <si>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</si>
  <si>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</si>
  <si>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</si>
  <si>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</si>
  <si>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</si>
  <si>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</si>
  <si>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13017</t>
  </si>
  <si>
    <t>KASTERLEE</t>
  </si>
  <si>
    <t>Cultuurgrond (ha)</t>
  </si>
  <si>
    <t>Paarden&amp;pony's 200 - 600 kg</t>
  </si>
  <si>
    <t>Paarden&amp;pony's &lt; 200 kg</t>
  </si>
  <si>
    <t>Fluvius</t>
  </si>
  <si>
    <t>referentietaak LNE (2017); Jaarverslag De Lijn</t>
  </si>
  <si>
    <t>stirlingmotor</t>
  </si>
  <si>
    <t>IVEKA</t>
  </si>
  <si>
    <t>interne verbrandingsmotor</t>
  </si>
  <si>
    <t>WKK interne verbrandinsgmotor (gas)</t>
  </si>
  <si>
    <t>biogas - RWZI</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</si>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</sst>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45B9B5B2-31A5-426D-9165-7971A745C570}"/>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180979.39550045514</c:v>
                </c:pt>
                <c:pt idx="1">
                  <c:v>51169.223610958179</c:v>
                </c:pt>
                <c:pt idx="2">
                  <c:v>782.71299999999997</c:v>
                </c:pt>
                <c:pt idx="3">
                  <c:v>18541.100486708503</c:v>
                </c:pt>
                <c:pt idx="4">
                  <c:v>36518.823326570884</c:v>
                </c:pt>
                <c:pt idx="5">
                  <c:v>96463.468971871436</c:v>
                </c:pt>
                <c:pt idx="6">
                  <c:v>1511.8202368896723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180979.39550045514</c:v>
                </c:pt>
                <c:pt idx="1">
                  <c:v>51169.223610958179</c:v>
                </c:pt>
                <c:pt idx="2">
                  <c:v>782.71299999999997</c:v>
                </c:pt>
                <c:pt idx="3">
                  <c:v>18541.100486708503</c:v>
                </c:pt>
                <c:pt idx="4">
                  <c:v>36518.823326570884</c:v>
                </c:pt>
                <c:pt idx="5">
                  <c:v>96463.468971871436</c:v>
                </c:pt>
                <c:pt idx="6">
                  <c:v>1511.8202368896723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37990.15681246679</c:v>
                </c:pt>
                <c:pt idx="2">
                  <c:v>10484.550181530107</c:v>
                </c:pt>
                <c:pt idx="3">
                  <c:v>152.32884573870092</c:v>
                </c:pt>
                <c:pt idx="4">
                  <c:v>4696.1347512921557</c:v>
                </c:pt>
                <c:pt idx="5">
                  <c:v>7736.8520582970432</c:v>
                </c:pt>
                <c:pt idx="6">
                  <c:v>24369.918928504081</c:v>
                </c:pt>
                <c:pt idx="7">
                  <c:v>385.88184382040231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37990.15681246679</c:v>
                </c:pt>
                <c:pt idx="2">
                  <c:v>10484.550181530107</c:v>
                </c:pt>
                <c:pt idx="3">
                  <c:v>152.32884573870092</c:v>
                </c:pt>
                <c:pt idx="4">
                  <c:v>4696.1347512921557</c:v>
                </c:pt>
                <c:pt idx="5">
                  <c:v>7736.8520582970432</c:v>
                </c:pt>
                <c:pt idx="6">
                  <c:v>24369.918928504081</c:v>
                </c:pt>
                <c:pt idx="7">
                  <c:v>385.88184382040231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13017</v>
      </c>
      <c r="B6" s="385"/>
      <c r="C6" s="386"/>
    </row>
    <row r="7" spans="1:7" s="383" customFormat="1" ht="15.75" customHeight="1">
      <c r="A7" s="387" t="str">
        <f>txtMunicipality</f>
        <v>KASTERLEE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23416.767378453627</v>
      </c>
      <c r="D10" s="676">
        <f ca="1">tertiair!C16</f>
        <v>0</v>
      </c>
      <c r="E10" s="676">
        <f ca="1">tertiair!D16</f>
        <v>23311.918781223383</v>
      </c>
      <c r="F10" s="676">
        <f>tertiair!E16</f>
        <v>421.18330798841453</v>
      </c>
      <c r="G10" s="676">
        <f ca="1">tertiair!F16</f>
        <v>4775.1838099594142</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7.8166666666666664</v>
      </c>
      <c r="Q10" s="677">
        <f>tertiair!P16</f>
        <v>19.066666666666666</v>
      </c>
      <c r="R10" s="679">
        <f ca="1">SUM(C10:Q10)</f>
        <v>51951.936610958175</v>
      </c>
      <c r="S10" s="67"/>
    </row>
    <row r="11" spans="1:19" s="444" customFormat="1">
      <c r="A11" s="791" t="s">
        <v>214</v>
      </c>
      <c r="B11" s="796"/>
      <c r="C11" s="676">
        <f>huishoudens!B8</f>
        <v>32748.087055775031</v>
      </c>
      <c r="D11" s="676">
        <f>huishoudens!C8</f>
        <v>0</v>
      </c>
      <c r="E11" s="676">
        <f>huishoudens!D8</f>
        <v>69994.47019982239</v>
      </c>
      <c r="F11" s="676">
        <f>huishoudens!E8</f>
        <v>2028.8313703713825</v>
      </c>
      <c r="G11" s="676">
        <f>huishoudens!F8</f>
        <v>62174.496488436336</v>
      </c>
      <c r="H11" s="676">
        <f>huishoudens!G8</f>
        <v>0</v>
      </c>
      <c r="I11" s="676">
        <f>huishoudens!H8</f>
        <v>0</v>
      </c>
      <c r="J11" s="676">
        <f>huishoudens!I8</f>
        <v>0</v>
      </c>
      <c r="K11" s="676">
        <f>huishoudens!J8</f>
        <v>1177.4611632260462</v>
      </c>
      <c r="L11" s="676">
        <f>huishoudens!K8</f>
        <v>0</v>
      </c>
      <c r="M11" s="676">
        <f>huishoudens!L8</f>
        <v>0</v>
      </c>
      <c r="N11" s="676">
        <f>huishoudens!M8</f>
        <v>0</v>
      </c>
      <c r="O11" s="676">
        <f>huishoudens!N8</f>
        <v>11620.3658894906</v>
      </c>
      <c r="P11" s="676">
        <f>huishoudens!O8</f>
        <v>320.48333333333335</v>
      </c>
      <c r="Q11" s="677">
        <f>huishoudens!P8</f>
        <v>915.2</v>
      </c>
      <c r="R11" s="679">
        <f>SUM(C11:Q11)</f>
        <v>180979.39550045514</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12031.36554821428</v>
      </c>
      <c r="D13" s="676">
        <f>industrie!C18</f>
        <v>0</v>
      </c>
      <c r="E13" s="676">
        <f>industrie!D18</f>
        <v>3925.726720814469</v>
      </c>
      <c r="F13" s="676">
        <f>industrie!E18</f>
        <v>1222.0521349869225</v>
      </c>
      <c r="G13" s="676">
        <f>industrie!F18</f>
        <v>16197.131734559631</v>
      </c>
      <c r="H13" s="676">
        <f>industrie!G18</f>
        <v>0</v>
      </c>
      <c r="I13" s="676">
        <f>industrie!H18</f>
        <v>0</v>
      </c>
      <c r="J13" s="676">
        <f>industrie!I18</f>
        <v>0</v>
      </c>
      <c r="K13" s="676">
        <f>industrie!J18</f>
        <v>0.88499742149950333</v>
      </c>
      <c r="L13" s="676">
        <f>industrie!K18</f>
        <v>0</v>
      </c>
      <c r="M13" s="676">
        <f>industrie!L18</f>
        <v>0</v>
      </c>
      <c r="N13" s="676">
        <f>industrie!M18</f>
        <v>0</v>
      </c>
      <c r="O13" s="676">
        <f>industrie!N18</f>
        <v>3141.6621905740794</v>
      </c>
      <c r="P13" s="676">
        <f>industrie!O18</f>
        <v>0</v>
      </c>
      <c r="Q13" s="677">
        <f>industrie!P18</f>
        <v>0</v>
      </c>
      <c r="R13" s="679">
        <f>SUM(C13:Q13)</f>
        <v>36518.823326570884</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68196.219982442941</v>
      </c>
      <c r="D16" s="711">
        <f t="shared" ref="D16:R16" ca="1" si="0">SUM(D9:D15)</f>
        <v>0</v>
      </c>
      <c r="E16" s="711">
        <f t="shared" ca="1" si="0"/>
        <v>97232.115701860239</v>
      </c>
      <c r="F16" s="711">
        <f t="shared" si="0"/>
        <v>3672.0668133467198</v>
      </c>
      <c r="G16" s="711">
        <f t="shared" ca="1" si="0"/>
        <v>83146.812032955379</v>
      </c>
      <c r="H16" s="711">
        <f t="shared" si="0"/>
        <v>0</v>
      </c>
      <c r="I16" s="711">
        <f t="shared" si="0"/>
        <v>0</v>
      </c>
      <c r="J16" s="711">
        <f t="shared" si="0"/>
        <v>0</v>
      </c>
      <c r="K16" s="711">
        <f t="shared" si="0"/>
        <v>1178.3461606475457</v>
      </c>
      <c r="L16" s="711">
        <f t="shared" si="0"/>
        <v>0</v>
      </c>
      <c r="M16" s="711">
        <f t="shared" ca="1" si="0"/>
        <v>0</v>
      </c>
      <c r="N16" s="711">
        <f t="shared" si="0"/>
        <v>0</v>
      </c>
      <c r="O16" s="711">
        <f t="shared" ca="1" si="0"/>
        <v>14762.02808006468</v>
      </c>
      <c r="P16" s="711">
        <f t="shared" si="0"/>
        <v>328.3</v>
      </c>
      <c r="Q16" s="711">
        <f t="shared" si="0"/>
        <v>934.26666666666677</v>
      </c>
      <c r="R16" s="711">
        <f t="shared" ca="1" si="0"/>
        <v>269450.15543798415</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7.3973813890135247</v>
      </c>
      <c r="D19" s="676">
        <f>transport!C54</f>
        <v>0</v>
      </c>
      <c r="E19" s="676">
        <f>transport!D54</f>
        <v>0</v>
      </c>
      <c r="F19" s="676">
        <f>transport!E54</f>
        <v>0</v>
      </c>
      <c r="G19" s="676">
        <f>transport!F54</f>
        <v>0</v>
      </c>
      <c r="H19" s="676">
        <f>transport!G54</f>
        <v>1439.8583952180861</v>
      </c>
      <c r="I19" s="676">
        <f>transport!H54</f>
        <v>0</v>
      </c>
      <c r="J19" s="676">
        <f>transport!I54</f>
        <v>0</v>
      </c>
      <c r="K19" s="676">
        <f>transport!J54</f>
        <v>0</v>
      </c>
      <c r="L19" s="676">
        <f>transport!K54</f>
        <v>0</v>
      </c>
      <c r="M19" s="676">
        <f>transport!L54</f>
        <v>0</v>
      </c>
      <c r="N19" s="676">
        <f>transport!M54</f>
        <v>64.564460282572526</v>
      </c>
      <c r="O19" s="676">
        <f>transport!N54</f>
        <v>0</v>
      </c>
      <c r="P19" s="676">
        <f>transport!O54</f>
        <v>0</v>
      </c>
      <c r="Q19" s="677">
        <f>transport!P54</f>
        <v>0</v>
      </c>
      <c r="R19" s="679">
        <f>SUM(C19:Q19)</f>
        <v>1511.8202368896723</v>
      </c>
      <c r="S19" s="67"/>
    </row>
    <row r="20" spans="1:19" s="444" customFormat="1">
      <c r="A20" s="791" t="s">
        <v>296</v>
      </c>
      <c r="B20" s="796"/>
      <c r="C20" s="676">
        <f>transport!B14</f>
        <v>8.7636773764086069</v>
      </c>
      <c r="D20" s="676">
        <f>transport!C14</f>
        <v>0</v>
      </c>
      <c r="E20" s="676">
        <f>transport!D14</f>
        <v>8.5020888986031302</v>
      </c>
      <c r="F20" s="676">
        <f>transport!E14</f>
        <v>302.20980204879078</v>
      </c>
      <c r="G20" s="676">
        <f>transport!F14</f>
        <v>0</v>
      </c>
      <c r="H20" s="676">
        <f>transport!G14</f>
        <v>77430.960448011087</v>
      </c>
      <c r="I20" s="676">
        <f>transport!H14</f>
        <v>14553.525646004757</v>
      </c>
      <c r="J20" s="676">
        <f>transport!I14</f>
        <v>0</v>
      </c>
      <c r="K20" s="676">
        <f>transport!J14</f>
        <v>0</v>
      </c>
      <c r="L20" s="676">
        <f>transport!K14</f>
        <v>0</v>
      </c>
      <c r="M20" s="676">
        <f>transport!L14</f>
        <v>0</v>
      </c>
      <c r="N20" s="676">
        <f>transport!M14</f>
        <v>4159.5073095317966</v>
      </c>
      <c r="O20" s="676">
        <f>transport!N14</f>
        <v>0</v>
      </c>
      <c r="P20" s="676">
        <f>transport!O14</f>
        <v>0</v>
      </c>
      <c r="Q20" s="677">
        <f>transport!P14</f>
        <v>0</v>
      </c>
      <c r="R20" s="679">
        <f>SUM(C20:Q20)</f>
        <v>96463.468971871436</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16.161058765422133</v>
      </c>
      <c r="D22" s="794">
        <f t="shared" ref="D22:R22" si="1">SUM(D18:D21)</f>
        <v>0</v>
      </c>
      <c r="E22" s="794">
        <f t="shared" si="1"/>
        <v>8.5020888986031302</v>
      </c>
      <c r="F22" s="794">
        <f t="shared" si="1"/>
        <v>302.20980204879078</v>
      </c>
      <c r="G22" s="794">
        <f t="shared" si="1"/>
        <v>0</v>
      </c>
      <c r="H22" s="794">
        <f t="shared" si="1"/>
        <v>78870.818843229179</v>
      </c>
      <c r="I22" s="794">
        <f t="shared" si="1"/>
        <v>14553.525646004757</v>
      </c>
      <c r="J22" s="794">
        <f t="shared" si="1"/>
        <v>0</v>
      </c>
      <c r="K22" s="794">
        <f t="shared" si="1"/>
        <v>0</v>
      </c>
      <c r="L22" s="794">
        <f t="shared" si="1"/>
        <v>0</v>
      </c>
      <c r="M22" s="794">
        <f t="shared" si="1"/>
        <v>0</v>
      </c>
      <c r="N22" s="794">
        <f t="shared" si="1"/>
        <v>4224.071769814369</v>
      </c>
      <c r="O22" s="794">
        <f t="shared" si="1"/>
        <v>0</v>
      </c>
      <c r="P22" s="794">
        <f t="shared" si="1"/>
        <v>0</v>
      </c>
      <c r="Q22" s="794">
        <f t="shared" si="1"/>
        <v>0</v>
      </c>
      <c r="R22" s="794">
        <f t="shared" si="1"/>
        <v>97975.289208761111</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3984.1690697685917</v>
      </c>
      <c r="D24" s="676">
        <f>+landbouw!C8</f>
        <v>27.696428571428569</v>
      </c>
      <c r="E24" s="676">
        <f>+landbouw!D8</f>
        <v>133.47420308622043</v>
      </c>
      <c r="F24" s="676">
        <f>+landbouw!E8</f>
        <v>50.205662932420147</v>
      </c>
      <c r="G24" s="676">
        <f>+landbouw!F8</f>
        <v>13746.38138469218</v>
      </c>
      <c r="H24" s="676">
        <f>+landbouw!G8</f>
        <v>0</v>
      </c>
      <c r="I24" s="676">
        <f>+landbouw!H8</f>
        <v>0</v>
      </c>
      <c r="J24" s="676">
        <f>+landbouw!I8</f>
        <v>0</v>
      </c>
      <c r="K24" s="676">
        <f>+landbouw!J8</f>
        <v>599.17373765765933</v>
      </c>
      <c r="L24" s="676">
        <f>+landbouw!K8</f>
        <v>0</v>
      </c>
      <c r="M24" s="676">
        <f>+landbouw!L8</f>
        <v>0</v>
      </c>
      <c r="N24" s="676">
        <f>+landbouw!M8</f>
        <v>0</v>
      </c>
      <c r="O24" s="676">
        <f>+landbouw!N8</f>
        <v>0</v>
      </c>
      <c r="P24" s="676">
        <f>+landbouw!O8</f>
        <v>0</v>
      </c>
      <c r="Q24" s="677">
        <f>+landbouw!P8</f>
        <v>0</v>
      </c>
      <c r="R24" s="679">
        <f>SUM(C24:Q24)</f>
        <v>18541.100486708503</v>
      </c>
      <c r="S24" s="67"/>
    </row>
    <row r="25" spans="1:19" s="444" customFormat="1" ht="15" thickBot="1">
      <c r="A25" s="813" t="s">
        <v>833</v>
      </c>
      <c r="B25" s="977"/>
      <c r="C25" s="978">
        <f>IF(Onbekend_ele_kWh="---",0,Onbekend_ele_kWh)/1000+IF(REST_rest_ele_kWh="---",0,REST_rest_ele_kWh)/1000</f>
        <v>2117.4790626630802</v>
      </c>
      <c r="D25" s="978"/>
      <c r="E25" s="978">
        <f>IF(onbekend_gas_kWh="---",0,onbekend_gas_kWh)/1000+IF(REST_rest_gas_kWh="---",0,REST_rest_gas_kWh)/1000</f>
        <v>4504.6171078146199</v>
      </c>
      <c r="F25" s="978"/>
      <c r="G25" s="978"/>
      <c r="H25" s="978"/>
      <c r="I25" s="978"/>
      <c r="J25" s="978"/>
      <c r="K25" s="978"/>
      <c r="L25" s="978"/>
      <c r="M25" s="978"/>
      <c r="N25" s="978"/>
      <c r="O25" s="978"/>
      <c r="P25" s="978"/>
      <c r="Q25" s="979"/>
      <c r="R25" s="679">
        <f>SUM(C25:Q25)</f>
        <v>6622.0961704777001</v>
      </c>
      <c r="S25" s="67"/>
    </row>
    <row r="26" spans="1:19" s="444" customFormat="1" ht="15.75" thickBot="1">
      <c r="A26" s="684" t="s">
        <v>834</v>
      </c>
      <c r="B26" s="799"/>
      <c r="C26" s="794">
        <f>SUM(C24:C25)</f>
        <v>6101.6481324316719</v>
      </c>
      <c r="D26" s="794">
        <f t="shared" ref="D26:R26" si="2">SUM(D24:D25)</f>
        <v>27.696428571428569</v>
      </c>
      <c r="E26" s="794">
        <f t="shared" si="2"/>
        <v>4638.0913109008407</v>
      </c>
      <c r="F26" s="794">
        <f t="shared" si="2"/>
        <v>50.205662932420147</v>
      </c>
      <c r="G26" s="794">
        <f t="shared" si="2"/>
        <v>13746.38138469218</v>
      </c>
      <c r="H26" s="794">
        <f t="shared" si="2"/>
        <v>0</v>
      </c>
      <c r="I26" s="794">
        <f t="shared" si="2"/>
        <v>0</v>
      </c>
      <c r="J26" s="794">
        <f t="shared" si="2"/>
        <v>0</v>
      </c>
      <c r="K26" s="794">
        <f t="shared" si="2"/>
        <v>599.17373765765933</v>
      </c>
      <c r="L26" s="794">
        <f t="shared" si="2"/>
        <v>0</v>
      </c>
      <c r="M26" s="794">
        <f t="shared" si="2"/>
        <v>0</v>
      </c>
      <c r="N26" s="794">
        <f t="shared" si="2"/>
        <v>0</v>
      </c>
      <c r="O26" s="794">
        <f t="shared" si="2"/>
        <v>0</v>
      </c>
      <c r="P26" s="794">
        <f t="shared" si="2"/>
        <v>0</v>
      </c>
      <c r="Q26" s="794">
        <f t="shared" si="2"/>
        <v>0</v>
      </c>
      <c r="R26" s="794">
        <f t="shared" si="2"/>
        <v>25163.196657186203</v>
      </c>
      <c r="S26" s="67"/>
    </row>
    <row r="27" spans="1:19" s="444" customFormat="1" ht="17.25" thickTop="1" thickBot="1">
      <c r="A27" s="685" t="s">
        <v>109</v>
      </c>
      <c r="B27" s="786"/>
      <c r="C27" s="686">
        <f ca="1">C22+C16+C26</f>
        <v>74314.02917364004</v>
      </c>
      <c r="D27" s="686">
        <f t="shared" ref="D27:R27" ca="1" si="3">D22+D16+D26</f>
        <v>27.696428571428569</v>
      </c>
      <c r="E27" s="686">
        <f t="shared" ca="1" si="3"/>
        <v>101878.70910165968</v>
      </c>
      <c r="F27" s="686">
        <f t="shared" si="3"/>
        <v>4024.4822783279305</v>
      </c>
      <c r="G27" s="686">
        <f t="shared" ca="1" si="3"/>
        <v>96893.193417647562</v>
      </c>
      <c r="H27" s="686">
        <f t="shared" si="3"/>
        <v>78870.818843229179</v>
      </c>
      <c r="I27" s="686">
        <f t="shared" si="3"/>
        <v>14553.525646004757</v>
      </c>
      <c r="J27" s="686">
        <f t="shared" si="3"/>
        <v>0</v>
      </c>
      <c r="K27" s="686">
        <f t="shared" si="3"/>
        <v>1777.5198983052051</v>
      </c>
      <c r="L27" s="686">
        <f t="shared" si="3"/>
        <v>0</v>
      </c>
      <c r="M27" s="686">
        <f t="shared" ca="1" si="3"/>
        <v>0</v>
      </c>
      <c r="N27" s="686">
        <f t="shared" si="3"/>
        <v>4224.071769814369</v>
      </c>
      <c r="O27" s="686">
        <f t="shared" ca="1" si="3"/>
        <v>14762.02808006468</v>
      </c>
      <c r="P27" s="686">
        <f t="shared" si="3"/>
        <v>328.3</v>
      </c>
      <c r="Q27" s="686">
        <f t="shared" si="3"/>
        <v>934.26666666666677</v>
      </c>
      <c r="R27" s="686">
        <f t="shared" ca="1" si="3"/>
        <v>392588.64130393148</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4557.28874528915</v>
      </c>
      <c r="D40" s="676">
        <f ca="1">tertiair!C20</f>
        <v>0</v>
      </c>
      <c r="E40" s="676">
        <f ca="1">tertiair!D20</f>
        <v>4709.0075938071241</v>
      </c>
      <c r="F40" s="676">
        <f>tertiair!E20</f>
        <v>95.6086109133701</v>
      </c>
      <c r="G40" s="676">
        <f ca="1">tertiair!F20</f>
        <v>1274.9740772591638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10636.879027268807</v>
      </c>
    </row>
    <row r="41" spans="1:18">
      <c r="A41" s="804" t="s">
        <v>214</v>
      </c>
      <c r="B41" s="811"/>
      <c r="C41" s="676">
        <f ca="1">huishoudens!B12</f>
        <v>6373.3172968338376</v>
      </c>
      <c r="D41" s="676">
        <f ca="1">huishoudens!C12</f>
        <v>0</v>
      </c>
      <c r="E41" s="676">
        <f>huishoudens!D12</f>
        <v>14138.882980364124</v>
      </c>
      <c r="F41" s="676">
        <f>huishoudens!E12</f>
        <v>460.54472107430382</v>
      </c>
      <c r="G41" s="676">
        <f>huishoudens!F12</f>
        <v>16600.590562412504</v>
      </c>
      <c r="H41" s="676">
        <f>huishoudens!G12</f>
        <v>0</v>
      </c>
      <c r="I41" s="676">
        <f>huishoudens!H12</f>
        <v>0</v>
      </c>
      <c r="J41" s="676">
        <f>huishoudens!I12</f>
        <v>0</v>
      </c>
      <c r="K41" s="676">
        <f>huishoudens!J12</f>
        <v>416.82125178202034</v>
      </c>
      <c r="L41" s="676">
        <f>huishoudens!K12</f>
        <v>0</v>
      </c>
      <c r="M41" s="676">
        <f>huishoudens!L12</f>
        <v>0</v>
      </c>
      <c r="N41" s="676">
        <f>huishoudens!M12</f>
        <v>0</v>
      </c>
      <c r="O41" s="676">
        <f>huishoudens!N12</f>
        <v>0</v>
      </c>
      <c r="P41" s="676">
        <f>huishoudens!O12</f>
        <v>0</v>
      </c>
      <c r="Q41" s="753">
        <f>huishoudens!P12</f>
        <v>0</v>
      </c>
      <c r="R41" s="832">
        <f t="shared" ca="1" si="4"/>
        <v>37990.15681246679</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2341.5019638358558</v>
      </c>
      <c r="D43" s="676">
        <f ca="1">industrie!C22</f>
        <v>0</v>
      </c>
      <c r="E43" s="676">
        <f>industrie!D22</f>
        <v>792.99679760452284</v>
      </c>
      <c r="F43" s="676">
        <f>industrie!E22</f>
        <v>277.40583464203144</v>
      </c>
      <c r="G43" s="676">
        <f>industrie!F22</f>
        <v>4324.6341731274215</v>
      </c>
      <c r="H43" s="676">
        <f>industrie!G22</f>
        <v>0</v>
      </c>
      <c r="I43" s="676">
        <f>industrie!H22</f>
        <v>0</v>
      </c>
      <c r="J43" s="676">
        <f>industrie!I22</f>
        <v>0</v>
      </c>
      <c r="K43" s="676">
        <f>industrie!J22</f>
        <v>0.31328908721082416</v>
      </c>
      <c r="L43" s="676">
        <f>industrie!K22</f>
        <v>0</v>
      </c>
      <c r="M43" s="676">
        <f>industrie!L22</f>
        <v>0</v>
      </c>
      <c r="N43" s="676">
        <f>industrie!M22</f>
        <v>0</v>
      </c>
      <c r="O43" s="676">
        <f>industrie!N22</f>
        <v>0</v>
      </c>
      <c r="P43" s="676">
        <f>industrie!O22</f>
        <v>0</v>
      </c>
      <c r="Q43" s="753">
        <f>industrie!P22</f>
        <v>0</v>
      </c>
      <c r="R43" s="831">
        <f t="shared" ca="1" si="4"/>
        <v>7736.8520582970432</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13272.108005958844</v>
      </c>
      <c r="D46" s="711">
        <f t="shared" ref="D46:Q46" ca="1" si="5">SUM(D39:D45)</f>
        <v>0</v>
      </c>
      <c r="E46" s="711">
        <f t="shared" ca="1" si="5"/>
        <v>19640.887371775771</v>
      </c>
      <c r="F46" s="711">
        <f t="shared" si="5"/>
        <v>833.55916662970537</v>
      </c>
      <c r="G46" s="711">
        <f t="shared" ca="1" si="5"/>
        <v>22200.198812799092</v>
      </c>
      <c r="H46" s="711">
        <f t="shared" si="5"/>
        <v>0</v>
      </c>
      <c r="I46" s="711">
        <f t="shared" si="5"/>
        <v>0</v>
      </c>
      <c r="J46" s="711">
        <f t="shared" si="5"/>
        <v>0</v>
      </c>
      <c r="K46" s="711">
        <f t="shared" si="5"/>
        <v>417.13454086923116</v>
      </c>
      <c r="L46" s="711">
        <f t="shared" si="5"/>
        <v>0</v>
      </c>
      <c r="M46" s="711">
        <f t="shared" ca="1" si="5"/>
        <v>0</v>
      </c>
      <c r="N46" s="711">
        <f t="shared" si="5"/>
        <v>0</v>
      </c>
      <c r="O46" s="711">
        <f t="shared" ca="1" si="5"/>
        <v>0</v>
      </c>
      <c r="P46" s="711">
        <f t="shared" si="5"/>
        <v>0</v>
      </c>
      <c r="Q46" s="711">
        <f t="shared" si="5"/>
        <v>0</v>
      </c>
      <c r="R46" s="711">
        <f ca="1">SUM(R39:R45)</f>
        <v>56363.887898032641</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1.4396522971732659</v>
      </c>
      <c r="D49" s="676">
        <f ca="1">transport!C58</f>
        <v>0</v>
      </c>
      <c r="E49" s="676">
        <f>transport!D58</f>
        <v>0</v>
      </c>
      <c r="F49" s="676">
        <f>transport!E58</f>
        <v>0</v>
      </c>
      <c r="G49" s="676">
        <f>transport!F58</f>
        <v>0</v>
      </c>
      <c r="H49" s="676">
        <f>transport!G58</f>
        <v>384.44219152322904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385.88184382040231</v>
      </c>
    </row>
    <row r="50" spans="1:18">
      <c r="A50" s="807" t="s">
        <v>296</v>
      </c>
      <c r="B50" s="817"/>
      <c r="C50" s="682">
        <f ca="1">transport!B18</f>
        <v>1.7055560073420142</v>
      </c>
      <c r="D50" s="682">
        <f>transport!C18</f>
        <v>0</v>
      </c>
      <c r="E50" s="682">
        <f>transport!D18</f>
        <v>1.7174219575178324</v>
      </c>
      <c r="F50" s="682">
        <f>transport!E18</f>
        <v>68.60162506507551</v>
      </c>
      <c r="G50" s="682">
        <f>transport!F18</f>
        <v>0</v>
      </c>
      <c r="H50" s="682">
        <f>transport!G18</f>
        <v>20674.06643961896</v>
      </c>
      <c r="I50" s="682">
        <f>transport!H18</f>
        <v>3623.8278858551844</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24369.918928504081</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3.1452083045152799</v>
      </c>
      <c r="D52" s="711">
        <f t="shared" ref="D52:Q52" ca="1" si="6">SUM(D48:D51)</f>
        <v>0</v>
      </c>
      <c r="E52" s="711">
        <f t="shared" si="6"/>
        <v>1.7174219575178324</v>
      </c>
      <c r="F52" s="711">
        <f t="shared" si="6"/>
        <v>68.60162506507551</v>
      </c>
      <c r="G52" s="711">
        <f t="shared" si="6"/>
        <v>0</v>
      </c>
      <c r="H52" s="711">
        <f t="shared" si="6"/>
        <v>21058.508631142191</v>
      </c>
      <c r="I52" s="711">
        <f t="shared" si="6"/>
        <v>3623.8278858551844</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24755.800772324485</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775.38494393945598</v>
      </c>
      <c r="D54" s="682">
        <f ca="1">+landbouw!C12</f>
        <v>0</v>
      </c>
      <c r="E54" s="682">
        <f>+landbouw!D12</f>
        <v>26.961789023416529</v>
      </c>
      <c r="F54" s="682">
        <f>+landbouw!E12</f>
        <v>11.396685485659374</v>
      </c>
      <c r="G54" s="682">
        <f>+landbouw!F12</f>
        <v>3670.2838297128123</v>
      </c>
      <c r="H54" s="682">
        <f>+landbouw!G12</f>
        <v>0</v>
      </c>
      <c r="I54" s="682">
        <f>+landbouw!H12</f>
        <v>0</v>
      </c>
      <c r="J54" s="682">
        <f>+landbouw!I12</f>
        <v>0</v>
      </c>
      <c r="K54" s="682">
        <f>+landbouw!J12</f>
        <v>212.10750313081138</v>
      </c>
      <c r="L54" s="682">
        <f>+landbouw!K12</f>
        <v>0</v>
      </c>
      <c r="M54" s="682">
        <f>+landbouw!L12</f>
        <v>0</v>
      </c>
      <c r="N54" s="682">
        <f>+landbouw!M12</f>
        <v>0</v>
      </c>
      <c r="O54" s="682">
        <f>+landbouw!N12</f>
        <v>0</v>
      </c>
      <c r="P54" s="682">
        <f>+landbouw!O12</f>
        <v>0</v>
      </c>
      <c r="Q54" s="683">
        <f>+landbouw!P12</f>
        <v>0</v>
      </c>
      <c r="R54" s="710">
        <f ca="1">SUM(C54:Q54)</f>
        <v>4696.1347512921557</v>
      </c>
    </row>
    <row r="55" spans="1:18" ht="15" thickBot="1">
      <c r="A55" s="807" t="s">
        <v>833</v>
      </c>
      <c r="B55" s="817"/>
      <c r="C55" s="682">
        <f ca="1">C25*'EF ele_warmte'!B12</f>
        <v>412.09631306920085</v>
      </c>
      <c r="D55" s="682"/>
      <c r="E55" s="682">
        <f>E25*EF_CO2_aardgas</f>
        <v>909.93265577855323</v>
      </c>
      <c r="F55" s="682"/>
      <c r="G55" s="682"/>
      <c r="H55" s="682"/>
      <c r="I55" s="682"/>
      <c r="J55" s="682"/>
      <c r="K55" s="682"/>
      <c r="L55" s="682"/>
      <c r="M55" s="682"/>
      <c r="N55" s="682"/>
      <c r="O55" s="682"/>
      <c r="P55" s="682"/>
      <c r="Q55" s="683"/>
      <c r="R55" s="710">
        <f ca="1">SUM(C55:Q55)</f>
        <v>1322.0289688477542</v>
      </c>
    </row>
    <row r="56" spans="1:18" ht="15.75" thickBot="1">
      <c r="A56" s="805" t="s">
        <v>834</v>
      </c>
      <c r="B56" s="818"/>
      <c r="C56" s="711">
        <f ca="1">SUM(C54:C55)</f>
        <v>1187.4812570086569</v>
      </c>
      <c r="D56" s="711">
        <f t="shared" ref="D56:Q56" ca="1" si="7">SUM(D54:D55)</f>
        <v>0</v>
      </c>
      <c r="E56" s="711">
        <f t="shared" si="7"/>
        <v>936.89444480196971</v>
      </c>
      <c r="F56" s="711">
        <f t="shared" si="7"/>
        <v>11.396685485659374</v>
      </c>
      <c r="G56" s="711">
        <f t="shared" si="7"/>
        <v>3670.2838297128123</v>
      </c>
      <c r="H56" s="711">
        <f t="shared" si="7"/>
        <v>0</v>
      </c>
      <c r="I56" s="711">
        <f t="shared" si="7"/>
        <v>0</v>
      </c>
      <c r="J56" s="711">
        <f t="shared" si="7"/>
        <v>0</v>
      </c>
      <c r="K56" s="711">
        <f t="shared" si="7"/>
        <v>212.10750313081138</v>
      </c>
      <c r="L56" s="711">
        <f t="shared" si="7"/>
        <v>0</v>
      </c>
      <c r="M56" s="711">
        <f t="shared" si="7"/>
        <v>0</v>
      </c>
      <c r="N56" s="711">
        <f t="shared" si="7"/>
        <v>0</v>
      </c>
      <c r="O56" s="711">
        <f t="shared" si="7"/>
        <v>0</v>
      </c>
      <c r="P56" s="711">
        <f t="shared" si="7"/>
        <v>0</v>
      </c>
      <c r="Q56" s="712">
        <f t="shared" si="7"/>
        <v>0</v>
      </c>
      <c r="R56" s="713">
        <f ca="1">SUM(R54:R55)</f>
        <v>6018.1637201399099</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14462.734471272015</v>
      </c>
      <c r="D61" s="719">
        <f t="shared" ref="D61:Q61" ca="1" si="8">D46+D52+D56</f>
        <v>0</v>
      </c>
      <c r="E61" s="719">
        <f t="shared" ca="1" si="8"/>
        <v>20579.499238535256</v>
      </c>
      <c r="F61" s="719">
        <f t="shared" si="8"/>
        <v>913.55747718044029</v>
      </c>
      <c r="G61" s="719">
        <f t="shared" ca="1" si="8"/>
        <v>25870.482642511903</v>
      </c>
      <c r="H61" s="719">
        <f t="shared" si="8"/>
        <v>21058.508631142191</v>
      </c>
      <c r="I61" s="719">
        <f t="shared" si="8"/>
        <v>3623.8278858551844</v>
      </c>
      <c r="J61" s="719">
        <f t="shared" si="8"/>
        <v>0</v>
      </c>
      <c r="K61" s="719">
        <f t="shared" si="8"/>
        <v>629.2420440000426</v>
      </c>
      <c r="L61" s="719">
        <f t="shared" si="8"/>
        <v>0</v>
      </c>
      <c r="M61" s="719">
        <f t="shared" ca="1" si="8"/>
        <v>0</v>
      </c>
      <c r="N61" s="719">
        <f t="shared" si="8"/>
        <v>0</v>
      </c>
      <c r="O61" s="719">
        <f t="shared" ca="1" si="8"/>
        <v>0</v>
      </c>
      <c r="P61" s="719">
        <f t="shared" si="8"/>
        <v>0</v>
      </c>
      <c r="Q61" s="719">
        <f t="shared" si="8"/>
        <v>0</v>
      </c>
      <c r="R61" s="719">
        <f ca="1">R46+R52+R56</f>
        <v>87137.852390497035</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0.19461647594801787</v>
      </c>
      <c r="D63" s="762">
        <f t="shared" ca="1" si="9"/>
        <v>0</v>
      </c>
      <c r="E63" s="984">
        <f t="shared" ca="1" si="9"/>
        <v>0.20200000000000001</v>
      </c>
      <c r="F63" s="762">
        <f t="shared" si="9"/>
        <v>0.22700000000000001</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1214.5020050000001</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6308.152242069832</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8.1374999999999993</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9.1727836746897875</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1341</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3831.4285714285716</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8871.7917470698321</v>
      </c>
      <c r="C78" s="734">
        <f>SUM(C72:C77)</f>
        <v>0</v>
      </c>
      <c r="D78" s="735">
        <f t="shared" ref="D78:H78" si="10">SUM(D76:D77)</f>
        <v>0</v>
      </c>
      <c r="E78" s="735">
        <f t="shared" si="10"/>
        <v>0</v>
      </c>
      <c r="F78" s="735">
        <f t="shared" si="10"/>
        <v>0</v>
      </c>
      <c r="G78" s="735">
        <f t="shared" si="10"/>
        <v>0</v>
      </c>
      <c r="H78" s="735">
        <f t="shared" si="10"/>
        <v>0</v>
      </c>
      <c r="I78" s="735">
        <f>SUM(I76:I77)</f>
        <v>0</v>
      </c>
      <c r="J78" s="735">
        <f>SUM(J76:J77)</f>
        <v>3840.6013551032615</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27.696428571428569</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31.22007346816735</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27.696428571428569</v>
      </c>
      <c r="C90" s="734">
        <f>SUM(C87:C89)</f>
        <v>0</v>
      </c>
      <c r="D90" s="734">
        <f t="shared" ref="D90:H90" si="12">SUM(D87:D89)</f>
        <v>0</v>
      </c>
      <c r="E90" s="734">
        <f t="shared" si="12"/>
        <v>0</v>
      </c>
      <c r="F90" s="734">
        <f t="shared" si="12"/>
        <v>0</v>
      </c>
      <c r="G90" s="734">
        <f t="shared" si="12"/>
        <v>0</v>
      </c>
      <c r="H90" s="734">
        <f t="shared" si="12"/>
        <v>0</v>
      </c>
      <c r="I90" s="734">
        <f>SUM(I87:I89)</f>
        <v>0</v>
      </c>
      <c r="J90" s="734">
        <f>SUM(J87:J89)</f>
        <v>31.22007346816735</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32748.087055775031</v>
      </c>
      <c r="C4" s="448">
        <f>huishoudens!C8</f>
        <v>0</v>
      </c>
      <c r="D4" s="448">
        <f>huishoudens!D8</f>
        <v>69994.47019982239</v>
      </c>
      <c r="E4" s="448">
        <f>huishoudens!E8</f>
        <v>2028.8313703713825</v>
      </c>
      <c r="F4" s="448">
        <f>huishoudens!F8</f>
        <v>62174.496488436336</v>
      </c>
      <c r="G4" s="448">
        <f>huishoudens!G8</f>
        <v>0</v>
      </c>
      <c r="H4" s="448">
        <f>huishoudens!H8</f>
        <v>0</v>
      </c>
      <c r="I4" s="448">
        <f>huishoudens!I8</f>
        <v>0</v>
      </c>
      <c r="J4" s="448">
        <f>huishoudens!J8</f>
        <v>1177.4611632260462</v>
      </c>
      <c r="K4" s="448">
        <f>huishoudens!K8</f>
        <v>0</v>
      </c>
      <c r="L4" s="448">
        <f>huishoudens!L8</f>
        <v>0</v>
      </c>
      <c r="M4" s="448">
        <f>huishoudens!M8</f>
        <v>0</v>
      </c>
      <c r="N4" s="448">
        <f>huishoudens!N8</f>
        <v>11620.3658894906</v>
      </c>
      <c r="O4" s="448">
        <f>huishoudens!O8</f>
        <v>320.48333333333335</v>
      </c>
      <c r="P4" s="449">
        <f>huishoudens!P8</f>
        <v>915.2</v>
      </c>
      <c r="Q4" s="450">
        <f>SUM(B4:P4)</f>
        <v>180979.39550045514</v>
      </c>
    </row>
    <row r="5" spans="1:17">
      <c r="A5" s="447" t="s">
        <v>149</v>
      </c>
      <c r="B5" s="448">
        <f ca="1">tertiair!B16</f>
        <v>22634.054378453628</v>
      </c>
      <c r="C5" s="448">
        <f ca="1">tertiair!C16</f>
        <v>0</v>
      </c>
      <c r="D5" s="448">
        <f ca="1">tertiair!D16</f>
        <v>23311.918781223383</v>
      </c>
      <c r="E5" s="448">
        <f>tertiair!E16</f>
        <v>421.18330798841453</v>
      </c>
      <c r="F5" s="448">
        <f ca="1">tertiair!F16</f>
        <v>4775.1838099594142</v>
      </c>
      <c r="G5" s="448">
        <f>tertiair!G16</f>
        <v>0</v>
      </c>
      <c r="H5" s="448">
        <f>tertiair!H16</f>
        <v>0</v>
      </c>
      <c r="I5" s="448">
        <f>tertiair!I16</f>
        <v>0</v>
      </c>
      <c r="J5" s="448">
        <f>tertiair!J16</f>
        <v>0</v>
      </c>
      <c r="K5" s="448">
        <f>tertiair!K16</f>
        <v>0</v>
      </c>
      <c r="L5" s="448">
        <f ca="1">tertiair!L16</f>
        <v>0</v>
      </c>
      <c r="M5" s="448">
        <f>tertiair!M16</f>
        <v>0</v>
      </c>
      <c r="N5" s="448">
        <f ca="1">tertiair!N16</f>
        <v>0</v>
      </c>
      <c r="O5" s="448">
        <f>tertiair!O16</f>
        <v>7.8166666666666664</v>
      </c>
      <c r="P5" s="449">
        <f>tertiair!P16</f>
        <v>19.066666666666666</v>
      </c>
      <c r="Q5" s="447">
        <f t="shared" ref="Q5:Q14" ca="1" si="0">SUM(B5:P5)</f>
        <v>51169.223610958179</v>
      </c>
    </row>
    <row r="6" spans="1:17">
      <c r="A6" s="447" t="s">
        <v>187</v>
      </c>
      <c r="B6" s="448">
        <f>'openbare verlichting'!B8</f>
        <v>782.71299999999997</v>
      </c>
      <c r="C6" s="448"/>
      <c r="D6" s="448"/>
      <c r="E6" s="448"/>
      <c r="F6" s="448"/>
      <c r="G6" s="448"/>
      <c r="H6" s="448"/>
      <c r="I6" s="448"/>
      <c r="J6" s="448"/>
      <c r="K6" s="448"/>
      <c r="L6" s="448"/>
      <c r="M6" s="448"/>
      <c r="N6" s="448"/>
      <c r="O6" s="448"/>
      <c r="P6" s="449"/>
      <c r="Q6" s="447">
        <f t="shared" si="0"/>
        <v>782.71299999999997</v>
      </c>
    </row>
    <row r="7" spans="1:17">
      <c r="A7" s="447" t="s">
        <v>105</v>
      </c>
      <c r="B7" s="448">
        <f>landbouw!B8</f>
        <v>3984.1690697685917</v>
      </c>
      <c r="C7" s="448">
        <f>landbouw!C8</f>
        <v>27.696428571428569</v>
      </c>
      <c r="D7" s="448">
        <f>landbouw!D8</f>
        <v>133.47420308622043</v>
      </c>
      <c r="E7" s="448">
        <f>landbouw!E8</f>
        <v>50.205662932420147</v>
      </c>
      <c r="F7" s="448">
        <f>landbouw!F8</f>
        <v>13746.38138469218</v>
      </c>
      <c r="G7" s="448">
        <f>landbouw!G8</f>
        <v>0</v>
      </c>
      <c r="H7" s="448">
        <f>landbouw!H8</f>
        <v>0</v>
      </c>
      <c r="I7" s="448">
        <f>landbouw!I8</f>
        <v>0</v>
      </c>
      <c r="J7" s="448">
        <f>landbouw!J8</f>
        <v>599.17373765765933</v>
      </c>
      <c r="K7" s="448">
        <f>landbouw!K8</f>
        <v>0</v>
      </c>
      <c r="L7" s="448">
        <f>landbouw!L8</f>
        <v>0</v>
      </c>
      <c r="M7" s="448">
        <f>landbouw!M8</f>
        <v>0</v>
      </c>
      <c r="N7" s="448">
        <f>landbouw!N8</f>
        <v>0</v>
      </c>
      <c r="O7" s="448">
        <f>landbouw!O8</f>
        <v>0</v>
      </c>
      <c r="P7" s="449">
        <f>landbouw!P8</f>
        <v>0</v>
      </c>
      <c r="Q7" s="447">
        <f t="shared" si="0"/>
        <v>18541.100486708503</v>
      </c>
    </row>
    <row r="8" spans="1:17">
      <c r="A8" s="447" t="s">
        <v>639</v>
      </c>
      <c r="B8" s="448">
        <f>industrie!B18</f>
        <v>12031.36554821428</v>
      </c>
      <c r="C8" s="448">
        <f>industrie!C18</f>
        <v>0</v>
      </c>
      <c r="D8" s="448">
        <f>industrie!D18</f>
        <v>3925.726720814469</v>
      </c>
      <c r="E8" s="448">
        <f>industrie!E18</f>
        <v>1222.0521349869225</v>
      </c>
      <c r="F8" s="448">
        <f>industrie!F18</f>
        <v>16197.131734559631</v>
      </c>
      <c r="G8" s="448">
        <f>industrie!G18</f>
        <v>0</v>
      </c>
      <c r="H8" s="448">
        <f>industrie!H18</f>
        <v>0</v>
      </c>
      <c r="I8" s="448">
        <f>industrie!I18</f>
        <v>0</v>
      </c>
      <c r="J8" s="448">
        <f>industrie!J18</f>
        <v>0.88499742149950333</v>
      </c>
      <c r="K8" s="448">
        <f>industrie!K18</f>
        <v>0</v>
      </c>
      <c r="L8" s="448">
        <f>industrie!L18</f>
        <v>0</v>
      </c>
      <c r="M8" s="448">
        <f>industrie!M18</f>
        <v>0</v>
      </c>
      <c r="N8" s="448">
        <f>industrie!N18</f>
        <v>3141.6621905740794</v>
      </c>
      <c r="O8" s="448">
        <f>industrie!O18</f>
        <v>0</v>
      </c>
      <c r="P8" s="449">
        <f>industrie!P18</f>
        <v>0</v>
      </c>
      <c r="Q8" s="447">
        <f t="shared" si="0"/>
        <v>36518.823326570884</v>
      </c>
    </row>
    <row r="9" spans="1:17" s="453" customFormat="1">
      <c r="A9" s="451" t="s">
        <v>557</v>
      </c>
      <c r="B9" s="452">
        <f>transport!B14</f>
        <v>8.7636773764086069</v>
      </c>
      <c r="C9" s="452">
        <f>transport!C14</f>
        <v>0</v>
      </c>
      <c r="D9" s="452">
        <f>transport!D14</f>
        <v>8.5020888986031302</v>
      </c>
      <c r="E9" s="452">
        <f>transport!E14</f>
        <v>302.20980204879078</v>
      </c>
      <c r="F9" s="452">
        <f>transport!F14</f>
        <v>0</v>
      </c>
      <c r="G9" s="452">
        <f>transport!G14</f>
        <v>77430.960448011087</v>
      </c>
      <c r="H9" s="452">
        <f>transport!H14</f>
        <v>14553.525646004757</v>
      </c>
      <c r="I9" s="452">
        <f>transport!I14</f>
        <v>0</v>
      </c>
      <c r="J9" s="452">
        <f>transport!J14</f>
        <v>0</v>
      </c>
      <c r="K9" s="452">
        <f>transport!K14</f>
        <v>0</v>
      </c>
      <c r="L9" s="452">
        <f>transport!L14</f>
        <v>0</v>
      </c>
      <c r="M9" s="452">
        <f>transport!M14</f>
        <v>4159.5073095317966</v>
      </c>
      <c r="N9" s="452">
        <f>transport!N14</f>
        <v>0</v>
      </c>
      <c r="O9" s="452">
        <f>transport!O14</f>
        <v>0</v>
      </c>
      <c r="P9" s="452">
        <f>transport!P14</f>
        <v>0</v>
      </c>
      <c r="Q9" s="451">
        <f>SUM(B9:P9)</f>
        <v>96463.468971871436</v>
      </c>
    </row>
    <row r="10" spans="1:17">
      <c r="A10" s="447" t="s">
        <v>547</v>
      </c>
      <c r="B10" s="448">
        <f>transport!B54</f>
        <v>7.3973813890135247</v>
      </c>
      <c r="C10" s="448">
        <f>transport!C54</f>
        <v>0</v>
      </c>
      <c r="D10" s="448">
        <f>transport!D54</f>
        <v>0</v>
      </c>
      <c r="E10" s="448">
        <f>transport!E54</f>
        <v>0</v>
      </c>
      <c r="F10" s="448">
        <f>transport!F54</f>
        <v>0</v>
      </c>
      <c r="G10" s="448">
        <f>transport!G54</f>
        <v>1439.8583952180861</v>
      </c>
      <c r="H10" s="448">
        <f>transport!H54</f>
        <v>0</v>
      </c>
      <c r="I10" s="448">
        <f>transport!I54</f>
        <v>0</v>
      </c>
      <c r="J10" s="448">
        <f>transport!J54</f>
        <v>0</v>
      </c>
      <c r="K10" s="448">
        <f>transport!K54</f>
        <v>0</v>
      </c>
      <c r="L10" s="448">
        <f>transport!L54</f>
        <v>0</v>
      </c>
      <c r="M10" s="448">
        <f>transport!M54</f>
        <v>64.564460282572526</v>
      </c>
      <c r="N10" s="448">
        <f>transport!N54</f>
        <v>0</v>
      </c>
      <c r="O10" s="448">
        <f>transport!O54</f>
        <v>0</v>
      </c>
      <c r="P10" s="449">
        <f>transport!P54</f>
        <v>0</v>
      </c>
      <c r="Q10" s="447">
        <f t="shared" si="0"/>
        <v>1511.8202368896723</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2117.4790626630802</v>
      </c>
      <c r="C14" s="455"/>
      <c r="D14" s="455">
        <f>'SEAP template'!E25</f>
        <v>4504.6171078146199</v>
      </c>
      <c r="E14" s="455"/>
      <c r="F14" s="455"/>
      <c r="G14" s="455"/>
      <c r="H14" s="455"/>
      <c r="I14" s="455"/>
      <c r="J14" s="455"/>
      <c r="K14" s="455"/>
      <c r="L14" s="455"/>
      <c r="M14" s="455"/>
      <c r="N14" s="455"/>
      <c r="O14" s="455"/>
      <c r="P14" s="456"/>
      <c r="Q14" s="447">
        <f t="shared" si="0"/>
        <v>6622.0961704777001</v>
      </c>
    </row>
    <row r="15" spans="1:17" s="460" customFormat="1">
      <c r="A15" s="457" t="s">
        <v>551</v>
      </c>
      <c r="B15" s="458">
        <f ca="1">SUM(B4:B14)</f>
        <v>74314.029173640054</v>
      </c>
      <c r="C15" s="458">
        <f t="shared" ref="C15:Q15" ca="1" si="1">SUM(C4:C14)</f>
        <v>27.696428571428569</v>
      </c>
      <c r="D15" s="458">
        <f t="shared" ca="1" si="1"/>
        <v>101878.70910165968</v>
      </c>
      <c r="E15" s="458">
        <f t="shared" si="1"/>
        <v>4024.4822783279301</v>
      </c>
      <c r="F15" s="458">
        <f t="shared" ca="1" si="1"/>
        <v>96893.193417647562</v>
      </c>
      <c r="G15" s="458">
        <f t="shared" si="1"/>
        <v>78870.818843229179</v>
      </c>
      <c r="H15" s="458">
        <f t="shared" si="1"/>
        <v>14553.525646004757</v>
      </c>
      <c r="I15" s="458">
        <f t="shared" si="1"/>
        <v>0</v>
      </c>
      <c r="J15" s="458">
        <f t="shared" si="1"/>
        <v>1777.5198983052051</v>
      </c>
      <c r="K15" s="458">
        <f t="shared" si="1"/>
        <v>0</v>
      </c>
      <c r="L15" s="458">
        <f t="shared" ca="1" si="1"/>
        <v>0</v>
      </c>
      <c r="M15" s="458">
        <f t="shared" si="1"/>
        <v>4224.071769814369</v>
      </c>
      <c r="N15" s="458">
        <f t="shared" ca="1" si="1"/>
        <v>14762.02808006468</v>
      </c>
      <c r="O15" s="458">
        <f t="shared" si="1"/>
        <v>328.3</v>
      </c>
      <c r="P15" s="458">
        <f t="shared" si="1"/>
        <v>934.26666666666677</v>
      </c>
      <c r="Q15" s="458">
        <f t="shared" ca="1" si="1"/>
        <v>392588.64130393148</v>
      </c>
    </row>
    <row r="17" spans="1:17">
      <c r="A17" s="461" t="s">
        <v>552</v>
      </c>
      <c r="B17" s="767">
        <f ca="1">huishoudens!B10</f>
        <v>0.1946164759480179</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6373.3172968338376</v>
      </c>
      <c r="C22" s="448">
        <f t="shared" ref="C22:C32" ca="1" si="3">C4*$C$17</f>
        <v>0</v>
      </c>
      <c r="D22" s="448">
        <f t="shared" ref="D22:D32" si="4">D4*$D$17</f>
        <v>14138.882980364124</v>
      </c>
      <c r="E22" s="448">
        <f t="shared" ref="E22:E32" si="5">E4*$E$17</f>
        <v>460.54472107430382</v>
      </c>
      <c r="F22" s="448">
        <f t="shared" ref="F22:F32" si="6">F4*$F$17</f>
        <v>16600.590562412504</v>
      </c>
      <c r="G22" s="448">
        <f t="shared" ref="G22:G32" si="7">G4*$G$17</f>
        <v>0</v>
      </c>
      <c r="H22" s="448">
        <f t="shared" ref="H22:H32" si="8">H4*$H$17</f>
        <v>0</v>
      </c>
      <c r="I22" s="448">
        <f t="shared" ref="I22:I32" si="9">I4*$I$17</f>
        <v>0</v>
      </c>
      <c r="J22" s="448">
        <f t="shared" ref="J22:J32" si="10">J4*$J$17</f>
        <v>416.82125178202034</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37990.15681246679</v>
      </c>
    </row>
    <row r="23" spans="1:17">
      <c r="A23" s="447" t="s">
        <v>149</v>
      </c>
      <c r="B23" s="448">
        <f t="shared" ca="1" si="2"/>
        <v>4404.9598995504493</v>
      </c>
      <c r="C23" s="448">
        <f t="shared" ca="1" si="3"/>
        <v>0</v>
      </c>
      <c r="D23" s="448">
        <f t="shared" ca="1" si="4"/>
        <v>4709.0075938071241</v>
      </c>
      <c r="E23" s="448">
        <f t="shared" si="5"/>
        <v>95.6086109133701</v>
      </c>
      <c r="F23" s="448">
        <f t="shared" ca="1" si="6"/>
        <v>1274.9740772591638</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10484.550181530107</v>
      </c>
    </row>
    <row r="24" spans="1:17">
      <c r="A24" s="447" t="s">
        <v>187</v>
      </c>
      <c r="B24" s="448">
        <f t="shared" ca="1" si="2"/>
        <v>152.32884573870092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152.32884573870092</v>
      </c>
    </row>
    <row r="25" spans="1:17">
      <c r="A25" s="447" t="s">
        <v>105</v>
      </c>
      <c r="B25" s="448">
        <f t="shared" ca="1" si="2"/>
        <v>775.38494393945598</v>
      </c>
      <c r="C25" s="448">
        <f t="shared" ca="1" si="3"/>
        <v>0</v>
      </c>
      <c r="D25" s="448">
        <f t="shared" si="4"/>
        <v>26.961789023416529</v>
      </c>
      <c r="E25" s="448">
        <f t="shared" si="5"/>
        <v>11.396685485659374</v>
      </c>
      <c r="F25" s="448">
        <f t="shared" si="6"/>
        <v>3670.2838297128123</v>
      </c>
      <c r="G25" s="448">
        <f t="shared" si="7"/>
        <v>0</v>
      </c>
      <c r="H25" s="448">
        <f t="shared" si="8"/>
        <v>0</v>
      </c>
      <c r="I25" s="448">
        <f t="shared" si="9"/>
        <v>0</v>
      </c>
      <c r="J25" s="448">
        <f t="shared" si="10"/>
        <v>212.10750313081138</v>
      </c>
      <c r="K25" s="448">
        <f t="shared" si="11"/>
        <v>0</v>
      </c>
      <c r="L25" s="448">
        <f t="shared" si="12"/>
        <v>0</v>
      </c>
      <c r="M25" s="448">
        <f t="shared" si="13"/>
        <v>0</v>
      </c>
      <c r="N25" s="448">
        <f t="shared" si="14"/>
        <v>0</v>
      </c>
      <c r="O25" s="448">
        <f t="shared" si="15"/>
        <v>0</v>
      </c>
      <c r="P25" s="449">
        <f t="shared" si="16"/>
        <v>0</v>
      </c>
      <c r="Q25" s="447">
        <f t="shared" ca="1" si="17"/>
        <v>4696.1347512921557</v>
      </c>
    </row>
    <row r="26" spans="1:17">
      <c r="A26" s="447" t="s">
        <v>639</v>
      </c>
      <c r="B26" s="448">
        <f t="shared" ca="1" si="2"/>
        <v>2341.5019638358558</v>
      </c>
      <c r="C26" s="448">
        <f t="shared" ca="1" si="3"/>
        <v>0</v>
      </c>
      <c r="D26" s="448">
        <f t="shared" si="4"/>
        <v>792.99679760452284</v>
      </c>
      <c r="E26" s="448">
        <f t="shared" si="5"/>
        <v>277.40583464203144</v>
      </c>
      <c r="F26" s="448">
        <f t="shared" si="6"/>
        <v>4324.6341731274215</v>
      </c>
      <c r="G26" s="448">
        <f t="shared" si="7"/>
        <v>0</v>
      </c>
      <c r="H26" s="448">
        <f t="shared" si="8"/>
        <v>0</v>
      </c>
      <c r="I26" s="448">
        <f t="shared" si="9"/>
        <v>0</v>
      </c>
      <c r="J26" s="448">
        <f t="shared" si="10"/>
        <v>0.31328908721082416</v>
      </c>
      <c r="K26" s="448">
        <f t="shared" si="11"/>
        <v>0</v>
      </c>
      <c r="L26" s="448">
        <f t="shared" si="12"/>
        <v>0</v>
      </c>
      <c r="M26" s="448">
        <f t="shared" si="13"/>
        <v>0</v>
      </c>
      <c r="N26" s="448">
        <f t="shared" si="14"/>
        <v>0</v>
      </c>
      <c r="O26" s="448">
        <f t="shared" si="15"/>
        <v>0</v>
      </c>
      <c r="P26" s="449">
        <f t="shared" si="16"/>
        <v>0</v>
      </c>
      <c r="Q26" s="447">
        <f t="shared" ca="1" si="17"/>
        <v>7736.8520582970432</v>
      </c>
    </row>
    <row r="27" spans="1:17" s="453" customFormat="1">
      <c r="A27" s="451" t="s">
        <v>557</v>
      </c>
      <c r="B27" s="761">
        <f t="shared" ca="1" si="2"/>
        <v>1.7055560073420142</v>
      </c>
      <c r="C27" s="452">
        <f t="shared" ca="1" si="3"/>
        <v>0</v>
      </c>
      <c r="D27" s="452">
        <f t="shared" si="4"/>
        <v>1.7174219575178324</v>
      </c>
      <c r="E27" s="452">
        <f t="shared" si="5"/>
        <v>68.60162506507551</v>
      </c>
      <c r="F27" s="452">
        <f t="shared" si="6"/>
        <v>0</v>
      </c>
      <c r="G27" s="452">
        <f t="shared" si="7"/>
        <v>20674.06643961896</v>
      </c>
      <c r="H27" s="452">
        <f t="shared" si="8"/>
        <v>3623.8278858551844</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24369.918928504081</v>
      </c>
    </row>
    <row r="28" spans="1:17">
      <c r="A28" s="447" t="s">
        <v>547</v>
      </c>
      <c r="B28" s="448">
        <f t="shared" ca="1" si="2"/>
        <v>1.4396522971732659</v>
      </c>
      <c r="C28" s="448">
        <f t="shared" ca="1" si="3"/>
        <v>0</v>
      </c>
      <c r="D28" s="448">
        <f t="shared" si="4"/>
        <v>0</v>
      </c>
      <c r="E28" s="448">
        <f t="shared" si="5"/>
        <v>0</v>
      </c>
      <c r="F28" s="448">
        <f t="shared" si="6"/>
        <v>0</v>
      </c>
      <c r="G28" s="448">
        <f t="shared" si="7"/>
        <v>384.44219152322904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385.88184382040231</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412.09631306920085</v>
      </c>
      <c r="C32" s="448">
        <f t="shared" ca="1" si="3"/>
        <v>0</v>
      </c>
      <c r="D32" s="448">
        <f t="shared" si="4"/>
        <v>909.93265577855323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1322.0289688477542</v>
      </c>
    </row>
    <row r="33" spans="1:17" s="460" customFormat="1">
      <c r="A33" s="457" t="s">
        <v>551</v>
      </c>
      <c r="B33" s="458">
        <f ca="1">SUM(B22:B32)</f>
        <v>14462.734471272015</v>
      </c>
      <c r="C33" s="458">
        <f t="shared" ref="C33:Q33" ca="1" si="18">SUM(C22:C32)</f>
        <v>0</v>
      </c>
      <c r="D33" s="458">
        <f t="shared" ca="1" si="18"/>
        <v>20579.499238535256</v>
      </c>
      <c r="E33" s="458">
        <f t="shared" si="18"/>
        <v>913.55747718044029</v>
      </c>
      <c r="F33" s="458">
        <f t="shared" ca="1" si="18"/>
        <v>25870.482642511903</v>
      </c>
      <c r="G33" s="458">
        <f t="shared" si="18"/>
        <v>21058.508631142191</v>
      </c>
      <c r="H33" s="458">
        <f t="shared" si="18"/>
        <v>3623.8278858551844</v>
      </c>
      <c r="I33" s="458">
        <f t="shared" si="18"/>
        <v>0</v>
      </c>
      <c r="J33" s="458">
        <f t="shared" si="18"/>
        <v>629.24204400004248</v>
      </c>
      <c r="K33" s="458">
        <f t="shared" si="18"/>
        <v>0</v>
      </c>
      <c r="L33" s="458">
        <f t="shared" ca="1" si="18"/>
        <v>0</v>
      </c>
      <c r="M33" s="458">
        <f t="shared" si="18"/>
        <v>0</v>
      </c>
      <c r="N33" s="458">
        <f t="shared" ca="1" si="18"/>
        <v>0</v>
      </c>
      <c r="O33" s="458">
        <f t="shared" si="18"/>
        <v>0</v>
      </c>
      <c r="P33" s="458">
        <f t="shared" si="18"/>
        <v>0</v>
      </c>
      <c r="Q33" s="458">
        <f t="shared" ca="1" si="18"/>
        <v>87137.852390497035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1214.5020050000001</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6308.152242069832</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8.1374999999999993</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9.1727836746897875</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1341</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3831.4285714285716</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8871.7917470698321</v>
      </c>
      <c r="C10" s="1024">
        <f>SUM(C4:C9)</f>
        <v>0</v>
      </c>
      <c r="D10" s="1024">
        <f t="shared" ref="D10:H10" si="0">SUM(D8:D9)</f>
        <v>0</v>
      </c>
      <c r="E10" s="1024">
        <f t="shared" si="0"/>
        <v>0</v>
      </c>
      <c r="F10" s="1024">
        <f t="shared" si="0"/>
        <v>0</v>
      </c>
      <c r="G10" s="1024">
        <f t="shared" si="0"/>
        <v>0</v>
      </c>
      <c r="H10" s="1024">
        <f t="shared" si="0"/>
        <v>0</v>
      </c>
      <c r="I10" s="1024">
        <f>SUM(I8:I9)</f>
        <v>0</v>
      </c>
      <c r="J10" s="1024">
        <f>SUM(J8:J9)</f>
        <v>3840.6013551032615</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0.1946164759480179</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27.696428571428569</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31.22007346816735</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27.696428571428569</v>
      </c>
      <c r="C20" s="1024">
        <f>SUM(C17:C19)</f>
        <v>0</v>
      </c>
      <c r="D20" s="1024">
        <f t="shared" ref="D20:H20" si="2">SUM(D17:D19)</f>
        <v>0</v>
      </c>
      <c r="E20" s="1024">
        <f t="shared" si="2"/>
        <v>0</v>
      </c>
      <c r="F20" s="1024">
        <f t="shared" si="2"/>
        <v>0</v>
      </c>
      <c r="G20" s="1024">
        <f t="shared" si="2"/>
        <v>0</v>
      </c>
      <c r="H20" s="1024">
        <f t="shared" si="2"/>
        <v>0</v>
      </c>
      <c r="I20" s="1024">
        <f>SUM(I17:I19)</f>
        <v>0</v>
      </c>
      <c r="J20" s="1024">
        <f>SUM(J17:J19)</f>
        <v>31.22007346816735</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0.1946164759480179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0.1946164759480179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0.1946164759480179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7212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3029</v>
      </c>
      <c r="C14" s="327"/>
      <c r="D14" s="327"/>
      <c r="E14" s="327"/>
      <c r="F14" s="327"/>
    </row>
    <row r="15" spans="1:6">
      <c r="A15" s="1296" t="s">
        <v>177</v>
      </c>
      <c r="B15" s="1297">
        <v>13734</v>
      </c>
      <c r="C15" s="327"/>
      <c r="D15" s="327"/>
      <c r="E15" s="327"/>
      <c r="F15" s="327"/>
    </row>
    <row r="16" spans="1:6">
      <c r="A16" s="1296" t="s">
        <v>6</v>
      </c>
      <c r="B16" s="1297">
        <v>2492</v>
      </c>
      <c r="C16" s="327"/>
      <c r="D16" s="327"/>
      <c r="E16" s="327"/>
      <c r="F16" s="327"/>
    </row>
    <row r="17" spans="1:6">
      <c r="A17" s="1296" t="s">
        <v>7</v>
      </c>
      <c r="B17" s="1297">
        <v>221</v>
      </c>
      <c r="C17" s="327"/>
      <c r="D17" s="327"/>
      <c r="E17" s="327"/>
      <c r="F17" s="327"/>
    </row>
    <row r="18" spans="1:6">
      <c r="A18" s="1296" t="s">
        <v>8</v>
      </c>
      <c r="B18" s="1297">
        <v>1426</v>
      </c>
      <c r="C18" s="327"/>
      <c r="D18" s="327"/>
      <c r="E18" s="327"/>
      <c r="F18" s="327"/>
    </row>
    <row r="19" spans="1:6">
      <c r="A19" s="1296" t="s">
        <v>9</v>
      </c>
      <c r="B19" s="1297">
        <v>1322</v>
      </c>
      <c r="C19" s="327"/>
      <c r="D19" s="327"/>
      <c r="E19" s="327"/>
      <c r="F19" s="327"/>
    </row>
    <row r="20" spans="1:6">
      <c r="A20" s="1296" t="s">
        <v>10</v>
      </c>
      <c r="B20" s="1297">
        <v>585</v>
      </c>
      <c r="C20" s="327"/>
      <c r="D20" s="327"/>
      <c r="E20" s="327"/>
      <c r="F20" s="327"/>
    </row>
    <row r="21" spans="1:6">
      <c r="A21" s="1296" t="s">
        <v>11</v>
      </c>
      <c r="B21" s="1297">
        <v>11337</v>
      </c>
      <c r="C21" s="327"/>
      <c r="D21" s="327"/>
      <c r="E21" s="327"/>
      <c r="F21" s="327"/>
    </row>
    <row r="22" spans="1:6">
      <c r="A22" s="1296" t="s">
        <v>12</v>
      </c>
      <c r="B22" s="1297">
        <v>24356</v>
      </c>
      <c r="C22" s="327"/>
      <c r="D22" s="327"/>
      <c r="E22" s="327"/>
      <c r="F22" s="327"/>
    </row>
    <row r="23" spans="1:6">
      <c r="A23" s="1296" t="s">
        <v>13</v>
      </c>
      <c r="B23" s="1297">
        <v>639</v>
      </c>
      <c r="C23" s="327"/>
      <c r="D23" s="327"/>
      <c r="E23" s="327"/>
      <c r="F23" s="327"/>
    </row>
    <row r="24" spans="1:6">
      <c r="A24" s="1296" t="s">
        <v>14</v>
      </c>
      <c r="B24" s="1297">
        <v>21</v>
      </c>
      <c r="C24" s="327"/>
      <c r="D24" s="327"/>
      <c r="E24" s="327"/>
      <c r="F24" s="327"/>
    </row>
    <row r="25" spans="1:6">
      <c r="A25" s="1296" t="s">
        <v>15</v>
      </c>
      <c r="B25" s="1297">
        <v>2660</v>
      </c>
      <c r="C25" s="327"/>
      <c r="D25" s="327"/>
      <c r="E25" s="327"/>
      <c r="F25" s="327"/>
    </row>
    <row r="26" spans="1:6">
      <c r="A26" s="1296" t="s">
        <v>16</v>
      </c>
      <c r="B26" s="1297">
        <v>139</v>
      </c>
      <c r="C26" s="327"/>
      <c r="D26" s="327"/>
      <c r="E26" s="327"/>
      <c r="F26" s="327"/>
    </row>
    <row r="27" spans="1:6">
      <c r="A27" s="1296" t="s">
        <v>17</v>
      </c>
      <c r="B27" s="1297">
        <v>660</v>
      </c>
      <c r="C27" s="327"/>
      <c r="D27" s="327"/>
      <c r="E27" s="327"/>
      <c r="F27" s="327"/>
    </row>
    <row r="28" spans="1:6">
      <c r="A28" s="1296" t="s">
        <v>18</v>
      </c>
      <c r="B28" s="1298">
        <v>531088</v>
      </c>
      <c r="C28" s="327"/>
      <c r="D28" s="327"/>
      <c r="E28" s="327"/>
      <c r="F28" s="327"/>
    </row>
    <row r="29" spans="1:6">
      <c r="A29" s="1296" t="s">
        <v>922</v>
      </c>
      <c r="B29" s="1298">
        <v>278</v>
      </c>
      <c r="C29" s="327"/>
      <c r="D29" s="327"/>
      <c r="E29" s="327"/>
      <c r="F29" s="327"/>
    </row>
    <row r="30" spans="1:6">
      <c r="A30" s="1291" t="s">
        <v>923</v>
      </c>
      <c r="B30" s="1299">
        <v>46</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3</v>
      </c>
      <c r="F35" s="1297">
        <v>10720.472421872</v>
      </c>
    </row>
    <row r="36" spans="1:6">
      <c r="A36" s="1296" t="s">
        <v>24</v>
      </c>
      <c r="B36" s="1296" t="s">
        <v>26</v>
      </c>
      <c r="C36" s="1297">
        <v>0</v>
      </c>
      <c r="D36" s="1297">
        <v>0</v>
      </c>
      <c r="E36" s="1297">
        <v>3</v>
      </c>
      <c r="F36" s="1297">
        <v>23002.511181459999</v>
      </c>
    </row>
    <row r="37" spans="1:6">
      <c r="A37" s="1296" t="s">
        <v>24</v>
      </c>
      <c r="B37" s="1296" t="s">
        <v>27</v>
      </c>
      <c r="C37" s="1297">
        <v>0</v>
      </c>
      <c r="D37" s="1297">
        <v>0</v>
      </c>
      <c r="E37" s="1297">
        <v>0</v>
      </c>
      <c r="F37" s="1297">
        <v>0</v>
      </c>
    </row>
    <row r="38" spans="1:6">
      <c r="A38" s="1296" t="s">
        <v>24</v>
      </c>
      <c r="B38" s="1296" t="s">
        <v>28</v>
      </c>
      <c r="C38" s="1297">
        <v>1</v>
      </c>
      <c r="D38" s="1297">
        <v>75185.356554491998</v>
      </c>
      <c r="E38" s="1297">
        <v>2</v>
      </c>
      <c r="F38" s="1297">
        <v>136993.55124818001</v>
      </c>
    </row>
    <row r="39" spans="1:6">
      <c r="A39" s="1296" t="s">
        <v>29</v>
      </c>
      <c r="B39" s="1296" t="s">
        <v>30</v>
      </c>
      <c r="C39" s="1297">
        <v>3822</v>
      </c>
      <c r="D39" s="1297">
        <v>77599190.908894002</v>
      </c>
      <c r="E39" s="1297">
        <v>7036</v>
      </c>
      <c r="F39" s="1297">
        <v>27830224.914039802</v>
      </c>
    </row>
    <row r="40" spans="1:6">
      <c r="A40" s="1296" t="s">
        <v>29</v>
      </c>
      <c r="B40" s="1296" t="s">
        <v>28</v>
      </c>
      <c r="C40" s="1297">
        <v>0</v>
      </c>
      <c r="D40" s="1297">
        <v>0</v>
      </c>
      <c r="E40" s="1297">
        <v>0</v>
      </c>
      <c r="F40" s="1297">
        <v>0</v>
      </c>
    </row>
    <row r="41" spans="1:6">
      <c r="A41" s="1296" t="s">
        <v>31</v>
      </c>
      <c r="B41" s="1296" t="s">
        <v>32</v>
      </c>
      <c r="C41" s="1297">
        <v>58</v>
      </c>
      <c r="D41" s="1297">
        <v>1654956.58923038</v>
      </c>
      <c r="E41" s="1297">
        <v>143</v>
      </c>
      <c r="F41" s="1297">
        <v>1373165.58094832</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7</v>
      </c>
      <c r="F44" s="1297">
        <v>83669.528309910995</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98072.465415793195</v>
      </c>
    </row>
    <row r="48" spans="1:6">
      <c r="A48" s="1296" t="s">
        <v>31</v>
      </c>
      <c r="B48" s="1296" t="s">
        <v>28</v>
      </c>
      <c r="C48" s="1297">
        <v>16</v>
      </c>
      <c r="D48" s="1297">
        <v>980874.19913035701</v>
      </c>
      <c r="E48" s="1297">
        <v>18</v>
      </c>
      <c r="F48" s="1297">
        <v>292727.51478395698</v>
      </c>
    </row>
    <row r="49" spans="1:6">
      <c r="A49" s="1296" t="s">
        <v>31</v>
      </c>
      <c r="B49" s="1296" t="s">
        <v>39</v>
      </c>
      <c r="C49" s="1297">
        <v>0</v>
      </c>
      <c r="D49" s="1297">
        <v>0</v>
      </c>
      <c r="E49" s="1297">
        <v>0</v>
      </c>
      <c r="F49" s="1297">
        <v>0</v>
      </c>
    </row>
    <row r="50" spans="1:6">
      <c r="A50" s="1296" t="s">
        <v>31</v>
      </c>
      <c r="B50" s="1296" t="s">
        <v>40</v>
      </c>
      <c r="C50" s="1297">
        <v>7</v>
      </c>
      <c r="D50" s="1297">
        <v>1716416.1305023101</v>
      </c>
      <c r="E50" s="1297">
        <v>15</v>
      </c>
      <c r="F50" s="1297">
        <v>10183730.4587563</v>
      </c>
    </row>
    <row r="51" spans="1:6">
      <c r="A51" s="1296" t="s">
        <v>41</v>
      </c>
      <c r="B51" s="1296" t="s">
        <v>42</v>
      </c>
      <c r="C51" s="1297">
        <v>0</v>
      </c>
      <c r="D51" s="1297">
        <v>0</v>
      </c>
      <c r="E51" s="1297">
        <v>140</v>
      </c>
      <c r="F51" s="1297">
        <v>3800976.5830275798</v>
      </c>
    </row>
    <row r="52" spans="1:6">
      <c r="A52" s="1296" t="s">
        <v>41</v>
      </c>
      <c r="B52" s="1296" t="s">
        <v>28</v>
      </c>
      <c r="C52" s="1297">
        <v>6</v>
      </c>
      <c r="D52" s="1297">
        <v>147975.834907118</v>
      </c>
      <c r="E52" s="1297">
        <v>10</v>
      </c>
      <c r="F52" s="1297">
        <v>183192.48674101199</v>
      </c>
    </row>
    <row r="53" spans="1:6">
      <c r="A53" s="1296" t="s">
        <v>43</v>
      </c>
      <c r="B53" s="1296" t="s">
        <v>44</v>
      </c>
      <c r="C53" s="1297">
        <v>118</v>
      </c>
      <c r="D53" s="1297">
        <v>4504617.1078146202</v>
      </c>
      <c r="E53" s="1297">
        <v>270</v>
      </c>
      <c r="F53" s="1297">
        <v>2117479.0626630802</v>
      </c>
    </row>
    <row r="54" spans="1:6">
      <c r="A54" s="1296" t="s">
        <v>45</v>
      </c>
      <c r="B54" s="1296" t="s">
        <v>46</v>
      </c>
      <c r="C54" s="1297">
        <v>0</v>
      </c>
      <c r="D54" s="1297">
        <v>0</v>
      </c>
      <c r="E54" s="1297">
        <v>1</v>
      </c>
      <c r="F54" s="1297">
        <v>782713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20</v>
      </c>
      <c r="D57" s="1297">
        <v>526057.29684143304</v>
      </c>
      <c r="E57" s="1297">
        <v>159</v>
      </c>
      <c r="F57" s="1297">
        <v>3506334.9699344402</v>
      </c>
    </row>
    <row r="58" spans="1:6">
      <c r="A58" s="1296" t="s">
        <v>48</v>
      </c>
      <c r="B58" s="1296" t="s">
        <v>50</v>
      </c>
      <c r="C58" s="1297">
        <v>23</v>
      </c>
      <c r="D58" s="1297">
        <v>1087126.40550507</v>
      </c>
      <c r="E58" s="1297">
        <v>40</v>
      </c>
      <c r="F58" s="1297">
        <v>424500.37434644398</v>
      </c>
    </row>
    <row r="59" spans="1:6">
      <c r="A59" s="1296" t="s">
        <v>48</v>
      </c>
      <c r="B59" s="1296" t="s">
        <v>51</v>
      </c>
      <c r="C59" s="1297">
        <v>50</v>
      </c>
      <c r="D59" s="1297">
        <v>1955913.0519501099</v>
      </c>
      <c r="E59" s="1297">
        <v>133</v>
      </c>
      <c r="F59" s="1297">
        <v>4473658.6363785099</v>
      </c>
    </row>
    <row r="60" spans="1:6">
      <c r="A60" s="1296" t="s">
        <v>48</v>
      </c>
      <c r="B60" s="1296" t="s">
        <v>52</v>
      </c>
      <c r="C60" s="1297">
        <v>66</v>
      </c>
      <c r="D60" s="1297">
        <v>6671847.3004566804</v>
      </c>
      <c r="E60" s="1297">
        <v>109</v>
      </c>
      <c r="F60" s="1297">
        <v>4776967.6952381199</v>
      </c>
    </row>
    <row r="61" spans="1:6">
      <c r="A61" s="1296" t="s">
        <v>48</v>
      </c>
      <c r="B61" s="1296" t="s">
        <v>53</v>
      </c>
      <c r="C61" s="1297">
        <v>157</v>
      </c>
      <c r="D61" s="1297">
        <v>6663284.3431104301</v>
      </c>
      <c r="E61" s="1297">
        <v>235</v>
      </c>
      <c r="F61" s="1297">
        <v>3020416.7072181399</v>
      </c>
    </row>
    <row r="62" spans="1:6">
      <c r="A62" s="1296" t="s">
        <v>48</v>
      </c>
      <c r="B62" s="1296" t="s">
        <v>54</v>
      </c>
      <c r="C62" s="1297">
        <v>6</v>
      </c>
      <c r="D62" s="1297">
        <v>527702.72809768596</v>
      </c>
      <c r="E62" s="1297">
        <v>12</v>
      </c>
      <c r="F62" s="1297">
        <v>218903.40095694401</v>
      </c>
    </row>
    <row r="63" spans="1:6">
      <c r="A63" s="1296" t="s">
        <v>48</v>
      </c>
      <c r="B63" s="1296" t="s">
        <v>28</v>
      </c>
      <c r="C63" s="1297">
        <v>79</v>
      </c>
      <c r="D63" s="1297">
        <v>8412768.1880334709</v>
      </c>
      <c r="E63" s="1297">
        <v>101</v>
      </c>
      <c r="F63" s="1297">
        <v>4872272.5943810297</v>
      </c>
    </row>
    <row r="64" spans="1:6">
      <c r="A64" s="1296" t="s">
        <v>55</v>
      </c>
      <c r="B64" s="1296" t="s">
        <v>56</v>
      </c>
      <c r="C64" s="1297">
        <v>0</v>
      </c>
      <c r="D64" s="1297">
        <v>0</v>
      </c>
      <c r="E64" s="1297">
        <v>0</v>
      </c>
      <c r="F64" s="1297">
        <v>0</v>
      </c>
    </row>
    <row r="65" spans="1:6">
      <c r="A65" s="1296" t="s">
        <v>55</v>
      </c>
      <c r="B65" s="1296" t="s">
        <v>28</v>
      </c>
      <c r="C65" s="1297">
        <v>2</v>
      </c>
      <c r="D65" s="1297">
        <v>12872.3530053785</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7</v>
      </c>
      <c r="F68" s="1299">
        <v>35177.957475352399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97889561</v>
      </c>
      <c r="E73" s="446"/>
      <c r="F73" s="327"/>
    </row>
    <row r="74" spans="1:6">
      <c r="A74" s="1296" t="s">
        <v>63</v>
      </c>
      <c r="B74" s="1296" t="s">
        <v>706</v>
      </c>
      <c r="C74" s="1309" t="s">
        <v>707</v>
      </c>
      <c r="D74" s="1297">
        <v>6162813.9513532957</v>
      </c>
      <c r="E74" s="446"/>
      <c r="F74" s="327"/>
    </row>
    <row r="75" spans="1:6">
      <c r="A75" s="1296" t="s">
        <v>64</v>
      </c>
      <c r="B75" s="1296" t="s">
        <v>704</v>
      </c>
      <c r="C75" s="1309" t="s">
        <v>708</v>
      </c>
      <c r="D75" s="1297">
        <v>19873410</v>
      </c>
      <c r="E75" s="446"/>
      <c r="F75" s="327"/>
    </row>
    <row r="76" spans="1:6">
      <c r="A76" s="1296" t="s">
        <v>64</v>
      </c>
      <c r="B76" s="1296" t="s">
        <v>706</v>
      </c>
      <c r="C76" s="1309" t="s">
        <v>709</v>
      </c>
      <c r="D76" s="1297">
        <v>853954.95135329582</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400134.09729340841</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1214.5020050000001</v>
      </c>
      <c r="C90" s="327"/>
      <c r="D90" s="327"/>
      <c r="E90" s="327"/>
      <c r="F90" s="327"/>
    </row>
    <row r="91" spans="1:6">
      <c r="A91" s="1296" t="s">
        <v>67</v>
      </c>
      <c r="B91" s="1297">
        <v>4917.8621417352306</v>
      </c>
      <c r="C91" s="327"/>
      <c r="D91" s="327"/>
      <c r="E91" s="327"/>
      <c r="F91" s="327"/>
    </row>
    <row r="92" spans="1:6">
      <c r="A92" s="1291" t="s">
        <v>68</v>
      </c>
      <c r="B92" s="1292">
        <v>1390.2901003346014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2144</v>
      </c>
      <c r="C97" s="327"/>
      <c r="D97" s="327"/>
      <c r="E97" s="327"/>
      <c r="F97" s="327"/>
    </row>
    <row r="98" spans="1:6">
      <c r="A98" s="1296" t="s">
        <v>71</v>
      </c>
      <c r="B98" s="1297">
        <v>12</v>
      </c>
      <c r="C98" s="327"/>
      <c r="D98" s="327"/>
      <c r="E98" s="327"/>
      <c r="F98" s="327"/>
    </row>
    <row r="99" spans="1:6">
      <c r="A99" s="1296" t="s">
        <v>72</v>
      </c>
      <c r="B99" s="1297">
        <v>63</v>
      </c>
      <c r="C99" s="327"/>
      <c r="D99" s="327"/>
      <c r="E99" s="327"/>
      <c r="F99" s="327"/>
    </row>
    <row r="100" spans="1:6">
      <c r="A100" s="1296" t="s">
        <v>73</v>
      </c>
      <c r="B100" s="1297">
        <v>245</v>
      </c>
      <c r="C100" s="327"/>
      <c r="D100" s="327"/>
      <c r="E100" s="327"/>
      <c r="F100" s="327"/>
    </row>
    <row r="101" spans="1:6">
      <c r="A101" s="1296" t="s">
        <v>74</v>
      </c>
      <c r="B101" s="1297">
        <v>193</v>
      </c>
      <c r="C101" s="327"/>
      <c r="D101" s="327"/>
      <c r="E101" s="327"/>
      <c r="F101" s="327"/>
    </row>
    <row r="102" spans="1:6">
      <c r="A102" s="1296" t="s">
        <v>75</v>
      </c>
      <c r="B102" s="1297">
        <v>70</v>
      </c>
      <c r="C102" s="327"/>
      <c r="D102" s="327"/>
      <c r="E102" s="327"/>
      <c r="F102" s="327"/>
    </row>
    <row r="103" spans="1:6">
      <c r="A103" s="1296" t="s">
        <v>76</v>
      </c>
      <c r="B103" s="1297">
        <v>116</v>
      </c>
      <c r="C103" s="327"/>
      <c r="D103" s="327"/>
      <c r="E103" s="327"/>
      <c r="F103" s="327"/>
    </row>
    <row r="104" spans="1:6">
      <c r="A104" s="1296" t="s">
        <v>77</v>
      </c>
      <c r="B104" s="1297">
        <v>3477</v>
      </c>
      <c r="C104" s="327"/>
      <c r="D104" s="327"/>
      <c r="E104" s="327"/>
      <c r="F104" s="327"/>
    </row>
    <row r="105" spans="1:6">
      <c r="A105" s="1291"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28</v>
      </c>
      <c r="C123" s="1297">
        <v>12</v>
      </c>
      <c r="D123" s="327"/>
      <c r="E123" s="327"/>
      <c r="F123" s="327"/>
    </row>
    <row r="124" spans="1:6">
      <c r="A124" s="1296" t="s">
        <v>88</v>
      </c>
      <c r="B124" s="1297">
        <v>2</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193</v>
      </c>
      <c r="C129" s="327"/>
      <c r="D129" s="327"/>
      <c r="E129" s="327"/>
      <c r="F129" s="327"/>
    </row>
    <row r="130" spans="1:6">
      <c r="A130" s="1296" t="s">
        <v>284</v>
      </c>
      <c r="B130" s="1297">
        <v>5</v>
      </c>
      <c r="C130" s="327"/>
      <c r="D130" s="327"/>
      <c r="E130" s="327"/>
      <c r="F130" s="327"/>
    </row>
    <row r="131" spans="1:6">
      <c r="A131" s="1296" t="s">
        <v>285</v>
      </c>
      <c r="B131" s="1297">
        <v>1</v>
      </c>
      <c r="C131" s="327"/>
      <c r="D131" s="327"/>
      <c r="E131" s="327"/>
      <c r="F131" s="327"/>
    </row>
    <row r="132" spans="1:6">
      <c r="A132" s="1291" t="s">
        <v>286</v>
      </c>
      <c r="B132" s="1292">
        <v>18</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74314.02917364004</v>
      </c>
      <c r="C3" s="43" t="s">
        <v>163</v>
      </c>
      <c r="D3" s="43"/>
      <c r="E3" s="156"/>
      <c r="F3" s="43"/>
      <c r="G3" s="43"/>
      <c r="H3" s="43"/>
      <c r="I3" s="43"/>
      <c r="J3" s="43"/>
      <c r="K3" s="96"/>
    </row>
    <row r="4" spans="1:11">
      <c r="A4" s="353" t="s">
        <v>164</v>
      </c>
      <c r="B4" s="49">
        <f>IF(ISERROR('SEAP template'!B78+'SEAP template'!C78),0,'SEAP template'!B78+'SEAP template'!C78)</f>
        <v>8871.7917470698321</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0.1946164759480179</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27.696428571428569</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782.71299999999997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782.71299999999997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0.1946164759480179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152.32884573870092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27830.224914039802</v>
      </c>
      <c r="C5" s="17">
        <f>IF(ISERROR('Eigen informatie GS &amp; warmtenet'!B57),0,'Eigen informatie GS &amp; warmtenet'!B57)</f>
        <v>0</v>
      </c>
      <c r="D5" s="30">
        <f>(SUM(HH_hh_gas_kWh,HH_rest_gas_kWh)/1000)*0.902</f>
        <v>69994.47019982239</v>
      </c>
      <c r="E5" s="17">
        <f>B32*B41</f>
        <v>2028.8313703713825</v>
      </c>
      <c r="F5" s="17">
        <f>B36*B45</f>
        <v>62174.496488436336</v>
      </c>
      <c r="G5" s="18"/>
      <c r="H5" s="17"/>
      <c r="I5" s="17"/>
      <c r="J5" s="17">
        <f>B35*B44+C35*C44</f>
        <v>1177.4611632260462</v>
      </c>
      <c r="K5" s="17"/>
      <c r="L5" s="17"/>
      <c r="M5" s="17"/>
      <c r="N5" s="17">
        <f>B34*B43+C34*C43</f>
        <v>11620.3658894906</v>
      </c>
      <c r="O5" s="17">
        <f>B52*B53*B54</f>
        <v>320.48333333333335</v>
      </c>
      <c r="P5" s="17">
        <f>B60*B61*B62/1000-B60*B61*B62/1000/B63</f>
        <v>915.2</v>
      </c>
    </row>
    <row r="6" spans="1:16">
      <c r="A6" s="16" t="s">
        <v>617</v>
      </c>
      <c r="B6" s="769">
        <f>kWh_PV_kleiner_dan_10kW</f>
        <v>4917.8621417352306</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32748.087055775031</v>
      </c>
      <c r="C8" s="21">
        <f>C5</f>
        <v>0</v>
      </c>
      <c r="D8" s="21">
        <f>D5</f>
        <v>69994.47019982239</v>
      </c>
      <c r="E8" s="21">
        <f>E5</f>
        <v>2028.8313703713825</v>
      </c>
      <c r="F8" s="21">
        <f>F5</f>
        <v>62174.496488436336</v>
      </c>
      <c r="G8" s="21"/>
      <c r="H8" s="21"/>
      <c r="I8" s="21"/>
      <c r="J8" s="21">
        <f>J5</f>
        <v>1177.4611632260462</v>
      </c>
      <c r="K8" s="21"/>
      <c r="L8" s="21">
        <f>L5</f>
        <v>0</v>
      </c>
      <c r="M8" s="21">
        <f>M5</f>
        <v>0</v>
      </c>
      <c r="N8" s="21">
        <f>N5</f>
        <v>11620.3658894906</v>
      </c>
      <c r="O8" s="21">
        <f>O5</f>
        <v>320.48333333333335</v>
      </c>
      <c r="P8" s="21">
        <f>P5</f>
        <v>915.2</v>
      </c>
    </row>
    <row r="9" spans="1:16">
      <c r="B9" s="19"/>
      <c r="C9" s="19"/>
      <c r="D9" s="257"/>
      <c r="E9" s="19"/>
      <c r="F9" s="19"/>
      <c r="G9" s="19"/>
      <c r="H9" s="19"/>
      <c r="I9" s="19"/>
      <c r="J9" s="19"/>
      <c r="K9" s="19"/>
      <c r="L9" s="19"/>
      <c r="M9" s="19"/>
      <c r="N9" s="19"/>
      <c r="O9" s="19"/>
      <c r="P9" s="19"/>
    </row>
    <row r="10" spans="1:16">
      <c r="A10" s="24" t="s">
        <v>207</v>
      </c>
      <c r="B10" s="25">
        <f ca="1">'EF ele_warmte'!B12</f>
        <v>0.1946164759480179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6373.3172968338376</v>
      </c>
      <c r="C12" s="23">
        <f ca="1">C10*C8</f>
        <v>0</v>
      </c>
      <c r="D12" s="23">
        <f>D8*D10</f>
        <v>14138.882980364124</v>
      </c>
      <c r="E12" s="23">
        <f>E10*E8</f>
        <v>460.54472107430382</v>
      </c>
      <c r="F12" s="23">
        <f>F10*F8</f>
        <v>16600.590562412504</v>
      </c>
      <c r="G12" s="23"/>
      <c r="H12" s="23"/>
      <c r="I12" s="23"/>
      <c r="J12" s="23">
        <f>J10*J8</f>
        <v>416.82125178202034</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7212</v>
      </c>
      <c r="C26" s="36"/>
      <c r="D26" s="227"/>
    </row>
    <row r="27" spans="1:5" s="15" customFormat="1">
      <c r="A27" s="229" t="s">
        <v>722</v>
      </c>
      <c r="B27" s="37">
        <f>SUM(HH_hh_gas_aantal,HH_rest_gas_aantal)</f>
        <v>3822</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3630.9</v>
      </c>
      <c r="C31" s="34" t="s">
        <v>104</v>
      </c>
      <c r="D31" s="173"/>
    </row>
    <row r="32" spans="1:5">
      <c r="A32" s="170" t="s">
        <v>72</v>
      </c>
      <c r="B32" s="33">
        <f>IF((B21*($B$26-($B$27-0.05*$B$27)-$B$60))&lt;0,0,B21*($B$26-($B$27-0.05*$B$27)-$B$60))</f>
        <v>88.474342902198217</v>
      </c>
      <c r="C32" s="34" t="s">
        <v>104</v>
      </c>
      <c r="D32" s="173"/>
    </row>
    <row r="33" spans="1:6">
      <c r="A33" s="170" t="s">
        <v>73</v>
      </c>
      <c r="B33" s="33">
        <f>IF((B22*($B$26-($B$27-0.05*$B$27)-$B$60))&lt;0,0,B22*($B$26-($B$27-0.05*$B$27)-$B$60))</f>
        <v>595.53609393643251</v>
      </c>
      <c r="C33" s="34" t="s">
        <v>104</v>
      </c>
      <c r="D33" s="173"/>
    </row>
    <row r="34" spans="1:6">
      <c r="A34" s="170" t="s">
        <v>74</v>
      </c>
      <c r="B34" s="33">
        <f>IF((B24*($B$26-($B$27-0.05*$B$27)-$B$60))&lt;0,0,B24*($B$26-($B$27-0.05*$B$27)-$B$60))</f>
        <v>151.09557923627762</v>
      </c>
      <c r="C34" s="33">
        <f>B26*C24</f>
        <v>1475.2872077387533</v>
      </c>
      <c r="D34" s="232"/>
    </row>
    <row r="35" spans="1:6">
      <c r="A35" s="170" t="s">
        <v>76</v>
      </c>
      <c r="B35" s="33">
        <f>IF((B19*($B$26-($B$27-0.05*$B$27)-$B$60))&lt;0,0,B19*($B$26-($B$27-0.05*$B$27)-$B$60))</f>
        <v>56.152080387207903</v>
      </c>
      <c r="C35" s="33">
        <f>B35/2</f>
        <v>28.076040193603951</v>
      </c>
      <c r="D35" s="232"/>
    </row>
    <row r="36" spans="1:6">
      <c r="A36" s="170" t="s">
        <v>77</v>
      </c>
      <c r="B36" s="33">
        <f>IF((B18*($B$26-($B$27-0.05*$B$27)-$B$60))&lt;0,0,B18*($B$26-($B$27-0.05*$B$27)-$B$60))</f>
        <v>2641.8419035378838</v>
      </c>
      <c r="C36" s="34" t="s">
        <v>104</v>
      </c>
      <c r="D36" s="173"/>
    </row>
    <row r="37" spans="1:6">
      <c r="A37" s="170" t="s">
        <v>78</v>
      </c>
      <c r="B37" s="33">
        <f>B60</f>
        <v>48</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205</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48</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21293.054378453628</v>
      </c>
      <c r="C5" s="17">
        <f>IF(ISERROR('Eigen informatie GS &amp; warmtenet'!B58),0,'Eigen informatie GS &amp; warmtenet'!B58)</f>
        <v>0</v>
      </c>
      <c r="D5" s="30">
        <f>SUM(D6:D12)</f>
        <v>23311.918781223383</v>
      </c>
      <c r="E5" s="17">
        <f>SUM(E6:E12)</f>
        <v>421.18330798841453</v>
      </c>
      <c r="F5" s="17">
        <f>SUM(F6:F12)</f>
        <v>4775.1838099594142</v>
      </c>
      <c r="G5" s="18"/>
      <c r="H5" s="17"/>
      <c r="I5" s="17"/>
      <c r="J5" s="17">
        <f>SUM(J6:J12)</f>
        <v>0</v>
      </c>
      <c r="K5" s="17"/>
      <c r="L5" s="17"/>
      <c r="M5" s="17"/>
      <c r="N5" s="17">
        <f>SUM(N6:N12)</f>
        <v>2848.1598367348938</v>
      </c>
      <c r="O5" s="17">
        <f>B38*B39*B40</f>
        <v>7.8166666666666664</v>
      </c>
      <c r="P5" s="17">
        <f>B46*B47*B48/1000-B46*B47*B48/1000/B49</f>
        <v>19.066666666666666</v>
      </c>
      <c r="R5" s="32"/>
    </row>
    <row r="6" spans="1:18">
      <c r="A6" s="32" t="s">
        <v>53</v>
      </c>
      <c r="B6" s="37">
        <f>B26</f>
        <v>3020.4167072181399</v>
      </c>
      <c r="C6" s="33"/>
      <c r="D6" s="37">
        <f>IF(ISERROR(TER_kantoor_gas_kWh/1000),0,TER_kantoor_gas_kWh/1000)*0.902</f>
        <v>6010.2824774856081</v>
      </c>
      <c r="E6" s="33">
        <f>$C$26*'E Balans VL '!I12/100/3.6*1000000</f>
        <v>11.734958367017398</v>
      </c>
      <c r="F6" s="33">
        <f>$C$26*('E Balans VL '!L12+'E Balans VL '!N12)/100/3.6*1000000</f>
        <v>459.37789756702614</v>
      </c>
      <c r="G6" s="34"/>
      <c r="H6" s="33"/>
      <c r="I6" s="33"/>
      <c r="J6" s="33">
        <f>$C$26*('E Balans VL '!D12+'E Balans VL '!E12)/100/3.6*1000000</f>
        <v>0</v>
      </c>
      <c r="K6" s="33"/>
      <c r="L6" s="33"/>
      <c r="M6" s="33"/>
      <c r="N6" s="33">
        <f>$C$26*'E Balans VL '!Y12/100/3.6*1000000</f>
        <v>1.6646114426877805</v>
      </c>
      <c r="O6" s="33"/>
      <c r="P6" s="33"/>
      <c r="R6" s="32"/>
    </row>
    <row r="7" spans="1:18">
      <c r="A7" s="32" t="s">
        <v>52</v>
      </c>
      <c r="B7" s="37">
        <f t="shared" ref="B7:B12" si="0">B27</f>
        <v>4776.9676952381196</v>
      </c>
      <c r="C7" s="33"/>
      <c r="D7" s="37">
        <f>IF(ISERROR(TER_horeca_gas_kWh/1000),0,TER_horeca_gas_kWh/1000)*0.902</f>
        <v>6018.0062650119262</v>
      </c>
      <c r="E7" s="33">
        <f>$C$27*'E Balans VL '!I9/100/3.6*1000000</f>
        <v>269.08786742232371</v>
      </c>
      <c r="F7" s="33">
        <f>$C$27*('E Balans VL '!L9+'E Balans VL '!N9)/100/3.6*1000000</f>
        <v>1377.3914920889836</v>
      </c>
      <c r="G7" s="34"/>
      <c r="H7" s="33"/>
      <c r="I7" s="33"/>
      <c r="J7" s="33">
        <f>$C$27*('E Balans VL '!D9+'E Balans VL '!E9)/100/3.6*1000000</f>
        <v>0</v>
      </c>
      <c r="K7" s="33"/>
      <c r="L7" s="33"/>
      <c r="M7" s="33"/>
      <c r="N7" s="33">
        <f>$C$27*'E Balans VL '!Y9/100/3.6*1000000</f>
        <v>1.3188959571955374</v>
      </c>
      <c r="O7" s="33"/>
      <c r="P7" s="33"/>
      <c r="R7" s="32"/>
    </row>
    <row r="8" spans="1:18">
      <c r="A8" s="6" t="s">
        <v>51</v>
      </c>
      <c r="B8" s="37">
        <f t="shared" si="0"/>
        <v>4473.65863637851</v>
      </c>
      <c r="C8" s="33"/>
      <c r="D8" s="37">
        <f>IF(ISERROR(TER_handel_gas_kWh/1000),0,TER_handel_gas_kWh/1000)*0.902</f>
        <v>1764.2335728589992</v>
      </c>
      <c r="E8" s="33">
        <f>$C$28*'E Balans VL '!I13/100/3.6*1000000</f>
        <v>64.48059856416414</v>
      </c>
      <c r="F8" s="33">
        <f>$C$28*('E Balans VL '!L13+'E Balans VL '!N13)/100/3.6*1000000</f>
        <v>777.17868961833904</v>
      </c>
      <c r="G8" s="34"/>
      <c r="H8" s="33"/>
      <c r="I8" s="33"/>
      <c r="J8" s="33">
        <f>$C$28*('E Balans VL '!D13+'E Balans VL '!E13)/100/3.6*1000000</f>
        <v>0</v>
      </c>
      <c r="K8" s="33"/>
      <c r="L8" s="33"/>
      <c r="M8" s="33"/>
      <c r="N8" s="33">
        <f>$C$28*'E Balans VL '!Y13/100/3.6*1000000</f>
        <v>13.403579292528661</v>
      </c>
      <c r="O8" s="33"/>
      <c r="P8" s="33"/>
      <c r="R8" s="32"/>
    </row>
    <row r="9" spans="1:18">
      <c r="A9" s="32" t="s">
        <v>50</v>
      </c>
      <c r="B9" s="37">
        <f t="shared" si="0"/>
        <v>424.50037434644395</v>
      </c>
      <c r="C9" s="33"/>
      <c r="D9" s="37">
        <f>IF(ISERROR(TER_gezond_gas_kWh/1000),0,TER_gezond_gas_kWh/1000)*0.902</f>
        <v>980.58801776557311</v>
      </c>
      <c r="E9" s="33">
        <f>$C$29*'E Balans VL '!I10/100/3.6*1000000</f>
        <v>0.4534764262584392</v>
      </c>
      <c r="F9" s="33">
        <f>$C$29*('E Balans VL '!L10+'E Balans VL '!N10)/100/3.6*1000000</f>
        <v>69.248912106396418</v>
      </c>
      <c r="G9" s="34"/>
      <c r="H9" s="33"/>
      <c r="I9" s="33"/>
      <c r="J9" s="33">
        <f>$C$29*('E Balans VL '!D10+'E Balans VL '!E10)/100/3.6*1000000</f>
        <v>0</v>
      </c>
      <c r="K9" s="33"/>
      <c r="L9" s="33"/>
      <c r="M9" s="33"/>
      <c r="N9" s="33">
        <f>$C$29*'E Balans VL '!Y10/100/3.6*1000000</f>
        <v>4.3699891388153036</v>
      </c>
      <c r="O9" s="33"/>
      <c r="P9" s="33"/>
      <c r="R9" s="32"/>
    </row>
    <row r="10" spans="1:18">
      <c r="A10" s="32" t="s">
        <v>49</v>
      </c>
      <c r="B10" s="37">
        <f t="shared" si="0"/>
        <v>3506.3349699344403</v>
      </c>
      <c r="C10" s="33"/>
      <c r="D10" s="37">
        <f>IF(ISERROR(TER_ander_gas_kWh/1000),0,TER_ander_gas_kWh/1000)*0.902</f>
        <v>474.50368175097265</v>
      </c>
      <c r="E10" s="33">
        <f>$C$30*'E Balans VL '!I14/100/3.6*1000000</f>
        <v>16.12510117358682</v>
      </c>
      <c r="F10" s="33">
        <f>$C$30*('E Balans VL '!L14+'E Balans VL '!N14)/100/3.6*1000000</f>
        <v>1050.9591902348202</v>
      </c>
      <c r="G10" s="34"/>
      <c r="H10" s="33"/>
      <c r="I10" s="33"/>
      <c r="J10" s="33">
        <f>$C$30*('E Balans VL '!D14+'E Balans VL '!E14)/100/3.6*1000000</f>
        <v>0</v>
      </c>
      <c r="K10" s="33"/>
      <c r="L10" s="33"/>
      <c r="M10" s="33"/>
      <c r="N10" s="33">
        <f>$C$30*'E Balans VL '!Y14/100/3.6*1000000</f>
        <v>2440.640594941005</v>
      </c>
      <c r="O10" s="33"/>
      <c r="P10" s="33"/>
      <c r="R10" s="32"/>
    </row>
    <row r="11" spans="1:18">
      <c r="A11" s="32" t="s">
        <v>54</v>
      </c>
      <c r="B11" s="37">
        <f t="shared" si="0"/>
        <v>218.90340095694401</v>
      </c>
      <c r="C11" s="33"/>
      <c r="D11" s="37">
        <f>IF(ISERROR(TER_onderwijs_gas_kWh/1000),0,TER_onderwijs_gas_kWh/1000)*0.902</f>
        <v>475.98786074411277</v>
      </c>
      <c r="E11" s="33">
        <f>$C$31*'E Balans VL '!I11/100/3.6*1000000</f>
        <v>0.20306169210637437</v>
      </c>
      <c r="F11" s="33">
        <f>$C$31*('E Balans VL '!L11+'E Balans VL '!N11)/100/3.6*1000000</f>
        <v>76.89573362322281</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4872.2725943810301</v>
      </c>
      <c r="C12" s="33"/>
      <c r="D12" s="37">
        <f>IF(ISERROR(TER_rest_gas_kWh/1000),0,TER_rest_gas_kWh/1000)*0.902</f>
        <v>7588.3169056061915</v>
      </c>
      <c r="E12" s="33">
        <f>$C$32*'E Balans VL '!I8/100/3.6*1000000</f>
        <v>59.098244342957699</v>
      </c>
      <c r="F12" s="33">
        <f>$C$32*('E Balans VL '!L8+'E Balans VL '!N8)/100/3.6*1000000</f>
        <v>964.13189472062606</v>
      </c>
      <c r="G12" s="34"/>
      <c r="H12" s="33"/>
      <c r="I12" s="33"/>
      <c r="J12" s="33">
        <f>$C$32*('E Balans VL '!D8+'E Balans VL '!E8)/100/3.6*1000000</f>
        <v>0</v>
      </c>
      <c r="K12" s="33"/>
      <c r="L12" s="33"/>
      <c r="M12" s="33"/>
      <c r="N12" s="33">
        <f>$C$32*'E Balans VL '!Y8/100/3.6*1000000</f>
        <v>386.7621659626617</v>
      </c>
      <c r="O12" s="33"/>
      <c r="P12" s="33"/>
      <c r="R12" s="32"/>
    </row>
    <row r="13" spans="1:18">
      <c r="A13" s="16" t="s">
        <v>484</v>
      </c>
      <c r="B13" s="245">
        <f ca="1">'lokale energieproductie'!N39+'lokale energieproductie'!N32</f>
        <v>1341</v>
      </c>
      <c r="C13" s="245">
        <f ca="1">'lokale energieproductie'!O39+'lokale energieproductie'!O32</f>
        <v>0</v>
      </c>
      <c r="D13" s="305">
        <f ca="1">('lokale energieproductie'!P32+'lokale energieproductie'!P39)*(-1)</f>
        <v>0</v>
      </c>
      <c r="E13" s="246"/>
      <c r="F13" s="305">
        <f ca="1">('lokale energieproductie'!S32+'lokale energieproductie'!S39)*(-1)</f>
        <v>0</v>
      </c>
      <c r="G13" s="247"/>
      <c r="H13" s="246"/>
      <c r="I13" s="246"/>
      <c r="J13" s="246"/>
      <c r="K13" s="246"/>
      <c r="L13" s="305">
        <f ca="1">('lokale energieproductie'!U32+'lokale energieproductie'!T32+'lokale energieproductie'!U39+'lokale energieproductie'!T39)*(-1)</f>
        <v>0</v>
      </c>
      <c r="M13" s="246"/>
      <c r="N13" s="305">
        <f ca="1">('lokale energieproductie'!Q32+'lokale energieproductie'!R32+'lokale energieproductie'!V32+'lokale energieproductie'!Q39+'lokale energieproductie'!R39+'lokale energieproductie'!V39)*(-1)</f>
        <v>-3831.4285714285716</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22634.054378453628</v>
      </c>
      <c r="C16" s="21">
        <f t="shared" ca="1" si="1"/>
        <v>0</v>
      </c>
      <c r="D16" s="21">
        <f t="shared" ca="1" si="1"/>
        <v>23311.918781223383</v>
      </c>
      <c r="E16" s="21">
        <f t="shared" si="1"/>
        <v>421.18330798841453</v>
      </c>
      <c r="F16" s="21">
        <f t="shared" ca="1" si="1"/>
        <v>4775.1838099594142</v>
      </c>
      <c r="G16" s="21">
        <f t="shared" si="1"/>
        <v>0</v>
      </c>
      <c r="H16" s="21">
        <f t="shared" si="1"/>
        <v>0</v>
      </c>
      <c r="I16" s="21">
        <f t="shared" si="1"/>
        <v>0</v>
      </c>
      <c r="J16" s="21">
        <f t="shared" si="1"/>
        <v>0</v>
      </c>
      <c r="K16" s="21">
        <f t="shared" si="1"/>
        <v>0</v>
      </c>
      <c r="L16" s="21">
        <f t="shared" ca="1" si="1"/>
        <v>0</v>
      </c>
      <c r="M16" s="21">
        <f t="shared" si="1"/>
        <v>0</v>
      </c>
      <c r="N16" s="21">
        <f t="shared" ca="1" si="1"/>
        <v>0</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0.1946164759480179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4404.9598995504493</v>
      </c>
      <c r="C20" s="23">
        <f t="shared" ref="C20:P20" ca="1" si="2">C16*C18</f>
        <v>0</v>
      </c>
      <c r="D20" s="23">
        <f t="shared" ca="1" si="2"/>
        <v>4709.0075938071241</v>
      </c>
      <c r="E20" s="23">
        <f t="shared" si="2"/>
        <v>95.6086109133701</v>
      </c>
      <c r="F20" s="23">
        <f t="shared" ca="1" si="2"/>
        <v>1274.9740772591638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3020.4167072181399</v>
      </c>
      <c r="C26" s="39">
        <f>IF(ISERROR(B26*3.6/1000000/'E Balans VL '!Z12*100),0,B26*3.6/1000000/'E Balans VL '!Z12*100)</f>
        <v>6.4155146981257113E-2</v>
      </c>
      <c r="D26" s="235" t="s">
        <v>672</v>
      </c>
      <c r="F26" s="6"/>
    </row>
    <row r="27" spans="1:18">
      <c r="A27" s="230" t="s">
        <v>52</v>
      </c>
      <c r="B27" s="33">
        <f>IF(ISERROR(TER_horeca_ele_kWh/1000),0,TER_horeca_ele_kWh/1000)</f>
        <v>4776.9676952381196</v>
      </c>
      <c r="C27" s="39">
        <f>IF(ISERROR(B27*3.6/1000000/'E Balans VL '!Z9*100),0,B27*3.6/1000000/'E Balans VL '!Z9*100)</f>
        <v>0.37143833041204427</v>
      </c>
      <c r="D27" s="235" t="s">
        <v>672</v>
      </c>
      <c r="F27" s="6"/>
    </row>
    <row r="28" spans="1:18">
      <c r="A28" s="170" t="s">
        <v>51</v>
      </c>
      <c r="B28" s="33">
        <f>IF(ISERROR(TER_handel_ele_kWh/1000),0,TER_handel_ele_kWh/1000)</f>
        <v>4473.65863637851</v>
      </c>
      <c r="C28" s="39">
        <f>IF(ISERROR(B28*3.6/1000000/'E Balans VL '!Z13*100),0,B28*3.6/1000000/'E Balans VL '!Z13*100)</f>
        <v>0.12799663855632251</v>
      </c>
      <c r="D28" s="235" t="s">
        <v>672</v>
      </c>
      <c r="F28" s="6"/>
    </row>
    <row r="29" spans="1:18">
      <c r="A29" s="230" t="s">
        <v>50</v>
      </c>
      <c r="B29" s="33">
        <f>IF(ISERROR(TER_gezond_ele_kWh/1000),0,TER_gezond_ele_kWh/1000)</f>
        <v>424.50037434644395</v>
      </c>
      <c r="C29" s="39">
        <f>IF(ISERROR(B29*3.6/1000000/'E Balans VL '!Z10*100),0,B29*3.6/1000000/'E Balans VL '!Z10*100)</f>
        <v>4.6280405009430009E-2</v>
      </c>
      <c r="D29" s="235" t="s">
        <v>672</v>
      </c>
      <c r="F29" s="6"/>
    </row>
    <row r="30" spans="1:18">
      <c r="A30" s="230" t="s">
        <v>49</v>
      </c>
      <c r="B30" s="33">
        <f>IF(ISERROR(TER_ander_ele_kWh/1000),0,TER_ander_ele_kWh/1000)</f>
        <v>3506.3349699344403</v>
      </c>
      <c r="C30" s="39">
        <f>IF(ISERROR(B30*3.6/1000000/'E Balans VL '!Z14*100),0,B30*3.6/1000000/'E Balans VL '!Z14*100)</f>
        <v>0.25658563916747457</v>
      </c>
      <c r="D30" s="235" t="s">
        <v>672</v>
      </c>
      <c r="F30" s="6"/>
    </row>
    <row r="31" spans="1:18">
      <c r="A31" s="230" t="s">
        <v>54</v>
      </c>
      <c r="B31" s="33">
        <f>IF(ISERROR(TER_onderwijs_ele_kWh/1000),0,TER_onderwijs_ele_kWh/1000)</f>
        <v>218.90340095694401</v>
      </c>
      <c r="C31" s="39">
        <f>IF(ISERROR(B31*3.6/1000000/'E Balans VL '!Z11*100),0,B31*3.6/1000000/'E Balans VL '!Z11*100)</f>
        <v>4.396691063538536E-2</v>
      </c>
      <c r="D31" s="235" t="s">
        <v>672</v>
      </c>
    </row>
    <row r="32" spans="1:18">
      <c r="A32" s="230" t="s">
        <v>249</v>
      </c>
      <c r="B32" s="33">
        <f>IF(ISERROR(TER_rest_ele_kWh/1000),0,TER_rest_ele_kWh/1000)</f>
        <v>4872.2725943810301</v>
      </c>
      <c r="C32" s="39">
        <f>IF(ISERROR(B32*3.6/1000000/'E Balans VL '!Z8*100),0,B32*3.6/1000000/'E Balans VL '!Z8*100)</f>
        <v>3.970606481220211E-2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5</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12031.36554821428</v>
      </c>
      <c r="C5" s="17">
        <f>IF(ISERROR('Eigen informatie GS &amp; warmtenet'!B59),0,'Eigen informatie GS &amp; warmtenet'!B59)</f>
        <v>0</v>
      </c>
      <c r="D5" s="30">
        <f>SUM(D6:D15)</f>
        <v>3925.726720814469</v>
      </c>
      <c r="E5" s="17">
        <f>SUM(E6:E15)</f>
        <v>1222.0521349869225</v>
      </c>
      <c r="F5" s="17">
        <f>SUM(F6:F15)</f>
        <v>16197.131734559631</v>
      </c>
      <c r="G5" s="18"/>
      <c r="H5" s="17"/>
      <c r="I5" s="17"/>
      <c r="J5" s="17">
        <f>SUM(J6:J15)</f>
        <v>0.88499742149950333</v>
      </c>
      <c r="K5" s="17"/>
      <c r="L5" s="17"/>
      <c r="M5" s="17"/>
      <c r="N5" s="17">
        <f>SUM(N6:N15)</f>
        <v>3141.6621905740794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83.669528309911001</v>
      </c>
      <c r="C8" s="33"/>
      <c r="D8" s="37">
        <f>IF( ISERROR(IND_metaal_Gas_kWH/1000),0,IND_metaal_Gas_kWH/1000)*0.902</f>
        <v>0</v>
      </c>
      <c r="E8" s="33">
        <f>C30*'E Balans VL '!I18/100/3.6*1000000</f>
        <v>2.4033029099418748</v>
      </c>
      <c r="F8" s="33">
        <f>C30*'E Balans VL '!L18/100/3.6*1000000+C30*'E Balans VL '!N18/100/3.6*1000000</f>
        <v>21.459624815203107</v>
      </c>
      <c r="G8" s="34"/>
      <c r="H8" s="33"/>
      <c r="I8" s="33"/>
      <c r="J8" s="40">
        <f>C30*'E Balans VL '!D18/100/3.6*1000000+C30*'E Balans VL '!E18/100/3.6*1000000</f>
        <v>0</v>
      </c>
      <c r="K8" s="33"/>
      <c r="L8" s="33"/>
      <c r="M8" s="33"/>
      <c r="N8" s="33">
        <f>C30*'E Balans VL '!Y18/100/3.6*1000000</f>
        <v>2.2717984873190273</v>
      </c>
      <c r="O8" s="33"/>
      <c r="P8" s="33"/>
      <c r="R8" s="32"/>
    </row>
    <row r="9" spans="1:18">
      <c r="A9" s="6" t="s">
        <v>32</v>
      </c>
      <c r="B9" s="37">
        <f t="shared" si="0"/>
        <v>1373.16558094832</v>
      </c>
      <c r="C9" s="33"/>
      <c r="D9" s="37">
        <f>IF( ISERROR(IND_andere_gas_kWh/1000),0,IND_andere_gas_kWh/1000)*0.902</f>
        <v>1492.770843485803</v>
      </c>
      <c r="E9" s="33">
        <f>C31*'E Balans VL '!I19/100/3.6*1000000</f>
        <v>371.68216068503273</v>
      </c>
      <c r="F9" s="33">
        <f>C31*'E Balans VL '!L19/100/3.6*1000000+C31*'E Balans VL '!N19/100/3.6*1000000</f>
        <v>914.67358818415369</v>
      </c>
      <c r="G9" s="34"/>
      <c r="H9" s="33"/>
      <c r="I9" s="33"/>
      <c r="J9" s="40">
        <f>C31*'E Balans VL '!D19/100/3.6*1000000+C31*'E Balans VL '!E19/100/3.6*1000000</f>
        <v>0</v>
      </c>
      <c r="K9" s="33"/>
      <c r="L9" s="33"/>
      <c r="M9" s="33"/>
      <c r="N9" s="33">
        <f>C31*'E Balans VL '!Y19/100/3.6*1000000</f>
        <v>116.0920536859342</v>
      </c>
      <c r="O9" s="33"/>
      <c r="P9" s="33"/>
      <c r="R9" s="32"/>
    </row>
    <row r="10" spans="1:18">
      <c r="A10" s="6" t="s">
        <v>40</v>
      </c>
      <c r="B10" s="37">
        <f t="shared" si="0"/>
        <v>10183.730458756299</v>
      </c>
      <c r="C10" s="33"/>
      <c r="D10" s="37">
        <f>IF( ISERROR(IND_voed_gas_kWh/1000),0,IND_voed_gas_kWh/1000)*0.902</f>
        <v>1548.2073497130839</v>
      </c>
      <c r="E10" s="33">
        <f>C32*'E Balans VL '!I20/100/3.6*1000000</f>
        <v>830.60845272808376</v>
      </c>
      <c r="F10" s="33">
        <f>C32*'E Balans VL '!L20/100/3.6*1000000+C32*'E Balans VL '!N20/100/3.6*1000000</f>
        <v>15184.866062990461</v>
      </c>
      <c r="G10" s="34"/>
      <c r="H10" s="33"/>
      <c r="I10" s="33"/>
      <c r="J10" s="40">
        <f>C32*'E Balans VL '!D20/100/3.6*1000000+C32*'E Balans VL '!E20/100/3.6*1000000</f>
        <v>0.13471839257885698</v>
      </c>
      <c r="K10" s="33"/>
      <c r="L10" s="33"/>
      <c r="M10" s="33"/>
      <c r="N10" s="33">
        <f>C32*'E Balans VL '!Y20/100/3.6*1000000</f>
        <v>2991.6206636821244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98.072465415793189</v>
      </c>
      <c r="C13" s="33"/>
      <c r="D13" s="37">
        <f>IF( ISERROR(IND_papier_gas_kWh/1000),0,IND_papier_gas_kWh/1000)*0.902</f>
        <v>0</v>
      </c>
      <c r="E13" s="33">
        <f>C35*'E Balans VL '!I23/100/3.6*1000000</f>
        <v>1.0274877414579495</v>
      </c>
      <c r="F13" s="33">
        <f>C35*'E Balans VL '!L23/100/3.6*1000000+C35*'E Balans VL '!N23/100/3.6*1000000</f>
        <v>7.3181847522819297</v>
      </c>
      <c r="G13" s="34"/>
      <c r="H13" s="33"/>
      <c r="I13" s="33"/>
      <c r="J13" s="40">
        <f>C35*'E Balans VL '!D23/100/3.6*1000000+C35*'E Balans VL '!E23/100/3.6*1000000</f>
        <v>0</v>
      </c>
      <c r="K13" s="33"/>
      <c r="L13" s="33"/>
      <c r="M13" s="33"/>
      <c r="N13" s="33">
        <f>C35*'E Balans VL '!Y23/100/3.6*1000000</f>
        <v>18.092249299148918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292.72751478395696</v>
      </c>
      <c r="C15" s="33"/>
      <c r="D15" s="37">
        <f>IF( ISERROR(IND_rest_gas_kWh/1000),0,IND_rest_gas_kWh/1000)*0.902</f>
        <v>884.74852761558213</v>
      </c>
      <c r="E15" s="33">
        <f>C37*'E Balans VL '!I15/100/3.6*1000000</f>
        <v>16.330730922406325</v>
      </c>
      <c r="F15" s="33">
        <f>C37*'E Balans VL '!L15/100/3.6*1000000+C37*'E Balans VL '!N15/100/3.6*1000000</f>
        <v>68.81427381752988</v>
      </c>
      <c r="G15" s="34"/>
      <c r="H15" s="33"/>
      <c r="I15" s="33"/>
      <c r="J15" s="40">
        <f>C37*'E Balans VL '!D15/100/3.6*1000000+C37*'E Balans VL '!E15/100/3.6*1000000</f>
        <v>0.75027902892064635</v>
      </c>
      <c r="K15" s="33"/>
      <c r="L15" s="33"/>
      <c r="M15" s="33"/>
      <c r="N15" s="33">
        <f>C37*'E Balans VL '!Y15/100/3.6*1000000</f>
        <v>13.585425419552923</v>
      </c>
      <c r="O15" s="33"/>
      <c r="P15" s="33"/>
      <c r="R15" s="32"/>
    </row>
    <row r="16" spans="1:18">
      <c r="A16" s="16" t="s">
        <v>484</v>
      </c>
      <c r="B16" s="245">
        <f>'lokale energieproductie'!N38+'lokale energieproductie'!N31</f>
        <v>0</v>
      </c>
      <c r="C16" s="245">
        <f>'lokale energieproductie'!O38+'lokale energieproductie'!O31</f>
        <v>0</v>
      </c>
      <c r="D16" s="305">
        <f>('lokale energieproductie'!P31+'lokale energieproductie'!P38)*(-1)</f>
        <v>0</v>
      </c>
      <c r="E16" s="246"/>
      <c r="F16" s="305">
        <f>('lokale energieproductie'!S31+'lokale energieproductie'!S38)*(-1)</f>
        <v>0</v>
      </c>
      <c r="G16" s="247"/>
      <c r="H16" s="246"/>
      <c r="I16" s="246"/>
      <c r="J16" s="246"/>
      <c r="K16" s="246"/>
      <c r="L16" s="305">
        <f>('lokale energieproductie'!T31+'lokale energieproductie'!U31+'lokale energieproductie'!T38+'lokale energieproductie'!U38)*(-1)</f>
        <v>0</v>
      </c>
      <c r="M16" s="246"/>
      <c r="N16" s="305">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12031.36554821428</v>
      </c>
      <c r="C18" s="21">
        <f>C5+C16</f>
        <v>0</v>
      </c>
      <c r="D18" s="21">
        <f>MAX((D5+D16),0)</f>
        <v>3925.726720814469</v>
      </c>
      <c r="E18" s="21">
        <f>MAX((E5+E16),0)</f>
        <v>1222.0521349869225</v>
      </c>
      <c r="F18" s="21">
        <f>MAX((F5+F16),0)</f>
        <v>16197.131734559631</v>
      </c>
      <c r="G18" s="21"/>
      <c r="H18" s="21"/>
      <c r="I18" s="21"/>
      <c r="J18" s="21">
        <f>MAX((J5+J16),0)</f>
        <v>0.88499742149950333</v>
      </c>
      <c r="K18" s="21"/>
      <c r="L18" s="21">
        <f>MAX((L5+L16),0)</f>
        <v>0</v>
      </c>
      <c r="M18" s="21"/>
      <c r="N18" s="21">
        <f>MAX((N5+N16),0)</f>
        <v>3141.6621905740794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0.1946164759480179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2341.5019638358558</v>
      </c>
      <c r="C22" s="23">
        <f ca="1">C18*C20</f>
        <v>0</v>
      </c>
      <c r="D22" s="23">
        <f>D18*D20</f>
        <v>792.99679760452284</v>
      </c>
      <c r="E22" s="23">
        <f>E18*E20</f>
        <v>277.40583464203144</v>
      </c>
      <c r="F22" s="23">
        <f>F18*F20</f>
        <v>4324.6341731274215</v>
      </c>
      <c r="G22" s="23"/>
      <c r="H22" s="23"/>
      <c r="I22" s="23"/>
      <c r="J22" s="23">
        <f>J18*J20</f>
        <v>0.31328908721082416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83.669528309911001</v>
      </c>
      <c r="C30" s="39">
        <f>IF(ISERROR(B30*3.6/1000000/'E Balans VL '!Z18*100),0,B30*3.6/1000000/'E Balans VL '!Z18*100)</f>
        <v>8.2328680001416809E-3</v>
      </c>
      <c r="D30" s="235" t="s">
        <v>672</v>
      </c>
    </row>
    <row r="31" spans="1:18">
      <c r="A31" s="6" t="s">
        <v>32</v>
      </c>
      <c r="B31" s="37">
        <f>IF( ISERROR(IND_ander_ele_kWh/1000),0,IND_ander_ele_kWh/1000)</f>
        <v>1373.16558094832</v>
      </c>
      <c r="C31" s="39">
        <f>IF(ISERROR(B31*3.6/1000000/'E Balans VL '!Z19*100),0,B31*3.6/1000000/'E Balans VL '!Z19*100)</f>
        <v>5.9800265686905461E-2</v>
      </c>
      <c r="D31" s="235" t="s">
        <v>672</v>
      </c>
    </row>
    <row r="32" spans="1:18">
      <c r="A32" s="170" t="s">
        <v>40</v>
      </c>
      <c r="B32" s="37">
        <f>IF( ISERROR(IND_voed_ele_kWh/1000),0,IND_voed_ele_kWh/1000)</f>
        <v>10183.730458756299</v>
      </c>
      <c r="C32" s="39">
        <f>IF(ISERROR(B32*3.6/1000000/'E Balans VL '!Z20*100),0,B32*3.6/1000000/'E Balans VL '!Z20*100)</f>
        <v>1.9322159891787494</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98.072465415793189</v>
      </c>
      <c r="C35" s="39">
        <f>IF(ISERROR(B35*3.6/1000000/'E Balans VL '!Z22*100),0,B35*3.6/1000000/'E Balans VL '!Z22*100)</f>
        <v>1.378997345046197E-2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292.72751478395696</v>
      </c>
      <c r="C37" s="39">
        <f>IF(ISERROR(B37*3.6/1000000/'E Balans VL '!Z15*100),0,B37*3.6/1000000/'E Balans VL '!Z15*100)</f>
        <v>2.2558250449107226E-3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3984.1690697685917</v>
      </c>
      <c r="C5" s="17">
        <f>'Eigen informatie GS &amp; warmtenet'!B60</f>
        <v>0</v>
      </c>
      <c r="D5" s="30">
        <f>IF(ISERROR(SUM(LB_lb_gas_kWh,LB_rest_gas_kWh)/1000),0,SUM(LB_lb_gas_kWh,LB_rest_gas_kWh)/1000)*0.902</f>
        <v>133.47420308622043</v>
      </c>
      <c r="E5" s="17">
        <f>B17*'E Balans VL '!I25/3.6*1000000/100</f>
        <v>50.205662932420147</v>
      </c>
      <c r="F5" s="17">
        <f>B17*('E Balans VL '!L25/3.6*1000000+'E Balans VL '!N25/3.6*1000000)/100</f>
        <v>13746.38138469218</v>
      </c>
      <c r="G5" s="18"/>
      <c r="H5" s="17"/>
      <c r="I5" s="17"/>
      <c r="J5" s="17">
        <f>('E Balans VL '!D25+'E Balans VL '!E25)/3.6*1000000*landbouw!B17/100</f>
        <v>599.17373765765933</v>
      </c>
      <c r="K5" s="17"/>
      <c r="L5" s="17">
        <f>L6*(-1)</f>
        <v>0</v>
      </c>
      <c r="M5" s="17"/>
      <c r="N5" s="17">
        <f>N6*(-1)</f>
        <v>40.392857142857139</v>
      </c>
      <c r="O5" s="17"/>
      <c r="P5" s="17"/>
      <c r="R5" s="32"/>
    </row>
    <row r="6" spans="1:18">
      <c r="A6" s="16" t="s">
        <v>484</v>
      </c>
      <c r="B6" s="17" t="s">
        <v>204</v>
      </c>
      <c r="C6" s="17">
        <f>'lokale energieproductie'!O40+'lokale energieproductie'!O33</f>
        <v>27.696428571428569</v>
      </c>
      <c r="D6" s="305">
        <f>('lokale energieproductie'!P33+'lokale energieproductie'!P40)*(-1)</f>
        <v>0</v>
      </c>
      <c r="E6" s="246"/>
      <c r="F6" s="305">
        <f>('lokale energieproductie'!S33+'lokale energieproductie'!S40)*(-1)</f>
        <v>0</v>
      </c>
      <c r="G6" s="247"/>
      <c r="H6" s="246"/>
      <c r="I6" s="246"/>
      <c r="J6" s="246"/>
      <c r="K6" s="246"/>
      <c r="L6" s="305">
        <f>('lokale energieproductie'!T33+'lokale energieproductie'!U33+'lokale energieproductie'!T40+'lokale energieproductie'!U40)*(-1)</f>
        <v>0</v>
      </c>
      <c r="M6" s="246"/>
      <c r="N6" s="1016">
        <f>('lokale energieproductie'!V33+'lokale energieproductie'!R33+'lokale energieproductie'!Q33+'lokale energieproductie'!Q40+'lokale energieproductie'!R40+'lokale energieproductie'!V40)*(-1)</f>
        <v>-40.392857142857139</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3984.1690697685917</v>
      </c>
      <c r="C8" s="21">
        <f>C5+C6</f>
        <v>27.696428571428569</v>
      </c>
      <c r="D8" s="21">
        <f>MAX((D5+D6),0)</f>
        <v>133.47420308622043</v>
      </c>
      <c r="E8" s="21">
        <f>MAX((E5+E6),0)</f>
        <v>50.205662932420147</v>
      </c>
      <c r="F8" s="21">
        <f>MAX((F5+F6),0)</f>
        <v>13746.38138469218</v>
      </c>
      <c r="G8" s="21"/>
      <c r="H8" s="21"/>
      <c r="I8" s="21"/>
      <c r="J8" s="21">
        <f>MAX((J5+J6),0)</f>
        <v>599.17373765765933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0.1946164759480179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775.38494393945598</v>
      </c>
      <c r="C12" s="23">
        <f ca="1">C8*C10</f>
        <v>0</v>
      </c>
      <c r="D12" s="23">
        <f>D8*D10</f>
        <v>26.961789023416529</v>
      </c>
      <c r="E12" s="23">
        <f>E8*E10</f>
        <v>11.396685485659374</v>
      </c>
      <c r="F12" s="23">
        <f>F8*F10</f>
        <v>3670.2838297128123</v>
      </c>
      <c r="G12" s="23"/>
      <c r="H12" s="23"/>
      <c r="I12" s="23"/>
      <c r="J12" s="23">
        <f>J8*J10</f>
        <v>212.10750313081138</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0.55566601151272932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577.50018419696107</v>
      </c>
      <c r="C26" s="245">
        <f>B26*'GWP N2O_CH4'!B5</f>
        <v>12127.503868136182</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330.13321277789049</v>
      </c>
      <c r="C27" s="245">
        <f>B27*'GWP N2O_CH4'!B5</f>
        <v>6932.7974683357006</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19.994100359881248</v>
      </c>
      <c r="C28" s="245">
        <f>B28*'GWP N2O_CH4'!B4</f>
        <v>6198.171111563187</v>
      </c>
      <c r="D28" s="50"/>
    </row>
    <row r="29" spans="1:4">
      <c r="A29" s="41" t="s">
        <v>266</v>
      </c>
      <c r="B29" s="245">
        <f>B34*'ha_N2O bodem landbouw'!B4</f>
        <v>18.042614567550142</v>
      </c>
      <c r="C29" s="245">
        <f>B29*'GWP N2O_CH4'!B4</f>
        <v>5593.2105159405437</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4.5050605706806676E-3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3.1549238555070987E-5</v>
      </c>
      <c r="C5" s="434" t="s">
        <v>204</v>
      </c>
      <c r="D5" s="419">
        <f>SUM(D6:D11)</f>
        <v>3.0607520034971269E-5</v>
      </c>
      <c r="E5" s="419">
        <f>SUM(E6:E11)</f>
        <v>1.087955287375647E-3</v>
      </c>
      <c r="F5" s="432" t="s">
        <v>204</v>
      </c>
      <c r="G5" s="419">
        <f>SUM(G6:G11)</f>
        <v>0.27875145761283993</v>
      </c>
      <c r="H5" s="419">
        <f>SUM(H6:H11)</f>
        <v>5.2392692325617128E-2</v>
      </c>
      <c r="I5" s="434" t="s">
        <v>204</v>
      </c>
      <c r="J5" s="434" t="s">
        <v>204</v>
      </c>
      <c r="K5" s="434" t="s">
        <v>204</v>
      </c>
      <c r="L5" s="434" t="s">
        <v>204</v>
      </c>
      <c r="M5" s="419">
        <f>SUM(M6:M11)</f>
        <v>1.4974226314314469E-2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2.5521393211295621E-5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2.2736532758017363E-5</v>
      </c>
      <c r="E6" s="873">
        <f>vkm_GW_PW*SUMIFS(TableVerdeelsleutelVkm[LPG],TableVerdeelsleutelVkm[Voertuigtype],"Lichte voertuigen")*SUMIFS(TableECFTransport[EnergieConsumptieFactor (PJ per km)],TableECFTransport[Index],CONCATENATE($A6,"_LPG_LPG"))</f>
        <v>8.183408633284302E-4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0.16039922688771183</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3.9323214411910994E-2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9.0347573271473674E-3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3.7274405155745072E-7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5.8329221006168858E-2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1.3295989432196302E-6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2.6336542038312293E-3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5.6034517323046088E-6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7.8709872769539045E-6</v>
      </c>
      <c r="E8" s="422">
        <f>vkm_NGW_PW*SUMIFS(TableVerdeelsleutelVkm[LPG],TableVerdeelsleutelVkm[Voertuigtype],"Lichte voertuigen")*SUMIFS(TableECFTransport[EnergieConsumptieFactor (PJ per km)],TableECFTransport[Index],CONCATENATE($A8,"_LPG_LPG"))</f>
        <v>2.6961442404721683E-4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4.9640983269995519E-2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1.3067925936152854E-2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2.8370509430790608E-3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5.1649559913304882E-8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1.0382026448963749E-2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2.223786100600527E-7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4.6876384025681147E-4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8.7636773764086069</v>
      </c>
      <c r="C14" s="21"/>
      <c r="D14" s="21">
        <f t="shared" ref="D14:M14" si="0">((D5)*10^9/3600)+D12</f>
        <v>8.5020888986031302</v>
      </c>
      <c r="E14" s="21">
        <f t="shared" si="0"/>
        <v>302.20980204879078</v>
      </c>
      <c r="F14" s="21"/>
      <c r="G14" s="21">
        <f t="shared" si="0"/>
        <v>77430.960448011087</v>
      </c>
      <c r="H14" s="21">
        <f t="shared" si="0"/>
        <v>14553.525646004757</v>
      </c>
      <c r="I14" s="21"/>
      <c r="J14" s="21"/>
      <c r="K14" s="21"/>
      <c r="L14" s="21"/>
      <c r="M14" s="21">
        <f t="shared" si="0"/>
        <v>4159.5073095317966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0.1946164759480179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1.7055560073420142</v>
      </c>
      <c r="C18" s="23"/>
      <c r="D18" s="23">
        <f t="shared" ref="D18:M18" si="1">D14*D16</f>
        <v>1.7174219575178324</v>
      </c>
      <c r="E18" s="23">
        <f t="shared" si="1"/>
        <v>68.60162506507551</v>
      </c>
      <c r="F18" s="23"/>
      <c r="G18" s="23">
        <f t="shared" si="1"/>
        <v>20674.06643961896</v>
      </c>
      <c r="H18" s="23">
        <f t="shared" si="1"/>
        <v>3623.8278858551844</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2.6630573000448692E-5</v>
      </c>
      <c r="C50" s="316">
        <f t="shared" ref="C50:P50" si="2">SUM(C51:C52)</f>
        <v>0</v>
      </c>
      <c r="D50" s="316">
        <f t="shared" si="2"/>
        <v>0</v>
      </c>
      <c r="E50" s="316">
        <f t="shared" si="2"/>
        <v>0</v>
      </c>
      <c r="F50" s="316">
        <f t="shared" si="2"/>
        <v>0</v>
      </c>
      <c r="G50" s="316">
        <f t="shared" si="2"/>
        <v>5.1834902227851096E-3</v>
      </c>
      <c r="H50" s="316">
        <f t="shared" si="2"/>
        <v>0</v>
      </c>
      <c r="I50" s="316">
        <f t="shared" si="2"/>
        <v>0</v>
      </c>
      <c r="J50" s="316">
        <f t="shared" si="2"/>
        <v>0</v>
      </c>
      <c r="K50" s="316">
        <f t="shared" si="2"/>
        <v>0</v>
      </c>
      <c r="L50" s="316">
        <f t="shared" si="2"/>
        <v>0</v>
      </c>
      <c r="M50" s="316">
        <f t="shared" si="2"/>
        <v>2.3243205701726111E-4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2.6630573000448692E-5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5.1834902227851096E-3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2.3243205701726111E-4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7.3973813890135247</v>
      </c>
      <c r="C54" s="21">
        <f t="shared" ref="C54:P54" si="3">(C50)*10^9/3600</f>
        <v>0</v>
      </c>
      <c r="D54" s="21">
        <f t="shared" si="3"/>
        <v>0</v>
      </c>
      <c r="E54" s="21">
        <f t="shared" si="3"/>
        <v>0</v>
      </c>
      <c r="F54" s="21">
        <f t="shared" si="3"/>
        <v>0</v>
      </c>
      <c r="G54" s="21">
        <f t="shared" si="3"/>
        <v>1439.8583952180861</v>
      </c>
      <c r="H54" s="21">
        <f t="shared" si="3"/>
        <v>0</v>
      </c>
      <c r="I54" s="21">
        <f t="shared" si="3"/>
        <v>0</v>
      </c>
      <c r="J54" s="21">
        <f t="shared" si="3"/>
        <v>0</v>
      </c>
      <c r="K54" s="21">
        <f t="shared" si="3"/>
        <v>0</v>
      </c>
      <c r="L54" s="21">
        <f t="shared" si="3"/>
        <v>0</v>
      </c>
      <c r="M54" s="21">
        <f t="shared" si="3"/>
        <v>64.564460282572526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0.1946164759480179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1.4396522971732659</v>
      </c>
      <c r="C58" s="23">
        <f t="shared" ref="C58:P58" ca="1" si="4">C54*C56</f>
        <v>0</v>
      </c>
      <c r="D58" s="23">
        <f t="shared" si="4"/>
        <v>0</v>
      </c>
      <c r="E58" s="23">
        <f t="shared" si="4"/>
        <v>0</v>
      </c>
      <c r="F58" s="23">
        <f t="shared" si="4"/>
        <v>0</v>
      </c>
      <c r="G58" s="23">
        <f t="shared" si="4"/>
        <v>384.44219152322904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1214.5020050000001</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6308.152242069832</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N30</f>
        <v>8.1374999999999993</v>
      </c>
      <c r="C8" s="546">
        <f>B49</f>
        <v>0</v>
      </c>
      <c r="D8" s="1001"/>
      <c r="E8" s="1001">
        <f>E49</f>
        <v>0</v>
      </c>
      <c r="F8" s="1002"/>
      <c r="G8" s="547"/>
      <c r="H8" s="1001">
        <f>I49</f>
        <v>0</v>
      </c>
      <c r="I8" s="1001">
        <f>G49+F49</f>
        <v>0</v>
      </c>
      <c r="J8" s="1001">
        <f>H49+D49+C49</f>
        <v>9.1727836746897875</v>
      </c>
      <c r="K8" s="1001"/>
      <c r="L8" s="1001"/>
      <c r="M8" s="1001"/>
      <c r="N8" s="548"/>
      <c r="O8" s="549">
        <f>C8*$C$12+D8*$D$12+E8*$E$12+F8*$F$12+G8*$G$12+H8*$H$12+I8*$I$12+J8*$J$12</f>
        <v>0</v>
      </c>
      <c r="P8" s="1244"/>
      <c r="Q8" s="1245"/>
      <c r="S8" s="1013"/>
      <c r="T8" s="1265"/>
      <c r="U8" s="1265"/>
    </row>
    <row r="9" spans="1:21" s="534" customFormat="1" ht="17.45" customHeight="1" thickBot="1">
      <c r="A9" s="550" t="s">
        <v>237</v>
      </c>
      <c r="B9" s="551">
        <f>N37+'Eigen informatie GS &amp; warmtenet'!B12</f>
        <v>1341</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8871.7917470698321</v>
      </c>
      <c r="C10" s="559">
        <f t="shared" ref="C10:L10" si="0">SUM(C8:C9)</f>
        <v>0</v>
      </c>
      <c r="D10" s="559">
        <f t="shared" si="0"/>
        <v>0</v>
      </c>
      <c r="E10" s="559">
        <f t="shared" si="0"/>
        <v>0</v>
      </c>
      <c r="F10" s="559">
        <f t="shared" si="0"/>
        <v>0</v>
      </c>
      <c r="G10" s="559">
        <f t="shared" si="0"/>
        <v>0</v>
      </c>
      <c r="H10" s="559">
        <f t="shared" si="0"/>
        <v>0</v>
      </c>
      <c r="I10" s="559">
        <f t="shared" si="0"/>
        <v>0</v>
      </c>
      <c r="J10" s="559">
        <f t="shared" si="0"/>
        <v>3840.6013551032615</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O30</f>
        <v>27.696428571428569</v>
      </c>
      <c r="C17" s="571">
        <f>B50</f>
        <v>0</v>
      </c>
      <c r="D17" s="572"/>
      <c r="E17" s="572">
        <f>E50</f>
        <v>0</v>
      </c>
      <c r="F17" s="1007"/>
      <c r="G17" s="573"/>
      <c r="H17" s="571">
        <f>I50</f>
        <v>0</v>
      </c>
      <c r="I17" s="572">
        <f>G50+F50</f>
        <v>0</v>
      </c>
      <c r="J17" s="572">
        <f>H50+D50+C50</f>
        <v>31.22007346816735</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27.696428571428569</v>
      </c>
      <c r="C20" s="558">
        <f>SUM(C17:C19)</f>
        <v>0</v>
      </c>
      <c r="D20" s="558">
        <f t="shared" ref="D20:L20" si="1">SUM(D17:D19)</f>
        <v>0</v>
      </c>
      <c r="E20" s="558">
        <f t="shared" si="1"/>
        <v>0</v>
      </c>
      <c r="F20" s="558">
        <f t="shared" si="1"/>
        <v>0</v>
      </c>
      <c r="G20" s="558">
        <f t="shared" si="1"/>
        <v>0</v>
      </c>
      <c r="H20" s="558">
        <f t="shared" si="1"/>
        <v>0</v>
      </c>
      <c r="I20" s="558">
        <f t="shared" si="1"/>
        <v>0</v>
      </c>
      <c r="J20" s="558">
        <f t="shared" si="1"/>
        <v>31.22007346816735</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v>13017</v>
      </c>
      <c r="C28" s="777">
        <v>2460</v>
      </c>
      <c r="D28" s="630"/>
      <c r="E28" s="629"/>
      <c r="F28" s="629"/>
      <c r="G28" s="629" t="s">
        <v>926</v>
      </c>
      <c r="H28" s="629" t="s">
        <v>926</v>
      </c>
      <c r="I28" s="629"/>
      <c r="J28" s="776"/>
      <c r="K28" s="776"/>
      <c r="L28" s="629" t="s">
        <v>927</v>
      </c>
      <c r="M28" s="629">
        <v>1</v>
      </c>
      <c r="N28" s="629">
        <v>4.5</v>
      </c>
      <c r="O28" s="629">
        <v>22.5</v>
      </c>
      <c r="P28" s="629">
        <v>0</v>
      </c>
      <c r="Q28" s="629">
        <v>0</v>
      </c>
      <c r="R28" s="629">
        <v>0</v>
      </c>
      <c r="S28" s="629">
        <v>0</v>
      </c>
      <c r="T28" s="629">
        <v>0</v>
      </c>
      <c r="U28" s="629">
        <v>0</v>
      </c>
      <c r="V28" s="629">
        <v>30</v>
      </c>
      <c r="W28" s="629">
        <v>0</v>
      </c>
      <c r="X28" s="629">
        <v>10</v>
      </c>
      <c r="Y28" s="629" t="s">
        <v>105</v>
      </c>
      <c r="Z28" s="631" t="s">
        <v>105</v>
      </c>
    </row>
    <row r="29" spans="1:26" s="583" customFormat="1" ht="25.5" hidden="1">
      <c r="A29" s="582"/>
      <c r="B29" s="777">
        <v>13017</v>
      </c>
      <c r="C29" s="777">
        <v>2460</v>
      </c>
      <c r="D29" s="630"/>
      <c r="E29" s="629"/>
      <c r="F29" s="629"/>
      <c r="G29" s="629" t="s">
        <v>928</v>
      </c>
      <c r="H29" s="629" t="s">
        <v>929</v>
      </c>
      <c r="I29" s="629"/>
      <c r="J29" s="776"/>
      <c r="K29" s="776"/>
      <c r="L29" s="629" t="s">
        <v>927</v>
      </c>
      <c r="M29" s="629">
        <v>9.6999999999999993</v>
      </c>
      <c r="N29" s="629">
        <v>3.6374999999999993</v>
      </c>
      <c r="O29" s="629">
        <v>5.1964285714285703</v>
      </c>
      <c r="P29" s="629">
        <v>0</v>
      </c>
      <c r="Q29" s="629">
        <v>10.392857142857142</v>
      </c>
      <c r="R29" s="629">
        <v>0</v>
      </c>
      <c r="S29" s="629">
        <v>0</v>
      </c>
      <c r="T29" s="629">
        <v>0</v>
      </c>
      <c r="U29" s="629">
        <v>0</v>
      </c>
      <c r="V29" s="629">
        <v>0</v>
      </c>
      <c r="W29" s="629">
        <v>0</v>
      </c>
      <c r="X29" s="629">
        <v>10</v>
      </c>
      <c r="Y29" s="629" t="s">
        <v>105</v>
      </c>
      <c r="Z29" s="631" t="s">
        <v>105</v>
      </c>
    </row>
    <row r="30" spans="1:26" s="566" customFormat="1" hidden="1">
      <c r="A30" s="585" t="s">
        <v>269</v>
      </c>
      <c r="B30" s="586"/>
      <c r="C30" s="586"/>
      <c r="D30" s="586"/>
      <c r="E30" s="586"/>
      <c r="F30" s="586"/>
      <c r="G30" s="586"/>
      <c r="H30" s="586"/>
      <c r="I30" s="586"/>
      <c r="J30" s="586"/>
      <c r="K30" s="586"/>
      <c r="L30" s="587"/>
      <c r="M30" s="587">
        <f>SUM(M28:M29)</f>
        <v>10.7</v>
      </c>
      <c r="N30" s="587">
        <f>SUM(N28:N29)</f>
        <v>8.1374999999999993</v>
      </c>
      <c r="O30" s="587">
        <f>SUM(O28:O29)</f>
        <v>27.696428571428569</v>
      </c>
      <c r="P30" s="587">
        <f>SUM(P28:P29)</f>
        <v>0</v>
      </c>
      <c r="Q30" s="587">
        <f>SUM(Q28:Q29)</f>
        <v>10.392857142857142</v>
      </c>
      <c r="R30" s="587">
        <f>SUM(R28:R29)</f>
        <v>0</v>
      </c>
      <c r="S30" s="587">
        <f>SUM(S28:S29)</f>
        <v>0</v>
      </c>
      <c r="T30" s="587">
        <f>SUM(T28:T29)</f>
        <v>0</v>
      </c>
      <c r="U30" s="587">
        <f>SUM(U28:U29)</f>
        <v>0</v>
      </c>
      <c r="V30" s="587">
        <f>SUM(V28:V29)</f>
        <v>30</v>
      </c>
      <c r="W30" s="587">
        <f>SUM(W28:W29)</f>
        <v>0</v>
      </c>
      <c r="X30" s="588"/>
      <c r="Y30" s="588"/>
      <c r="Z30" s="589"/>
    </row>
    <row r="31" spans="1:26" s="566" customFormat="1">
      <c r="A31" s="585" t="s">
        <v>276</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6" customFormat="1">
      <c r="A32" s="585" t="s">
        <v>277</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6" customFormat="1" ht="15.75" thickBot="1">
      <c r="A33" s="590" t="s">
        <v>278</v>
      </c>
      <c r="B33" s="591"/>
      <c r="C33" s="591"/>
      <c r="D33" s="591"/>
      <c r="E33" s="591"/>
      <c r="F33" s="591"/>
      <c r="G33" s="591"/>
      <c r="H33" s="591"/>
      <c r="I33" s="591"/>
      <c r="J33" s="591"/>
      <c r="K33" s="591"/>
      <c r="L33" s="592"/>
      <c r="M33" s="592">
        <f>SUMIF($Z$28:$Z$29,"landbouw",M28:M29)</f>
        <v>10.7</v>
      </c>
      <c r="N33" s="592">
        <f>SUMIF($Z$28:$Z$29,"landbouw",N28:N29)</f>
        <v>8.1374999999999993</v>
      </c>
      <c r="O33" s="592">
        <f>SUMIF($Z$28:$Z$29,"landbouw",O28:O29)</f>
        <v>27.696428571428569</v>
      </c>
      <c r="P33" s="592">
        <f>SUMIF($Z$28:$Z$29,"landbouw",P28:P29)</f>
        <v>0</v>
      </c>
      <c r="Q33" s="592">
        <f>SUMIF($Z$28:$Z$29,"landbouw",Q28:Q29)</f>
        <v>10.392857142857142</v>
      </c>
      <c r="R33" s="592">
        <f>SUMIF($Z$28:$Z$29,"landbouw",R28:R29)</f>
        <v>0</v>
      </c>
      <c r="S33" s="592">
        <f>SUMIF($Z$28:$Z$29,"landbouw",S28:S29)</f>
        <v>0</v>
      </c>
      <c r="T33" s="592">
        <f>SUMIF($Z$28:$Z$29,"landbouw",T28:T29)</f>
        <v>0</v>
      </c>
      <c r="U33" s="592">
        <f>SUMIF($Z$28:$Z$29,"landbouw",U28:U29)</f>
        <v>0</v>
      </c>
      <c r="V33" s="592">
        <f>SUMIF($Z$28:$Z$29,"landbouw",V28:V29)</f>
        <v>30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270</v>
      </c>
      <c r="B35" s="626" t="s">
        <v>89</v>
      </c>
      <c r="C35" s="626" t="s">
        <v>90</v>
      </c>
      <c r="D35" s="626"/>
      <c r="E35" s="626"/>
      <c r="F35" s="626"/>
      <c r="G35" s="626" t="s">
        <v>91</v>
      </c>
      <c r="H35" s="626" t="s">
        <v>92</v>
      </c>
      <c r="I35" s="626"/>
      <c r="J35" s="626"/>
      <c r="K35" s="626"/>
      <c r="L35" s="626" t="s">
        <v>93</v>
      </c>
      <c r="M35" s="627" t="s">
        <v>287</v>
      </c>
      <c r="N35" s="627" t="s">
        <v>94</v>
      </c>
      <c r="O35" s="627" t="s">
        <v>95</v>
      </c>
      <c r="P35" s="627" t="s">
        <v>530</v>
      </c>
      <c r="Q35" s="627" t="s">
        <v>96</v>
      </c>
      <c r="R35" s="627" t="s">
        <v>97</v>
      </c>
      <c r="S35" s="627" t="s">
        <v>98</v>
      </c>
      <c r="T35" s="627" t="s">
        <v>99</v>
      </c>
      <c r="U35" s="627" t="s">
        <v>100</v>
      </c>
      <c r="V35" s="627" t="s">
        <v>101</v>
      </c>
      <c r="W35" s="626" t="s">
        <v>102</v>
      </c>
      <c r="X35" s="626" t="s">
        <v>288</v>
      </c>
      <c r="Y35" s="626" t="s">
        <v>103</v>
      </c>
      <c r="Z35" s="628" t="s">
        <v>289</v>
      </c>
    </row>
    <row r="36" spans="1:27" s="598" customFormat="1" ht="63.75" hidden="1">
      <c r="A36" s="584"/>
      <c r="B36" s="777">
        <v>13017</v>
      </c>
      <c r="C36" s="777">
        <v>2460</v>
      </c>
      <c r="D36" s="632"/>
      <c r="E36" s="632"/>
      <c r="F36" s="632"/>
      <c r="G36" s="632" t="s">
        <v>930</v>
      </c>
      <c r="H36" s="632" t="s">
        <v>931</v>
      </c>
      <c r="I36" s="632"/>
      <c r="J36" s="776"/>
      <c r="K36" s="776"/>
      <c r="L36" s="632" t="s">
        <v>932</v>
      </c>
      <c r="M36" s="632">
        <v>298</v>
      </c>
      <c r="N36" s="632">
        <v>1341</v>
      </c>
      <c r="O36" s="632">
        <v>0</v>
      </c>
      <c r="P36" s="632">
        <v>0</v>
      </c>
      <c r="Q36" s="632">
        <v>3831.4285714285716</v>
      </c>
      <c r="R36" s="632">
        <v>0</v>
      </c>
      <c r="S36" s="632">
        <v>0</v>
      </c>
      <c r="T36" s="632">
        <v>0</v>
      </c>
      <c r="U36" s="632">
        <v>0</v>
      </c>
      <c r="V36" s="632">
        <v>0</v>
      </c>
      <c r="W36" s="632">
        <v>0</v>
      </c>
      <c r="X36" s="632">
        <v>1600</v>
      </c>
      <c r="Y36" s="632" t="s">
        <v>49</v>
      </c>
      <c r="Z36" s="633" t="s">
        <v>149</v>
      </c>
    </row>
    <row r="37" spans="1:27" s="566" customFormat="1" hidden="1">
      <c r="A37" s="585" t="s">
        <v>269</v>
      </c>
      <c r="B37" s="586"/>
      <c r="C37" s="586"/>
      <c r="D37" s="586"/>
      <c r="E37" s="586"/>
      <c r="F37" s="586"/>
      <c r="G37" s="586"/>
      <c r="H37" s="586"/>
      <c r="I37" s="586"/>
      <c r="J37" s="586"/>
      <c r="K37" s="586"/>
      <c r="L37" s="587"/>
      <c r="M37" s="587">
        <f>SUM(M36:M36)</f>
        <v>298</v>
      </c>
      <c r="N37" s="587">
        <f>SUM(N36:N36)</f>
        <v>1341</v>
      </c>
      <c r="O37" s="587">
        <f>SUM(O36:O36)</f>
        <v>0</v>
      </c>
      <c r="P37" s="587">
        <f>SUM(P36:P36)</f>
        <v>0</v>
      </c>
      <c r="Q37" s="587">
        <f>SUM(Q36:Q36)</f>
        <v>3831.4285714285716</v>
      </c>
      <c r="R37" s="587">
        <f>SUM(R36:R36)</f>
        <v>0</v>
      </c>
      <c r="S37" s="587">
        <f>SUM(S36:S36)</f>
        <v>0</v>
      </c>
      <c r="T37" s="587">
        <f>SUM(T36:T36)</f>
        <v>0</v>
      </c>
      <c r="U37" s="587">
        <f>SUM(U36:U36)</f>
        <v>0</v>
      </c>
      <c r="V37" s="587">
        <f>SUM(V36:V36)</f>
        <v>0</v>
      </c>
      <c r="W37" s="587">
        <f>SUM(W36:W36)</f>
        <v>0</v>
      </c>
      <c r="X37" s="588"/>
      <c r="Y37" s="588"/>
      <c r="Z37" s="589"/>
    </row>
    <row r="38" spans="1:27" s="566" customFormat="1">
      <c r="A38" s="585" t="s">
        <v>276</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6" customFormat="1">
      <c r="A39" s="585" t="s">
        <v>277</v>
      </c>
      <c r="B39" s="586"/>
      <c r="C39" s="586"/>
      <c r="D39" s="586"/>
      <c r="E39" s="586"/>
      <c r="F39" s="586"/>
      <c r="G39" s="586"/>
      <c r="H39" s="586"/>
      <c r="I39" s="586"/>
      <c r="J39" s="586"/>
      <c r="K39" s="586"/>
      <c r="L39" s="587"/>
      <c r="M39" s="587">
        <f>SUMIF($Z$36:$Z$37,"tertiair",M36:M37)</f>
        <v>298</v>
      </c>
      <c r="N39" s="587">
        <f>SUMIF($Z$36:$Z$37,"tertiair",N36:N37)</f>
        <v>1341</v>
      </c>
      <c r="O39" s="587">
        <f>SUMIF($Z$36:$Z$37,"tertiair",O36:O37)</f>
        <v>0</v>
      </c>
      <c r="P39" s="587">
        <f>SUMIF($Z$36:$Z$37,"tertiair",P36:P37)</f>
        <v>0</v>
      </c>
      <c r="Q39" s="587">
        <f>SUMIF($Z$36:$Z$37,"tertiair",Q36:Q37)</f>
        <v>3831.4285714285716</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6" customFormat="1" ht="15.75" thickBot="1">
      <c r="A40" s="590" t="s">
        <v>278</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271</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272</v>
      </c>
      <c r="C45" s="609" t="s">
        <v>273</v>
      </c>
      <c r="D45" s="609"/>
      <c r="E45" s="609"/>
      <c r="F45" s="609"/>
      <c r="G45" s="609"/>
      <c r="H45" s="609"/>
      <c r="I45" s="610"/>
      <c r="J45" s="609"/>
      <c r="K45" s="609"/>
      <c r="L45" s="609"/>
      <c r="M45" s="609"/>
      <c r="N45" s="609"/>
      <c r="O45" s="609"/>
      <c r="P45" s="604"/>
    </row>
    <row r="46" spans="1:27">
      <c r="A46" s="606" t="s">
        <v>269</v>
      </c>
      <c r="B46" s="611">
        <f>IF(ISERROR(O30/(O30+N30)),0,O30/(O30+N30))</f>
        <v>0.77291074899088053</v>
      </c>
      <c r="C46" s="612">
        <f>IF(ISERROR(N30/(O30+N30)),0,N30/(N30+O30))</f>
        <v>0.22708925100911942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530</v>
      </c>
      <c r="C48" s="619" t="s">
        <v>96</v>
      </c>
      <c r="D48" s="619" t="s">
        <v>97</v>
      </c>
      <c r="E48" s="619" t="s">
        <v>98</v>
      </c>
      <c r="F48" s="619" t="s">
        <v>99</v>
      </c>
      <c r="G48" s="619" t="s">
        <v>100</v>
      </c>
      <c r="H48" s="619" t="s">
        <v>101</v>
      </c>
      <c r="I48" s="620" t="s">
        <v>102</v>
      </c>
      <c r="J48" s="609"/>
      <c r="K48" s="609"/>
      <c r="L48" s="617"/>
      <c r="M48" s="617"/>
      <c r="N48" s="617"/>
      <c r="O48" s="604"/>
      <c r="P48" s="604"/>
    </row>
    <row r="49" spans="1:16">
      <c r="A49" s="608" t="s">
        <v>274</v>
      </c>
      <c r="B49" s="621">
        <f t="shared" ref="B49:I49" si="2">$C$46*P30</f>
        <v>0</v>
      </c>
      <c r="C49" s="621">
        <f t="shared" si="2"/>
        <v>2.3601061444162053</v>
      </c>
      <c r="D49" s="621">
        <f t="shared" si="2"/>
        <v>0</v>
      </c>
      <c r="E49" s="621">
        <f t="shared" si="2"/>
        <v>0</v>
      </c>
      <c r="F49" s="621">
        <f t="shared" si="2"/>
        <v>0</v>
      </c>
      <c r="G49" s="621">
        <f t="shared" si="2"/>
        <v>0</v>
      </c>
      <c r="H49" s="621">
        <f t="shared" si="2"/>
        <v>6.8126775302735822</v>
      </c>
      <c r="I49" s="622">
        <f t="shared" si="2"/>
        <v>0</v>
      </c>
      <c r="J49" s="579"/>
      <c r="K49" s="579"/>
      <c r="L49" s="617"/>
      <c r="M49" s="617"/>
      <c r="N49" s="617"/>
      <c r="O49" s="604"/>
      <c r="P49" s="604"/>
    </row>
    <row r="50" spans="1:16" ht="15.75" thickBot="1">
      <c r="A50" s="623" t="s">
        <v>275</v>
      </c>
      <c r="B50" s="624">
        <f t="shared" ref="B50:I50" si="3">$B$46*P30</f>
        <v>0</v>
      </c>
      <c r="C50" s="624">
        <f t="shared" si="3"/>
        <v>8.0327509984409371</v>
      </c>
      <c r="D50" s="624">
        <f t="shared" si="3"/>
        <v>0</v>
      </c>
      <c r="E50" s="624">
        <f t="shared" si="3"/>
        <v>0</v>
      </c>
      <c r="F50" s="624">
        <f t="shared" si="3"/>
        <v>0</v>
      </c>
      <c r="G50" s="624">
        <f t="shared" si="3"/>
        <v>0</v>
      </c>
      <c r="H50" s="624">
        <f t="shared" si="3"/>
        <v>23.187322469726414</v>
      </c>
      <c r="I50" s="625">
        <f t="shared" si="3"/>
        <v>0</v>
      </c>
      <c r="J50" s="579"/>
      <c r="K50" s="579"/>
      <c r="L50" s="617"/>
      <c r="M50" s="617"/>
      <c r="N50" s="617"/>
      <c r="O50" s="604"/>
      <c r="P50" s="604"/>
    </row>
    <row r="51" spans="1:16">
      <c r="J51" s="564"/>
      <c r="K51" s="564"/>
      <c r="L51" s="564"/>
      <c r="M51" s="564"/>
      <c r="N51" s="564"/>
    </row>
    <row r="52" spans="1:16">
      <c r="J52" s="564"/>
      <c r="K52" s="564"/>
      <c r="L52" s="564"/>
      <c r="M52" s="564"/>
      <c r="N52"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2021-11-11T13:19:41Z</dcterms:modified>
</cp:coreProperties>
</file>