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27477C5-5D95-4DAE-A7A2-1BA9171514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<sst xmlns="http://schemas.openxmlformats.org/spreadsheetml/2006/main" count="2521" uniqueCount="929">
  <si>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</si>
  <si>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</si>
  <si>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</si>
  <si>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</si>
  <si>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</si>
  <si>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</si>
  <si>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</si>
  <si>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</si>
  <si>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</si>
  <si>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</si>
  <si>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</si>
  <si>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</si>
  <si>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</si>
  <si>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</si>
  <si>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</si>
  <si>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</si>
  <si>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</si>
  <si>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</si>
  <si>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</si>
  <si>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</si>
  <si>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</si>
  <si>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</si>
  <si>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</si>
  <si>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</si>
  <si>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</si>
  <si>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</si>
  <si>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</si>
  <si>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</si>
  <si>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</si>
  <si>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</si>
  <si>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</si>
  <si>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</si>
  <si>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</si>
  <si>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</si>
  <si>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</si>
  <si>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</si>
  <si>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</si>
  <si>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</si>
  <si>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</si>
  <si>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</si>
  <si>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</si>
  <si>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</si>
  <si>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</si>
  <si>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</si>
  <si>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</si>
  <si>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</si>
  <si>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</si>
  <si>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</si>
  <si>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</si>
  <si>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</si>
  <si>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</si>
  <si>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</si>
  <si>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</si>
  <si>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</si>
  <si>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</si>
  <si>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</si>
  <si>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</si>
  <si>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</si>
  <si>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</si>
  <si>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</si>
  <si>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</si>
  <si>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</si>
  <si>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</si>
  <si>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</si>
  <si>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</si>
  <si>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</si>
  <si>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</si>
  <si>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</si>
  <si>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</si>
  <si>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</si>
  <si>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</si>
  <si>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</si>
  <si>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</si>
  <si>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</si>
  <si>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</si>
  <si>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</si>
  <si>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</si>
  <si>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</si>
  <si>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</si>
  <si>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</si>
  <si>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</si>
  <si>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</si>
  <si>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</si>
  <si>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</si>
  <si>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</si>
  <si>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</si>
  <si>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</si>
  <si>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</si>
  <si>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</si>
  <si>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</si>
  <si>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</si>
  <si>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</si>
  <si>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</si>
  <si>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</si>
  <si>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</si>
  <si>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</si>
  <si>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</si>
  <si>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</si>
  <si>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</si>
  <si>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</si>
  <si>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</si>
  <si>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</si>
  <si>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</si>
  <si>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</si>
  <si>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</si>
  <si>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</si>
  <si>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</si>
  <si>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</si>
  <si>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</si>
  <si>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</si>
  <si>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</si>
  <si>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</si>
  <si>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</si>
  <si>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</si>
  <si>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</si>
  <si>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</si>
  <si>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</si>
  <si>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</si>
  <si>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</si>
  <si>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</si>
  <si>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</si>
  <si>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</si>
  <si>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</si>
  <si>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</si>
  <si>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</si>
  <si>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</si>
  <si>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</si>
  <si>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</si>
  <si>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</si>
  <si>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</si>
  <si>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</si>
  <si>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</si>
  <si>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</si>
  <si>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</si>
  <si>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</si>
  <si>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</si>
  <si>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</si>
  <si>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</si>
  <si>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</si>
  <si>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</si>
  <si>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</si>
  <si>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</si>
  <si>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</si>
  <si>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</si>
  <si>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</si>
  <si>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</si>
  <si>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</si>
  <si>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</si>
  <si>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</si>
  <si>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</si>
  <si>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</si>
  <si>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</si>
  <si>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</si>
  <si>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</si>
  <si>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</si>
  <si>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</si>
  <si>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</si>
  <si>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</si>
  <si>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</si>
  <si>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</si>
  <si>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</si>
  <si>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</si>
  <si>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</si>
  <si>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</si>
  <si>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</si>
  <si>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</si>
  <si>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</si>
  <si>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</si>
  <si>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</si>
  <si>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</si>
  <si>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</si>
  <si>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</si>
  <si>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</si>
  <si>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</si>
  <si>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</si>
  <si>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</si>
  <si>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</si>
  <si>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</si>
  <si>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</si>
  <si>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</si>
  <si>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</si>
  <si>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</si>
  <si>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</si>
  <si>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</si>
  <si>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</si>
  <si>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</si>
  <si>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</si>
  <si>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</si>
  <si>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</si>
  <si>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</si>
  <si>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</si>
  <si>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</si>
  <si>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</si>
  <si>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</si>
  <si>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</si>
  <si>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</si>
  <si>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</si>
  <si>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</si>
  <si>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</si>
  <si>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</si>
  <si>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</si>
  <si>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</si>
  <si>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</si>
  <si>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</si>
  <si>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</si>
  <si>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</si>
  <si>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</si>
  <si>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</si>
  <si>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</si>
  <si>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</si>
  <si>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</si>
  <si>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</si>
  <si>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</si>
  <si>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</si>
  <si>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</si>
  <si>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</si>
  <si>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</si>
  <si>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</si>
  <si>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</si>
  <si>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</si>
  <si>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</si>
  <si>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</si>
  <si>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</si>
  <si>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</si>
  <si>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</si>
  <si>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</si>
  <si>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</si>
  <si>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</si>
  <si>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</si>
  <si>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</si>
  <si>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</si>
  <si>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</si>
  <si>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</si>
  <si>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</si>
  <si>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</si>
  <si>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</si>
  <si>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</si>
  <si>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</si>
  <si>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</si>
  <si>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</si>
  <si>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</si>
  <si>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</si>
  <si>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</si>
  <si>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</si>
  <si>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</si>
  <si>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</si>
  <si>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</si>
  <si>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</si>
  <si>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</si>
  <si>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</si>
  <si>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</si>
  <si>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</si>
  <si>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</si>
  <si>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</si>
  <si>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</si>
  <si>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</si>
  <si>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</si>
  <si>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</si>
  <si>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</si>
  <si>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</si>
  <si>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</si>
  <si>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</si>
  <si>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</si>
  <si>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</si>
  <si>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</si>
  <si>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</si>
  <si>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</si>
  <si>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</si>
  <si>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</si>
  <si>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</si>
  <si>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</si>
  <si>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</si>
  <si>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</si>
  <si>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</si>
  <si>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</si>
  <si>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</si>
  <si>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</si>
  <si>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</si>
  <si>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</si>
  <si>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</si>
  <si>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</si>
  <si>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</si>
  <si>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</si>
  <si>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</si>
  <si>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</si>
  <si>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</si>
  <si>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</si>
  <si>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</si>
  <si>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</si>
  <si>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</si>
  <si>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</si>
  <si>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</si>
  <si>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</si>
  <si>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</si>
  <si>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</si>
  <si>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</si>
  <si>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</si>
  <si>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</si>
  <si>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</si>
  <si>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</si>
  <si>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</si>
  <si>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</si>
  <si>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</si>
  <si>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</si>
  <si>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</si>
  <si>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</si>
  <si>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</si>
  <si>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</si>
  <si>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</si>
  <si>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</si>
  <si>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</si>
  <si>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</si>
  <si>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</si>
  <si>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</si>
  <si>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</si>
  <si>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</si>
  <si>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</si>
  <si>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</si>
  <si>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</si>
  <si>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</si>
  <si>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</si>
  <si>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</si>
  <si>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</si>
  <si>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</si>
  <si>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</si>
  <si>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</si>
  <si>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</si>
  <si>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</si>
  <si>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</si>
  <si>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</si>
  <si>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</si>
  <si>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</si>
  <si>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</si>
  <si>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</si>
  <si>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</si>
  <si>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</si>
  <si>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</si>
  <si>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</si>
  <si>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</si>
  <si>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</si>
  <si>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</si>
  <si>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</si>
  <si>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</si>
  <si>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</si>
  <si>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</si>
  <si>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</si>
  <si>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</si>
  <si>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</si>
  <si>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</si>
  <si>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</si>
  <si>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</si>
  <si>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</si>
  <si>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</si>
  <si>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</si>
  <si>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</si>
  <si>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</si>
  <si>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</si>
  <si>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</si>
  <si>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</si>
  <si>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</si>
  <si>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</si>
  <si>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</si>
  <si>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</si>
  <si>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</si>
  <si>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</si>
  <si>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</si>
  <si>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</si>
  <si>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</si>
  <si>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</si>
  <si>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</si>
  <si>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</si>
  <si>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</si>
  <si>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</si>
  <si>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</si>
  <si>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</si>
  <si>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</si>
  <si>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</si>
  <si>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</si>
  <si>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</si>
  <si>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</si>
  <si>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</si>
  <si>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</si>
  <si>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</si>
  <si>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</si>
  <si>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</si>
  <si>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</si>
  <si>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</si>
  <si>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</si>
  <si>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</si>
  <si>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</si>
  <si>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</si>
  <si>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</si>
  <si>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</si>
  <si>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</si>
  <si>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</si>
  <si>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</si>
  <si>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</si>
  <si>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</si>
  <si>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</si>
  <si>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</si>
  <si>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</si>
  <si>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</si>
  <si>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</si>
  <si>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</si>
  <si>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</si>
  <si>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</si>
  <si>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</si>
  <si>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</si>
  <si>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</si>
  <si>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</si>
  <si>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</si>
  <si>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</si>
  <si>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</si>
  <si>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</si>
  <si>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</si>
  <si>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</si>
  <si>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</si>
  <si>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</si>
  <si>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</si>
  <si>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</si>
  <si>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</si>
  <si>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</si>
  <si>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</si>
  <si>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</si>
  <si>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</si>
  <si>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</si>
  <si>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</si>
  <si>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</si>
  <si>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</si>
  <si>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</si>
  <si>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</si>
  <si>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</si>
  <si>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</si>
  <si>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</si>
  <si>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</si>
  <si>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</si>
  <si>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</si>
  <si>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</si>
  <si>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</si>
  <si>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</si>
  <si>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</si>
  <si>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</si>
  <si>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</si>
  <si>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</si>
  <si>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</si>
  <si>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</si>
  <si>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</si>
  <si>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</si>
  <si>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</si>
  <si>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</si>
  <si>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</si>
  <si>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</si>
  <si>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</si>
  <si>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</si>
  <si>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</si>
  <si>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</si>
  <si>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</si>
  <si>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</si>
  <si>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</si>
  <si>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</si>
  <si>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</si>
  <si>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</si>
  <si>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</si>
  <si>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</si>
  <si>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</si>
  <si>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</si>
  <si>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</si>
  <si>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</si>
  <si>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</si>
  <si>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</si>
  <si>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</si>
  <si>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</si>
  <si>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</si>
  <si>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</si>
  <si>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</si>
  <si>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</si>
  <si>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</si>
  <si>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</si>
  <si>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</si>
  <si>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</si>
  <si>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</si>
  <si>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</si>
  <si>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</si>
  <si>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</si>
  <si>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</si>
  <si>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</si>
  <si>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</si>
  <si>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</si>
  <si>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</si>
  <si>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</si>
  <si>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</si>
  <si>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</si>
  <si>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</si>
  <si>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</si>
  <si>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</si>
  <si>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</si>
  <si>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</si>
  <si>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</si>
  <si>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</si>
  <si>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</si>
  <si>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</si>
  <si>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</si>
  <si>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</si>
  <si>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</si>
  <si>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</si>
  <si>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</si>
  <si>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</si>
  <si>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</si>
  <si>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</si>
  <si>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</si>
  <si>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</si>
  <si>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</si>
  <si>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</si>
  <si>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</si>
  <si>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</si>
  <si>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</si>
  <si>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</si>
  <si>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</si>
  <si>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</si>
  <si>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</si>
  <si>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</si>
  <si>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</si>
  <si>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</si>
  <si>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</si>
  <si>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</si>
  <si>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</si>
  <si>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</si>
  <si>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</si>
  <si>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</si>
  <si>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</si>
  <si>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</si>
  <si>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</si>
  <si>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</si>
  <si>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</si>
  <si>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</si>
  <si>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</si>
  <si>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</si>
  <si>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</si>
  <si>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</si>
  <si>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</si>
  <si>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</si>
  <si>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</si>
  <si>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</si>
  <si>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</si>
  <si>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</si>
  <si>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</si>
  <si>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</si>
  <si>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</si>
  <si>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</si>
  <si>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</si>
  <si>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</si>
  <si>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</si>
  <si>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</si>
  <si>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</si>
  <si>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</si>
  <si>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</si>
  <si>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</si>
  <si>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</si>
  <si>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</si>
  <si>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</si>
  <si>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</si>
  <si>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</si>
  <si>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</si>
  <si>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</si>
  <si>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</si>
  <si>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</si>
  <si>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</si>
  <si>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</si>
  <si>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</si>
  <si>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</si>
  <si>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</si>
  <si>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</si>
  <si>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</si>
  <si>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</si>
  <si>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</si>
  <si>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</si>
  <si>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</si>
  <si>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</si>
  <si>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</si>
  <si>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</si>
  <si>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</si>
  <si>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</si>
  <si>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</si>
  <si>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</si>
  <si>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</si>
  <si>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</si>
  <si>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</si>
  <si>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</si>
  <si>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</si>
  <si>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</si>
  <si>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</si>
  <si>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</si>
  <si>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</si>
  <si>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</si>
  <si>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</si>
  <si>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</si>
  <si>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</si>
  <si>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</si>
  <si>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</si>
  <si>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</si>
  <si>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</si>
  <si>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</si>
  <si>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</si>
  <si>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</si>
  <si>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</si>
  <si>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</si>
  <si>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</si>
  <si>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</si>
  <si>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</si>
  <si>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</si>
  <si>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</si>
  <si>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</si>
  <si>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</si>
  <si>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</si>
  <si>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</si>
  <si>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</si>
  <si>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</si>
  <si>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</si>
  <si>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</si>
  <si>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</si>
  <si>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</si>
  <si>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</si>
  <si>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</si>
  <si>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</si>
  <si>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</si>
  <si>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</si>
  <si>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</si>
  <si>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</si>
  <si>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</si>
  <si>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</si>
  <si>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</si>
  <si>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</si>
  <si>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</si>
  <si>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</si>
  <si>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</si>
  <si>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</si>
  <si>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</si>
  <si>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</si>
  <si>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</si>
  <si>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</si>
  <si>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</si>
  <si>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</si>
  <si>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</si>
  <si>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</si>
  <si>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</si>
  <si>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</si>
  <si>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</si>
  <si>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</si>
  <si>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</si>
  <si>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</si>
  <si>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</si>
  <si>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</si>
  <si>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</si>
  <si>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</si>
  <si>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</si>
  <si>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</si>
  <si>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</si>
  <si>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</si>
  <si>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</si>
  <si>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</si>
  <si>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</si>
  <si>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</si>
  <si>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</si>
  <si>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</si>
  <si>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</si>
  <si>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</si>
  <si>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</si>
  <si>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</si>
  <si>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</si>
  <si>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</si>
  <si>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</si>
  <si>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</si>
  <si>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</si>
  <si>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</si>
  <si>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</si>
  <si>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</si>
  <si>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</si>
  <si>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</si>
  <si>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</si>
  <si>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</si>
  <si>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</si>
  <si>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</si>
  <si>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</si>
  <si>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</si>
  <si>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</si>
  <si>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</si>
  <si>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</si>
  <si>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</si>
  <si>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</si>
  <si>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</si>
  <si>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</si>
  <si>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</si>
  <si>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</si>
  <si>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</si>
  <si>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</si>
  <si>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</si>
  <si>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</si>
  <si>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</si>
  <si>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</si>
  <si>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</si>
  <si>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</si>
  <si>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</si>
  <si>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</si>
  <si>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</si>
  <si>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</si>
  <si>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</si>
  <si>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</si>
  <si>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</si>
  <si>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</si>
  <si>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</si>
  <si>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</si>
  <si>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</si>
  <si>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</si>
  <si>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</si>
  <si>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</si>
  <si>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</si>
  <si>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</si>
  <si>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</si>
  <si>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</si>
  <si>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</si>
  <si>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</si>
  <si>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</si>
  <si>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</si>
  <si>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</si>
  <si>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</si>
  <si>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</si>
  <si>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</si>
  <si>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</si>
  <si>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</si>
  <si>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</si>
  <si>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</si>
  <si>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</si>
  <si>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</si>
  <si>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</si>
  <si>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</si>
  <si>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</si>
  <si>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</si>
  <si>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</si>
  <si>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</si>
  <si>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</si>
  <si>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</si>
  <si>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</si>
  <si>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</si>
  <si>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</si>
  <si>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</si>
  <si>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</si>
  <si>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</si>
  <si>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</si>
  <si>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</si>
  <si>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</si>
  <si>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</si>
  <si>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</si>
  <si>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</si>
  <si>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</si>
  <si>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</si>
  <si>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</si>
  <si>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</si>
  <si>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</si>
  <si>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</si>
  <si>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</si>
  <si>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</si>
  <si>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</si>
  <si>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</si>
  <si>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</si>
  <si>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</si>
  <si>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</si>
  <si>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</si>
  <si>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</si>
  <si>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</si>
  <si>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</si>
  <si>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</si>
  <si>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</si>
  <si>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</si>
  <si>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</si>
  <si>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</si>
  <si>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</si>
  <si>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</si>
  <si>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</si>
  <si>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</si>
  <si>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</si>
  <si>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</si>
  <si>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</si>
  <si>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</si>
  <si>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</si>
  <si>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</si>
  <si>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</si>
  <si>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</si>
  <si>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</si>
  <si>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</si>
  <si>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</si>
  <si>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</si>
  <si>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</si>
  <si>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</si>
  <si>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</si>
  <si>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</si>
  <si>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</si>
  <si>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</si>
  <si>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</si>
  <si>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</si>
  <si>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</si>
  <si>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</si>
  <si>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</si>
  <si>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</si>
  <si>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</si>
  <si>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</si>
  <si>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</si>
  <si>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</si>
  <si>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</si>
  <si>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</si>
  <si>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</si>
  <si>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</si>
  <si>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</si>
  <si>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</si>
  <si>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</si>
  <si>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</si>
  <si>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</si>
  <si>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</si>
  <si>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</si>
  <si>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</si>
  <si>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</si>
  <si>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</si>
  <si>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</si>
  <si>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</si>
  <si>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</si>
  <si>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</si>
  <si>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</si>
  <si>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</si>
  <si>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</si>
  <si>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</si>
  <si>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</si>
  <si>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</si>
  <si>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</si>
  <si>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</si>
  <si>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</si>
  <si>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</si>
  <si>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</si>
  <si>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</si>
  <si>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</si>
  <si>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</si>
  <si>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</si>
  <si>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</si>
  <si>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</si>
  <si>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</si>
  <si>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</si>
  <si>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</si>
  <si>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</si>
  <si>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</si>
  <si>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</si>
  <si>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</si>
  <si>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</si>
  <si>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</si>
  <si>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</si>
  <si>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</si>
  <si>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</si>
  <si>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</si>
  <si>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</si>
  <si>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</si>
  <si>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</si>
  <si>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</si>
  <si>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</si>
  <si>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</si>
  <si>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</si>
  <si>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</si>
  <si>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</si>
  <si>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</si>
  <si>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</si>
  <si>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</si>
  <si>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</si>
  <si>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</si>
  <si>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</si>
  <si>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</si>
  <si>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</si>
  <si>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</si>
  <si>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</si>
  <si>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</si>
  <si>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</si>
  <si>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</si>
  <si>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</si>
  <si>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</si>
  <si>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</si>
  <si>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</si>
  <si>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</si>
  <si>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</si>
  <si>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</si>
  <si>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</si>
  <si>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</si>
  <si>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</si>
  <si>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</si>
  <si>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</si>
  <si>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</si>
  <si>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</si>
  <si>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</si>
  <si>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</si>
  <si>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</si>
  <si>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</si>
  <si>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</si>
  <si>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</si>
  <si>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</si>
  <si>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</si>
  <si>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</si>
  <si>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</si>
  <si>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</si>
  <si>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</si>
  <si>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</si>
  <si>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</si>
  <si>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</si>
  <si>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</si>
  <si>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</si>
  <si>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</si>
  <si>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</si>
  <si>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</si>
  <si>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</si>
  <si>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</si>
  <si>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</si>
  <si>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</si>
  <si>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</si>
  <si>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</si>
  <si>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</si>
  <si>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</si>
  <si>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13012</t>
  </si>
  <si>
    <t>HERENTHOUT</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</si>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</sst>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70436AE-D004-4D32-BEE5-63D59C5A74E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88865.792630712662</c:v>
                </c:pt>
                <c:pt idx="1">
                  <c:v>23813.276938645351</c:v>
                </c:pt>
                <c:pt idx="2">
                  <c:v>441.81400000000002</c:v>
                </c:pt>
                <c:pt idx="3">
                  <c:v>21341.161764726021</c:v>
                </c:pt>
                <c:pt idx="4">
                  <c:v>8526.5641942692255</c:v>
                </c:pt>
                <c:pt idx="5">
                  <c:v>40552.921090717733</c:v>
                </c:pt>
                <c:pt idx="6">
                  <c:v>476.0030083749304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88865.792630712662</c:v>
                </c:pt>
                <c:pt idx="1">
                  <c:v>23813.276938645351</c:v>
                </c:pt>
                <c:pt idx="2">
                  <c:v>441.81400000000002</c:v>
                </c:pt>
                <c:pt idx="3">
                  <c:v>21341.161764726021</c:v>
                </c:pt>
                <c:pt idx="4">
                  <c:v>8526.5641942692255</c:v>
                </c:pt>
                <c:pt idx="5">
                  <c:v>40552.921090717733</c:v>
                </c:pt>
                <c:pt idx="6">
                  <c:v>476.0030083749304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18120.824606841481</c:v>
                </c:pt>
                <c:pt idx="2">
                  <c:v>4862.0320670607207</c:v>
                </c:pt>
                <c:pt idx="3">
                  <c:v>93.498642558429609</c:v>
                </c:pt>
                <c:pt idx="4">
                  <c:v>5052.7131042354631</c:v>
                </c:pt>
                <c:pt idx="5">
                  <c:v>1820.2672352473764</c:v>
                </c:pt>
                <c:pt idx="6">
                  <c:v>10239.573155029277</c:v>
                </c:pt>
                <c:pt idx="7">
                  <c:v>121.53614702424372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18120.824606841481</c:v>
                </c:pt>
                <c:pt idx="2">
                  <c:v>4862.0320670607207</c:v>
                </c:pt>
                <c:pt idx="3">
                  <c:v>93.498642558429609</c:v>
                </c:pt>
                <c:pt idx="4">
                  <c:v>5052.7131042354631</c:v>
                </c:pt>
                <c:pt idx="5">
                  <c:v>1820.2672352473764</c:v>
                </c:pt>
                <c:pt idx="6">
                  <c:v>10239.573155029277</c:v>
                </c:pt>
                <c:pt idx="7">
                  <c:v>121.53614702424372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13012</v>
      </c>
      <c r="B6" s="385"/>
      <c r="C6" s="386"/>
    </row>
    <row r="7" spans="1:7" s="383" customFormat="1" ht="15.75" customHeight="1">
      <c r="A7" s="387" t="str">
        <f>txtMunicipality</f>
        <v>HERENTHOUT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9363.5716304617799</v>
      </c>
      <c r="D10" s="676">
        <f ca="1">tertiair!C16</f>
        <v>35.357142857142861</v>
      </c>
      <c r="E10" s="676">
        <f ca="1">tertiair!D16</f>
        <v>12145.34519155379</v>
      </c>
      <c r="F10" s="676">
        <f>tertiair!E16</f>
        <v>145.80164268044604</v>
      </c>
      <c r="G10" s="676">
        <f ca="1">tertiair!F16</f>
        <v>1794.4226112062481</v>
      </c>
      <c r="H10" s="676">
        <f>tertiair!G16</f>
        <v>0</v>
      </c>
      <c r="I10" s="676">
        <f>tertiair!H16</f>
        <v>0</v>
      </c>
      <c r="J10" s="676">
        <f>tertiair!I16</f>
        <v>0</v>
      </c>
      <c r="K10" s="676">
        <f>tertiair!J16</f>
        <v>0</v>
      </c>
      <c r="L10" s="676">
        <f>tertiair!K16</f>
        <v>0</v>
      </c>
      <c r="M10" s="676">
        <f ca="1">tertiair!L16</f>
        <v>0</v>
      </c>
      <c r="N10" s="676">
        <f>tertiair!M16</f>
        <v>0</v>
      </c>
      <c r="O10" s="676">
        <f ca="1">tertiair!N16</f>
        <v>769.02938655261232</v>
      </c>
      <c r="P10" s="676">
        <f>tertiair!O16</f>
        <v>1.5633333333333335</v>
      </c>
      <c r="Q10" s="677">
        <f>tertiair!P16</f>
        <v>0</v>
      </c>
      <c r="R10" s="679">
        <f ca="1">SUM(C10:Q10)</f>
        <v>24255.090938645353</v>
      </c>
      <c r="S10" s="67"/>
    </row>
    <row r="11" spans="1:19" s="444" customFormat="1">
      <c r="A11" s="791" t="s">
        <v>214</v>
      </c>
      <c r="B11" s="796"/>
      <c r="C11" s="676">
        <f>huishoudens!B8</f>
        <v>14850.399976504825</v>
      </c>
      <c r="D11" s="676">
        <f>huishoudens!C8</f>
        <v>0</v>
      </c>
      <c r="E11" s="676">
        <f>huishoudens!D8</f>
        <v>49795.317789690904</v>
      </c>
      <c r="F11" s="676">
        <f>huishoudens!E8</f>
        <v>571.04847195545585</v>
      </c>
      <c r="G11" s="676">
        <f>huishoudens!F8</f>
        <v>17500.050390004671</v>
      </c>
      <c r="H11" s="676">
        <f>huishoudens!G8</f>
        <v>0</v>
      </c>
      <c r="I11" s="676">
        <f>huishoudens!H8</f>
        <v>0</v>
      </c>
      <c r="J11" s="676">
        <f>huishoudens!I8</f>
        <v>0</v>
      </c>
      <c r="K11" s="676">
        <f>huishoudens!J8</f>
        <v>331.41610873457915</v>
      </c>
      <c r="L11" s="676">
        <f>huishoudens!K8</f>
        <v>0</v>
      </c>
      <c r="M11" s="676">
        <f>huishoudens!L8</f>
        <v>0</v>
      </c>
      <c r="N11" s="676">
        <f>huishoudens!M8</f>
        <v>0</v>
      </c>
      <c r="O11" s="676">
        <f>huishoudens!N8</f>
        <v>5480.5832271555628</v>
      </c>
      <c r="P11" s="676">
        <f>huishoudens!O8</f>
        <v>89.11</v>
      </c>
      <c r="Q11" s="677">
        <f>huishoudens!P8</f>
        <v>247.86666666666667</v>
      </c>
      <c r="R11" s="679">
        <f>SUM(C11:Q11)</f>
        <v>88865.792630712662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4233.220056223945</v>
      </c>
      <c r="D13" s="676">
        <f>industrie!C18</f>
        <v>0</v>
      </c>
      <c r="E13" s="676">
        <f>industrie!D18</f>
        <v>2000.6246400067785</v>
      </c>
      <c r="F13" s="676">
        <f>industrie!E18</f>
        <v>365.40907716953393</v>
      </c>
      <c r="G13" s="676">
        <f>industrie!F18</f>
        <v>1626.8531462541378</v>
      </c>
      <c r="H13" s="676">
        <f>industrie!G18</f>
        <v>0</v>
      </c>
      <c r="I13" s="676">
        <f>industrie!H18</f>
        <v>0</v>
      </c>
      <c r="J13" s="676">
        <f>industrie!I18</f>
        <v>0</v>
      </c>
      <c r="K13" s="676">
        <f>industrie!J18</f>
        <v>8.3914189033126192</v>
      </c>
      <c r="L13" s="676">
        <f>industrie!K18</f>
        <v>0</v>
      </c>
      <c r="M13" s="676">
        <f>industrie!L18</f>
        <v>0</v>
      </c>
      <c r="N13" s="676">
        <f>industrie!M18</f>
        <v>0</v>
      </c>
      <c r="O13" s="676">
        <f>industrie!N18</f>
        <v>292.06585571151834</v>
      </c>
      <c r="P13" s="676">
        <f>industrie!O18</f>
        <v>0</v>
      </c>
      <c r="Q13" s="677">
        <f>industrie!P18</f>
        <v>0</v>
      </c>
      <c r="R13" s="679">
        <f>SUM(C13:Q13)</f>
        <v>8526.5641942692255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28447.191663190548</v>
      </c>
      <c r="D16" s="711">
        <f t="shared" ref="D16:R16" ca="1" si="0">SUM(D9:D15)</f>
        <v>35.357142857142861</v>
      </c>
      <c r="E16" s="711">
        <f t="shared" ca="1" si="0"/>
        <v>63941.287621251467</v>
      </c>
      <c r="F16" s="711">
        <f t="shared" si="0"/>
        <v>1082.2591918054359</v>
      </c>
      <c r="G16" s="711">
        <f t="shared" ca="1" si="0"/>
        <v>20921.326147465057</v>
      </c>
      <c r="H16" s="711">
        <f t="shared" si="0"/>
        <v>0</v>
      </c>
      <c r="I16" s="711">
        <f t="shared" si="0"/>
        <v>0</v>
      </c>
      <c r="J16" s="711">
        <f t="shared" si="0"/>
        <v>0</v>
      </c>
      <c r="K16" s="711">
        <f t="shared" si="0"/>
        <v>339.80752763789178</v>
      </c>
      <c r="L16" s="711">
        <f t="shared" si="0"/>
        <v>0</v>
      </c>
      <c r="M16" s="711">
        <f t="shared" ca="1" si="0"/>
        <v>0</v>
      </c>
      <c r="N16" s="711">
        <f t="shared" si="0"/>
        <v>0</v>
      </c>
      <c r="O16" s="711">
        <f t="shared" ca="1" si="0"/>
        <v>6541.678469419694</v>
      </c>
      <c r="P16" s="711">
        <f t="shared" si="0"/>
        <v>90.673333333333332</v>
      </c>
      <c r="Q16" s="711">
        <f t="shared" si="0"/>
        <v>247.86666666666667</v>
      </c>
      <c r="R16" s="711">
        <f t="shared" ca="1" si="0"/>
        <v>121647.44776362725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2.329096878946014</v>
      </c>
      <c r="D19" s="676">
        <f>transport!C54</f>
        <v>0</v>
      </c>
      <c r="E19" s="676">
        <f>transport!D54</f>
        <v>0</v>
      </c>
      <c r="F19" s="676">
        <f>transport!E54</f>
        <v>0</v>
      </c>
      <c r="G19" s="676">
        <f>transport!F54</f>
        <v>0</v>
      </c>
      <c r="H19" s="676">
        <f>transport!G54</f>
        <v>453.34551756481426</v>
      </c>
      <c r="I19" s="676">
        <f>transport!H54</f>
        <v>0</v>
      </c>
      <c r="J19" s="676">
        <f>transport!I54</f>
        <v>0</v>
      </c>
      <c r="K19" s="676">
        <f>transport!J54</f>
        <v>0</v>
      </c>
      <c r="L19" s="676">
        <f>transport!K54</f>
        <v>0</v>
      </c>
      <c r="M19" s="676">
        <f>transport!L54</f>
        <v>0</v>
      </c>
      <c r="N19" s="676">
        <f>transport!M54</f>
        <v>20.328393931170151</v>
      </c>
      <c r="O19" s="676">
        <f>transport!N54</f>
        <v>0</v>
      </c>
      <c r="P19" s="676">
        <f>transport!O54</f>
        <v>0</v>
      </c>
      <c r="Q19" s="677">
        <f>transport!P54</f>
        <v>0</v>
      </c>
      <c r="R19" s="679">
        <f>SUM(C19:Q19)</f>
        <v>476.0030083749304</v>
      </c>
      <c r="S19" s="67"/>
    </row>
    <row r="20" spans="1:19" s="444" customFormat="1">
      <c r="A20" s="791" t="s">
        <v>296</v>
      </c>
      <c r="B20" s="796"/>
      <c r="C20" s="676">
        <f>transport!B14</f>
        <v>3.862786066134734</v>
      </c>
      <c r="D20" s="676">
        <f>transport!C14</f>
        <v>0</v>
      </c>
      <c r="E20" s="676">
        <f>transport!D14</f>
        <v>3.7440635526489841</v>
      </c>
      <c r="F20" s="676">
        <f>transport!E14</f>
        <v>133.24922332212361</v>
      </c>
      <c r="G20" s="676">
        <f>transport!F14</f>
        <v>0</v>
      </c>
      <c r="H20" s="676">
        <f>transport!G14</f>
        <v>32251.107254680377</v>
      </c>
      <c r="I20" s="676">
        <f>transport!H14</f>
        <v>6412.4746326920676</v>
      </c>
      <c r="J20" s="676">
        <f>transport!I14</f>
        <v>0</v>
      </c>
      <c r="K20" s="676">
        <f>transport!J14</f>
        <v>0</v>
      </c>
      <c r="L20" s="676">
        <f>transport!K14</f>
        <v>0</v>
      </c>
      <c r="M20" s="676">
        <f>transport!L14</f>
        <v>0</v>
      </c>
      <c r="N20" s="676">
        <f>transport!M14</f>
        <v>1748.4831304043842</v>
      </c>
      <c r="O20" s="676">
        <f>transport!N14</f>
        <v>0</v>
      </c>
      <c r="P20" s="676">
        <f>transport!O14</f>
        <v>0</v>
      </c>
      <c r="Q20" s="677">
        <f>transport!P14</f>
        <v>0</v>
      </c>
      <c r="R20" s="679">
        <f>SUM(C20:Q20)</f>
        <v>40552.921090717733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6.1918829450807475</v>
      </c>
      <c r="D22" s="794">
        <f t="shared" ref="D22:R22" si="1">SUM(D18:D21)</f>
        <v>0</v>
      </c>
      <c r="E22" s="794">
        <f t="shared" si="1"/>
        <v>3.7440635526489841</v>
      </c>
      <c r="F22" s="794">
        <f t="shared" si="1"/>
        <v>133.24922332212361</v>
      </c>
      <c r="G22" s="794">
        <f t="shared" si="1"/>
        <v>0</v>
      </c>
      <c r="H22" s="794">
        <f t="shared" si="1"/>
        <v>32704.452772245193</v>
      </c>
      <c r="I22" s="794">
        <f t="shared" si="1"/>
        <v>6412.4746326920676</v>
      </c>
      <c r="J22" s="794">
        <f t="shared" si="1"/>
        <v>0</v>
      </c>
      <c r="K22" s="794">
        <f t="shared" si="1"/>
        <v>0</v>
      </c>
      <c r="L22" s="794">
        <f t="shared" si="1"/>
        <v>0</v>
      </c>
      <c r="M22" s="794">
        <f t="shared" si="1"/>
        <v>0</v>
      </c>
      <c r="N22" s="794">
        <f t="shared" si="1"/>
        <v>1768.8115243355544</v>
      </c>
      <c r="O22" s="794">
        <f t="shared" si="1"/>
        <v>0</v>
      </c>
      <c r="P22" s="794">
        <f t="shared" si="1"/>
        <v>0</v>
      </c>
      <c r="Q22" s="794">
        <f t="shared" si="1"/>
        <v>0</v>
      </c>
      <c r="R22" s="794">
        <f t="shared" si="1"/>
        <v>41028.924099092663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1090.2730709619389</v>
      </c>
      <c r="D24" s="676">
        <f>+landbouw!C8</f>
        <v>12947.142857142855</v>
      </c>
      <c r="E24" s="676">
        <f>+landbouw!D8</f>
        <v>3364.3270907408587</v>
      </c>
      <c r="F24" s="676">
        <f>+landbouw!E8</f>
        <v>13.738845251411227</v>
      </c>
      <c r="G24" s="676">
        <f>+landbouw!F8</f>
        <v>3761.7152245431357</v>
      </c>
      <c r="H24" s="676">
        <f>+landbouw!G8</f>
        <v>0</v>
      </c>
      <c r="I24" s="676">
        <f>+landbouw!H8</f>
        <v>0</v>
      </c>
      <c r="J24" s="676">
        <f>+landbouw!I8</f>
        <v>0</v>
      </c>
      <c r="K24" s="676">
        <f>+landbouw!J8</f>
        <v>163.96467608582239</v>
      </c>
      <c r="L24" s="676">
        <f>+landbouw!K8</f>
        <v>0</v>
      </c>
      <c r="M24" s="676">
        <f>+landbouw!L8</f>
        <v>0</v>
      </c>
      <c r="N24" s="676">
        <f>+landbouw!M8</f>
        <v>0</v>
      </c>
      <c r="O24" s="676">
        <f>+landbouw!N8</f>
        <v>0</v>
      </c>
      <c r="P24" s="676">
        <f>+landbouw!O8</f>
        <v>0</v>
      </c>
      <c r="Q24" s="677">
        <f>+landbouw!P8</f>
        <v>0</v>
      </c>
      <c r="R24" s="679">
        <f>SUM(C24:Q24)</f>
        <v>21341.161764726021</v>
      </c>
      <c r="S24" s="67"/>
    </row>
    <row r="25" spans="1:19" s="444" customFormat="1" ht="15" thickBot="1">
      <c r="A25" s="813" t="s">
        <v>833</v>
      </c>
      <c r="B25" s="977"/>
      <c r="C25" s="978">
        <f>IF(Onbekend_ele_kWh="---",0,Onbekend_ele_kWh)/1000+IF(REST_rest_ele_kWh="---",0,REST_rest_ele_kWh)/1000</f>
        <v>419.49162641662201</v>
      </c>
      <c r="D25" s="978"/>
      <c r="E25" s="978">
        <f>IF(onbekend_gas_kWh="---",0,onbekend_gas_kWh)/1000+IF(REST_rest_gas_kWh="---",0,REST_rest_gas_kWh)/1000</f>
        <v>1087.67299324227</v>
      </c>
      <c r="F25" s="978"/>
      <c r="G25" s="978"/>
      <c r="H25" s="978"/>
      <c r="I25" s="978"/>
      <c r="J25" s="978"/>
      <c r="K25" s="978"/>
      <c r="L25" s="978"/>
      <c r="M25" s="978"/>
      <c r="N25" s="978"/>
      <c r="O25" s="978"/>
      <c r="P25" s="978"/>
      <c r="Q25" s="979"/>
      <c r="R25" s="679">
        <f>SUM(C25:Q25)</f>
        <v>1507.164619658892</v>
      </c>
      <c r="S25" s="67"/>
    </row>
    <row r="26" spans="1:19" s="444" customFormat="1" ht="15.75" thickBot="1">
      <c r="A26" s="684" t="s">
        <v>834</v>
      </c>
      <c r="B26" s="799"/>
      <c r="C26" s="794">
        <f>SUM(C24:C25)</f>
        <v>1509.7646973785609</v>
      </c>
      <c r="D26" s="794">
        <f t="shared" ref="D26:R26" si="2">SUM(D24:D25)</f>
        <v>12947.142857142855</v>
      </c>
      <c r="E26" s="794">
        <f t="shared" si="2"/>
        <v>4452.0000839831282</v>
      </c>
      <c r="F26" s="794">
        <f t="shared" si="2"/>
        <v>13.738845251411227</v>
      </c>
      <c r="G26" s="794">
        <f t="shared" si="2"/>
        <v>3761.7152245431357</v>
      </c>
      <c r="H26" s="794">
        <f t="shared" si="2"/>
        <v>0</v>
      </c>
      <c r="I26" s="794">
        <f t="shared" si="2"/>
        <v>0</v>
      </c>
      <c r="J26" s="794">
        <f t="shared" si="2"/>
        <v>0</v>
      </c>
      <c r="K26" s="794">
        <f t="shared" si="2"/>
        <v>163.96467608582239</v>
      </c>
      <c r="L26" s="794">
        <f t="shared" si="2"/>
        <v>0</v>
      </c>
      <c r="M26" s="794">
        <f t="shared" si="2"/>
        <v>0</v>
      </c>
      <c r="N26" s="794">
        <f t="shared" si="2"/>
        <v>0</v>
      </c>
      <c r="O26" s="794">
        <f t="shared" si="2"/>
        <v>0</v>
      </c>
      <c r="P26" s="794">
        <f t="shared" si="2"/>
        <v>0</v>
      </c>
      <c r="Q26" s="794">
        <f t="shared" si="2"/>
        <v>0</v>
      </c>
      <c r="R26" s="794">
        <f t="shared" si="2"/>
        <v>22848.326384384913</v>
      </c>
      <c r="S26" s="67"/>
    </row>
    <row r="27" spans="1:19" s="444" customFormat="1" ht="17.25" thickTop="1" thickBot="1">
      <c r="A27" s="685" t="s">
        <v>109</v>
      </c>
      <c r="B27" s="786"/>
      <c r="C27" s="686">
        <f ca="1">C22+C16+C26</f>
        <v>29963.148243514188</v>
      </c>
      <c r="D27" s="686">
        <f t="shared" ref="D27:R27" ca="1" si="3">D22+D16+D26</f>
        <v>12982.499999999998</v>
      </c>
      <c r="E27" s="686">
        <f t="shared" ca="1" si="3"/>
        <v>68397.031768787245</v>
      </c>
      <c r="F27" s="686">
        <f t="shared" si="3"/>
        <v>1229.2472603789709</v>
      </c>
      <c r="G27" s="686">
        <f t="shared" ca="1" si="3"/>
        <v>24683.041372008192</v>
      </c>
      <c r="H27" s="686">
        <f t="shared" si="3"/>
        <v>32704.452772245193</v>
      </c>
      <c r="I27" s="686">
        <f t="shared" si="3"/>
        <v>6412.4746326920676</v>
      </c>
      <c r="J27" s="686">
        <f t="shared" si="3"/>
        <v>0</v>
      </c>
      <c r="K27" s="686">
        <f t="shared" si="3"/>
        <v>503.77220372371414</v>
      </c>
      <c r="L27" s="686">
        <f t="shared" si="3"/>
        <v>0</v>
      </c>
      <c r="M27" s="686">
        <f t="shared" ca="1" si="3"/>
        <v>0</v>
      </c>
      <c r="N27" s="686">
        <f t="shared" si="3"/>
        <v>1768.8115243355544</v>
      </c>
      <c r="O27" s="686">
        <f t="shared" ca="1" si="3"/>
        <v>6541.678469419694</v>
      </c>
      <c r="P27" s="686">
        <f t="shared" si="3"/>
        <v>90.673333333333332</v>
      </c>
      <c r="Q27" s="686">
        <f t="shared" si="3"/>
        <v>247.86666666666667</v>
      </c>
      <c r="R27" s="686">
        <f t="shared" ca="1" si="3"/>
        <v>185524.69824710482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1981.5606498363516</v>
      </c>
      <c r="D40" s="676">
        <f ca="1">tertiair!C20</f>
        <v>8.4025210084033635</v>
      </c>
      <c r="E40" s="676">
        <f ca="1">tertiair!D20</f>
        <v>2453.3597286938657</v>
      </c>
      <c r="F40" s="676">
        <f>tertiair!E20</f>
        <v>33.096972888461252</v>
      </c>
      <c r="G40" s="676">
        <f ca="1">tertiair!F20</f>
        <v>479.11083719206829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4955.53070961915</v>
      </c>
    </row>
    <row r="41" spans="1:18">
      <c r="A41" s="804" t="s">
        <v>214</v>
      </c>
      <c r="B41" s="811"/>
      <c r="C41" s="676">
        <f ca="1">huishoudens!B12</f>
        <v>3142.7076535667406</v>
      </c>
      <c r="D41" s="676">
        <f ca="1">huishoudens!C12</f>
        <v>0</v>
      </c>
      <c r="E41" s="676">
        <f>huishoudens!D12</f>
        <v>10058.654193517563</v>
      </c>
      <c r="F41" s="676">
        <f>huishoudens!E12</f>
        <v>129.62800313388848</v>
      </c>
      <c r="G41" s="676">
        <f>huishoudens!F12</f>
        <v>4672.5134541312473</v>
      </c>
      <c r="H41" s="676">
        <f>huishoudens!G12</f>
        <v>0</v>
      </c>
      <c r="I41" s="676">
        <f>huishoudens!H12</f>
        <v>0</v>
      </c>
      <c r="J41" s="676">
        <f>huishoudens!I12</f>
        <v>0</v>
      </c>
      <c r="K41" s="676">
        <f>huishoudens!J12</f>
        <v>117.32130249204101</v>
      </c>
      <c r="L41" s="676">
        <f>huishoudens!K12</f>
        <v>0</v>
      </c>
      <c r="M41" s="676">
        <f>huishoudens!L12</f>
        <v>0</v>
      </c>
      <c r="N41" s="676">
        <f>huishoudens!M12</f>
        <v>0</v>
      </c>
      <c r="O41" s="676">
        <f>huishoudens!N12</f>
        <v>0</v>
      </c>
      <c r="P41" s="676">
        <f>huishoudens!O12</f>
        <v>0</v>
      </c>
      <c r="Q41" s="753">
        <f>huishoudens!P12</f>
        <v>0</v>
      </c>
      <c r="R41" s="832">
        <f t="shared" ca="1" si="4"/>
        <v>18120.824606841481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895.85284510689542</v>
      </c>
      <c r="D43" s="676">
        <f ca="1">industrie!C22</f>
        <v>0</v>
      </c>
      <c r="E43" s="676">
        <f>industrie!D22</f>
        <v>404.12617728136928</v>
      </c>
      <c r="F43" s="676">
        <f>industrie!E22</f>
        <v>82.947860517484202</v>
      </c>
      <c r="G43" s="676">
        <f>industrie!F22</f>
        <v>434.36979004985483</v>
      </c>
      <c r="H43" s="676">
        <f>industrie!G22</f>
        <v>0</v>
      </c>
      <c r="I43" s="676">
        <f>industrie!H22</f>
        <v>0</v>
      </c>
      <c r="J43" s="676">
        <f>industrie!I22</f>
        <v>0</v>
      </c>
      <c r="K43" s="676">
        <f>industrie!J22</f>
        <v>2.9705622917726671</v>
      </c>
      <c r="L43" s="676">
        <f>industrie!K22</f>
        <v>0</v>
      </c>
      <c r="M43" s="676">
        <f>industrie!L22</f>
        <v>0</v>
      </c>
      <c r="N43" s="676">
        <f>industrie!M22</f>
        <v>0</v>
      </c>
      <c r="O43" s="676">
        <f>industrie!N22</f>
        <v>0</v>
      </c>
      <c r="P43" s="676">
        <f>industrie!O22</f>
        <v>0</v>
      </c>
      <c r="Q43" s="753">
        <f>industrie!P22</f>
        <v>0</v>
      </c>
      <c r="R43" s="831">
        <f t="shared" ca="1" si="4"/>
        <v>1820.2672352473764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6020.1211485099875</v>
      </c>
      <c r="D46" s="711">
        <f t="shared" ref="D46:Q46" ca="1" si="5">SUM(D39:D45)</f>
        <v>8.4025210084033635</v>
      </c>
      <c r="E46" s="711">
        <f t="shared" ca="1" si="5"/>
        <v>12916.140099492797</v>
      </c>
      <c r="F46" s="711">
        <f t="shared" si="5"/>
        <v>245.67283653983392</v>
      </c>
      <c r="G46" s="711">
        <f t="shared" ca="1" si="5"/>
        <v>5585.99408137317</v>
      </c>
      <c r="H46" s="711">
        <f t="shared" si="5"/>
        <v>0</v>
      </c>
      <c r="I46" s="711">
        <f t="shared" si="5"/>
        <v>0</v>
      </c>
      <c r="J46" s="711">
        <f t="shared" si="5"/>
        <v>0</v>
      </c>
      <c r="K46" s="711">
        <f t="shared" si="5"/>
        <v>120.29186478381368</v>
      </c>
      <c r="L46" s="711">
        <f t="shared" si="5"/>
        <v>0</v>
      </c>
      <c r="M46" s="711">
        <f t="shared" ca="1" si="5"/>
        <v>0</v>
      </c>
      <c r="N46" s="711">
        <f t="shared" si="5"/>
        <v>0</v>
      </c>
      <c r="O46" s="711">
        <f t="shared" ca="1" si="5"/>
        <v>0</v>
      </c>
      <c r="P46" s="711">
        <f t="shared" si="5"/>
        <v>0</v>
      </c>
      <c r="Q46" s="711">
        <f t="shared" si="5"/>
        <v>0</v>
      </c>
      <c r="R46" s="711">
        <f ca="1">SUM(R39:R45)</f>
        <v>24896.622551708009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0.4928938344383097</v>
      </c>
      <c r="D49" s="676">
        <f ca="1">transport!C58</f>
        <v>0</v>
      </c>
      <c r="E49" s="676">
        <f>transport!D58</f>
        <v>0</v>
      </c>
      <c r="F49" s="676">
        <f>transport!E58</f>
        <v>0</v>
      </c>
      <c r="G49" s="676">
        <f>transport!F58</f>
        <v>0</v>
      </c>
      <c r="H49" s="676">
        <f>transport!G58</f>
        <v>121.04325318980541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121.53614702424372</v>
      </c>
    </row>
    <row r="50" spans="1:18">
      <c r="A50" s="807" t="s">
        <v>296</v>
      </c>
      <c r="B50" s="817"/>
      <c r="C50" s="682">
        <f ca="1">transport!B18</f>
        <v>0.81745995753238676</v>
      </c>
      <c r="D50" s="682">
        <f>transport!C18</f>
        <v>0</v>
      </c>
      <c r="E50" s="682">
        <f>transport!D18</f>
        <v>0.75630083763509481</v>
      </c>
      <c r="F50" s="682">
        <f>transport!E18</f>
        <v>30.24757369412206</v>
      </c>
      <c r="G50" s="682">
        <f>transport!F18</f>
        <v>0</v>
      </c>
      <c r="H50" s="682">
        <f>transport!G18</f>
        <v>8611.0456369996609</v>
      </c>
      <c r="I50" s="682">
        <f>transport!H18</f>
        <v>1596.7061835403249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10239.573155029277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1.3103537919706965</v>
      </c>
      <c r="D52" s="711">
        <f t="shared" ref="D52:Q52" ca="1" si="6">SUM(D48:D51)</f>
        <v>0</v>
      </c>
      <c r="E52" s="711">
        <f t="shared" si="6"/>
        <v>0.75630083763509481</v>
      </c>
      <c r="F52" s="711">
        <f t="shared" si="6"/>
        <v>30.24757369412206</v>
      </c>
      <c r="G52" s="711">
        <f t="shared" si="6"/>
        <v>0</v>
      </c>
      <c r="H52" s="711">
        <f t="shared" si="6"/>
        <v>8732.0888901894668</v>
      </c>
      <c r="I52" s="711">
        <f t="shared" si="6"/>
        <v>1596.7061835403249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10361.109302053521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230.72843357827429</v>
      </c>
      <c r="D54" s="682">
        <f ca="1">+landbouw!C12</f>
        <v>3076.8504201680671</v>
      </c>
      <c r="E54" s="682">
        <f>+landbouw!D12</f>
        <v>679.5940723296535</v>
      </c>
      <c r="F54" s="682">
        <f>+landbouw!E12</f>
        <v>3.1187178720703486</v>
      </c>
      <c r="G54" s="682">
        <f>+landbouw!F12</f>
        <v>1004.3779649530173</v>
      </c>
      <c r="H54" s="682">
        <f>+landbouw!G12</f>
        <v>0</v>
      </c>
      <c r="I54" s="682">
        <f>+landbouw!H12</f>
        <v>0</v>
      </c>
      <c r="J54" s="682">
        <f>+landbouw!I12</f>
        <v>0</v>
      </c>
      <c r="K54" s="682">
        <f>+landbouw!J12</f>
        <v>58.04349533438112</v>
      </c>
      <c r="L54" s="682">
        <f>+landbouw!K12</f>
        <v>0</v>
      </c>
      <c r="M54" s="682">
        <f>+landbouw!L12</f>
        <v>0</v>
      </c>
      <c r="N54" s="682">
        <f>+landbouw!M12</f>
        <v>0</v>
      </c>
      <c r="O54" s="682">
        <f>+landbouw!N12</f>
        <v>0</v>
      </c>
      <c r="P54" s="682">
        <f>+landbouw!O12</f>
        <v>0</v>
      </c>
      <c r="Q54" s="683">
        <f>+landbouw!P12</f>
        <v>0</v>
      </c>
      <c r="R54" s="710">
        <f ca="1">SUM(C54:Q54)</f>
        <v>5052.7131042354631</v>
      </c>
    </row>
    <row r="55" spans="1:18" ht="15" thickBot="1">
      <c r="A55" s="807" t="s">
        <v>833</v>
      </c>
      <c r="B55" s="817"/>
      <c r="C55" s="682">
        <f ca="1">C25*'EF ele_warmte'!B12</f>
        <v>88.77468263699663</v>
      </c>
      <c r="D55" s="682"/>
      <c r="E55" s="682">
        <f>E25*EF_CO2_aardgas</f>
        <v>219.70994463493855</v>
      </c>
      <c r="F55" s="682"/>
      <c r="G55" s="682"/>
      <c r="H55" s="682"/>
      <c r="I55" s="682"/>
      <c r="J55" s="682"/>
      <c r="K55" s="682"/>
      <c r="L55" s="682"/>
      <c r="M55" s="682"/>
      <c r="N55" s="682"/>
      <c r="O55" s="682"/>
      <c r="P55" s="682"/>
      <c r="Q55" s="683"/>
      <c r="R55" s="710">
        <f ca="1">SUM(C55:Q55)</f>
        <v>308.48462727193521</v>
      </c>
    </row>
    <row r="56" spans="1:18" ht="15.75" thickBot="1">
      <c r="A56" s="805" t="s">
        <v>834</v>
      </c>
      <c r="B56" s="818"/>
      <c r="C56" s="711">
        <f ca="1">SUM(C54:C55)</f>
        <v>319.50311621527089</v>
      </c>
      <c r="D56" s="711">
        <f t="shared" ref="D56:Q56" ca="1" si="7">SUM(D54:D55)</f>
        <v>3076.8504201680671</v>
      </c>
      <c r="E56" s="711">
        <f t="shared" si="7"/>
        <v>899.30401696459205</v>
      </c>
      <c r="F56" s="711">
        <f t="shared" si="7"/>
        <v>3.1187178720703486</v>
      </c>
      <c r="G56" s="711">
        <f t="shared" si="7"/>
        <v>1004.3779649530173</v>
      </c>
      <c r="H56" s="711">
        <f t="shared" si="7"/>
        <v>0</v>
      </c>
      <c r="I56" s="711">
        <f t="shared" si="7"/>
        <v>0</v>
      </c>
      <c r="J56" s="711">
        <f t="shared" si="7"/>
        <v>0</v>
      </c>
      <c r="K56" s="711">
        <f t="shared" si="7"/>
        <v>58.04349533438112</v>
      </c>
      <c r="L56" s="711">
        <f t="shared" si="7"/>
        <v>0</v>
      </c>
      <c r="M56" s="711">
        <f t="shared" si="7"/>
        <v>0</v>
      </c>
      <c r="N56" s="711">
        <f t="shared" si="7"/>
        <v>0</v>
      </c>
      <c r="O56" s="711">
        <f t="shared" si="7"/>
        <v>0</v>
      </c>
      <c r="P56" s="711">
        <f t="shared" si="7"/>
        <v>0</v>
      </c>
      <c r="Q56" s="712">
        <f t="shared" si="7"/>
        <v>0</v>
      </c>
      <c r="R56" s="713">
        <f ca="1">SUM(R54:R55)</f>
        <v>5361.1977315073982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6340.934618517229</v>
      </c>
      <c r="D61" s="719">
        <f t="shared" ref="D61:Q61" ca="1" si="8">D46+D52+D56</f>
        <v>3085.2529411764704</v>
      </c>
      <c r="E61" s="719">
        <f t="shared" ca="1" si="8"/>
        <v>13816.200417295024</v>
      </c>
      <c r="F61" s="719">
        <f t="shared" si="8"/>
        <v>279.03912810602634</v>
      </c>
      <c r="G61" s="719">
        <f t="shared" ca="1" si="8"/>
        <v>6590.372046326187</v>
      </c>
      <c r="H61" s="719">
        <f t="shared" si="8"/>
        <v>8732.0888901894668</v>
      </c>
      <c r="I61" s="719">
        <f t="shared" si="8"/>
        <v>1596.7061835403249</v>
      </c>
      <c r="J61" s="719">
        <f t="shared" si="8"/>
        <v>0</v>
      </c>
      <c r="K61" s="719">
        <f t="shared" si="8"/>
        <v>178.33536011819479</v>
      </c>
      <c r="L61" s="719">
        <f t="shared" si="8"/>
        <v>0</v>
      </c>
      <c r="M61" s="719">
        <f t="shared" ca="1" si="8"/>
        <v>0</v>
      </c>
      <c r="N61" s="719">
        <f t="shared" si="8"/>
        <v>0</v>
      </c>
      <c r="O61" s="719">
        <f t="shared" ca="1" si="8"/>
        <v>0</v>
      </c>
      <c r="P61" s="719">
        <f t="shared" si="8"/>
        <v>0</v>
      </c>
      <c r="Q61" s="719">
        <f t="shared" si="8"/>
        <v>0</v>
      </c>
      <c r="R61" s="719">
        <f ca="1">R46+R52+R56</f>
        <v>40618.929585268925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0.21162444503440273</v>
      </c>
      <c r="D63" s="762">
        <f t="shared" ca="1" si="9"/>
        <v>0.23764705882352943</v>
      </c>
      <c r="E63" s="984">
        <f t="shared" ca="1" si="9"/>
        <v>0.20200000000000001</v>
      </c>
      <c r="F63" s="762">
        <f t="shared" si="9"/>
        <v>0.22699999999999995</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1955.6807788368169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9087.7499999999982</v>
      </c>
      <c r="D76" s="994">
        <f>'lokale energieproductie'!C8</f>
        <v>10691.470588235292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2159.677058823529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1955.6807788368169</v>
      </c>
      <c r="C78" s="734">
        <f>SUM(C72:C77)</f>
        <v>9087.7499999999982</v>
      </c>
      <c r="D78" s="735">
        <f t="shared" ref="D78:H78" si="10">SUM(D76:D77)</f>
        <v>10691.470588235292</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2159.677058823529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12982.499999999998</v>
      </c>
      <c r="D87" s="756">
        <f>'lokale energieproductie'!C17</f>
        <v>15273.529411764704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3085.2529411764704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12982.499999999998</v>
      </c>
      <c r="D90" s="734">
        <f t="shared" ref="D90:H90" si="12">SUM(D87:D89)</f>
        <v>15273.529411764704</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3085.2529411764704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14850.399976504825</v>
      </c>
      <c r="C4" s="448">
        <f>huishoudens!C8</f>
        <v>0</v>
      </c>
      <c r="D4" s="448">
        <f>huishoudens!D8</f>
        <v>49795.317789690904</v>
      </c>
      <c r="E4" s="448">
        <f>huishoudens!E8</f>
        <v>571.04847195545585</v>
      </c>
      <c r="F4" s="448">
        <f>huishoudens!F8</f>
        <v>17500.050390004671</v>
      </c>
      <c r="G4" s="448">
        <f>huishoudens!G8</f>
        <v>0</v>
      </c>
      <c r="H4" s="448">
        <f>huishoudens!H8</f>
        <v>0</v>
      </c>
      <c r="I4" s="448">
        <f>huishoudens!I8</f>
        <v>0</v>
      </c>
      <c r="J4" s="448">
        <f>huishoudens!J8</f>
        <v>331.41610873457915</v>
      </c>
      <c r="K4" s="448">
        <f>huishoudens!K8</f>
        <v>0</v>
      </c>
      <c r="L4" s="448">
        <f>huishoudens!L8</f>
        <v>0</v>
      </c>
      <c r="M4" s="448">
        <f>huishoudens!M8</f>
        <v>0</v>
      </c>
      <c r="N4" s="448">
        <f>huishoudens!N8</f>
        <v>5480.5832271555628</v>
      </c>
      <c r="O4" s="448">
        <f>huishoudens!O8</f>
        <v>89.11</v>
      </c>
      <c r="P4" s="449">
        <f>huishoudens!P8</f>
        <v>247.86666666666667</v>
      </c>
      <c r="Q4" s="450">
        <f>SUM(B4:P4)</f>
        <v>88865.792630712662</v>
      </c>
    </row>
    <row r="5" spans="1:17">
      <c r="A5" s="447" t="s">
        <v>149</v>
      </c>
      <c r="B5" s="448">
        <f ca="1">tertiair!B16</f>
        <v>8921.7576304617796</v>
      </c>
      <c r="C5" s="448">
        <f ca="1">tertiair!C16</f>
        <v>35.357142857142861</v>
      </c>
      <c r="D5" s="448">
        <f ca="1">tertiair!D16</f>
        <v>12145.34519155379</v>
      </c>
      <c r="E5" s="448">
        <f>tertiair!E16</f>
        <v>145.80164268044604</v>
      </c>
      <c r="F5" s="448">
        <f ca="1">tertiair!F16</f>
        <v>1794.4226112062481</v>
      </c>
      <c r="G5" s="448">
        <f>tertiair!G16</f>
        <v>0</v>
      </c>
      <c r="H5" s="448">
        <f>tertiair!H16</f>
        <v>0</v>
      </c>
      <c r="I5" s="448">
        <f>tertiair!I16</f>
        <v>0</v>
      </c>
      <c r="J5" s="448">
        <f>tertiair!J16</f>
        <v>0</v>
      </c>
      <c r="K5" s="448">
        <f>tertiair!K16</f>
        <v>0</v>
      </c>
      <c r="L5" s="448">
        <f ca="1">tertiair!L16</f>
        <v>0</v>
      </c>
      <c r="M5" s="448">
        <f>tertiair!M16</f>
        <v>0</v>
      </c>
      <c r="N5" s="448">
        <f ca="1">tertiair!N16</f>
        <v>769.02938655261232</v>
      </c>
      <c r="O5" s="448">
        <f>tertiair!O16</f>
        <v>1.5633333333333335</v>
      </c>
      <c r="P5" s="449">
        <f>tertiair!P16</f>
        <v>0</v>
      </c>
      <c r="Q5" s="447">
        <f t="shared" ref="Q5:Q14" ca="1" si="0">SUM(B5:P5)</f>
        <v>23813.276938645351</v>
      </c>
    </row>
    <row r="6" spans="1:17">
      <c r="A6" s="447" t="s">
        <v>187</v>
      </c>
      <c r="B6" s="448">
        <f>'openbare verlichting'!B8</f>
        <v>441.81400000000002</v>
      </c>
      <c r="C6" s="448"/>
      <c r="D6" s="448"/>
      <c r="E6" s="448"/>
      <c r="F6" s="448"/>
      <c r="G6" s="448"/>
      <c r="H6" s="448"/>
      <c r="I6" s="448"/>
      <c r="J6" s="448"/>
      <c r="K6" s="448"/>
      <c r="L6" s="448"/>
      <c r="M6" s="448"/>
      <c r="N6" s="448"/>
      <c r="O6" s="448"/>
      <c r="P6" s="449"/>
      <c r="Q6" s="447">
        <f t="shared" si="0"/>
        <v>441.81400000000002</v>
      </c>
    </row>
    <row r="7" spans="1:17">
      <c r="A7" s="447" t="s">
        <v>105</v>
      </c>
      <c r="B7" s="448">
        <f>landbouw!B8</f>
        <v>1090.2730709619389</v>
      </c>
      <c r="C7" s="448">
        <f>landbouw!C8</f>
        <v>12947.142857142855</v>
      </c>
      <c r="D7" s="448">
        <f>landbouw!D8</f>
        <v>3364.3270907408587</v>
      </c>
      <c r="E7" s="448">
        <f>landbouw!E8</f>
        <v>13.738845251411227</v>
      </c>
      <c r="F7" s="448">
        <f>landbouw!F8</f>
        <v>3761.7152245431357</v>
      </c>
      <c r="G7" s="448">
        <f>landbouw!G8</f>
        <v>0</v>
      </c>
      <c r="H7" s="448">
        <f>landbouw!H8</f>
        <v>0</v>
      </c>
      <c r="I7" s="448">
        <f>landbouw!I8</f>
        <v>0</v>
      </c>
      <c r="J7" s="448">
        <f>landbouw!J8</f>
        <v>163.96467608582239</v>
      </c>
      <c r="K7" s="448">
        <f>landbouw!K8</f>
        <v>0</v>
      </c>
      <c r="L7" s="448">
        <f>landbouw!L8</f>
        <v>0</v>
      </c>
      <c r="M7" s="448">
        <f>landbouw!M8</f>
        <v>0</v>
      </c>
      <c r="N7" s="448">
        <f>landbouw!N8</f>
        <v>0</v>
      </c>
      <c r="O7" s="448">
        <f>landbouw!O8</f>
        <v>0</v>
      </c>
      <c r="P7" s="449">
        <f>landbouw!P8</f>
        <v>0</v>
      </c>
      <c r="Q7" s="447">
        <f t="shared" si="0"/>
        <v>21341.161764726021</v>
      </c>
    </row>
    <row r="8" spans="1:17">
      <c r="A8" s="447" t="s">
        <v>639</v>
      </c>
      <c r="B8" s="448">
        <f>industrie!B18</f>
        <v>4233.220056223945</v>
      </c>
      <c r="C8" s="448">
        <f>industrie!C18</f>
        <v>0</v>
      </c>
      <c r="D8" s="448">
        <f>industrie!D18</f>
        <v>2000.6246400067785</v>
      </c>
      <c r="E8" s="448">
        <f>industrie!E18</f>
        <v>365.40907716953393</v>
      </c>
      <c r="F8" s="448">
        <f>industrie!F18</f>
        <v>1626.8531462541378</v>
      </c>
      <c r="G8" s="448">
        <f>industrie!G18</f>
        <v>0</v>
      </c>
      <c r="H8" s="448">
        <f>industrie!H18</f>
        <v>0</v>
      </c>
      <c r="I8" s="448">
        <f>industrie!I18</f>
        <v>0</v>
      </c>
      <c r="J8" s="448">
        <f>industrie!J18</f>
        <v>8.3914189033126192</v>
      </c>
      <c r="K8" s="448">
        <f>industrie!K18</f>
        <v>0</v>
      </c>
      <c r="L8" s="448">
        <f>industrie!L18</f>
        <v>0</v>
      </c>
      <c r="M8" s="448">
        <f>industrie!M18</f>
        <v>0</v>
      </c>
      <c r="N8" s="448">
        <f>industrie!N18</f>
        <v>292.06585571151834</v>
      </c>
      <c r="O8" s="448">
        <f>industrie!O18</f>
        <v>0</v>
      </c>
      <c r="P8" s="449">
        <f>industrie!P18</f>
        <v>0</v>
      </c>
      <c r="Q8" s="447">
        <f t="shared" si="0"/>
        <v>8526.5641942692255</v>
      </c>
    </row>
    <row r="9" spans="1:17" s="453" customFormat="1">
      <c r="A9" s="451" t="s">
        <v>557</v>
      </c>
      <c r="B9" s="452">
        <f>transport!B14</f>
        <v>3.862786066134734</v>
      </c>
      <c r="C9" s="452">
        <f>transport!C14</f>
        <v>0</v>
      </c>
      <c r="D9" s="452">
        <f>transport!D14</f>
        <v>3.7440635526489841</v>
      </c>
      <c r="E9" s="452">
        <f>transport!E14</f>
        <v>133.24922332212361</v>
      </c>
      <c r="F9" s="452">
        <f>transport!F14</f>
        <v>0</v>
      </c>
      <c r="G9" s="452">
        <f>transport!G14</f>
        <v>32251.107254680377</v>
      </c>
      <c r="H9" s="452">
        <f>transport!H14</f>
        <v>6412.4746326920676</v>
      </c>
      <c r="I9" s="452">
        <f>transport!I14</f>
        <v>0</v>
      </c>
      <c r="J9" s="452">
        <f>transport!J14</f>
        <v>0</v>
      </c>
      <c r="K9" s="452">
        <f>transport!K14</f>
        <v>0</v>
      </c>
      <c r="L9" s="452">
        <f>transport!L14</f>
        <v>0</v>
      </c>
      <c r="M9" s="452">
        <f>transport!M14</f>
        <v>1748.4831304043842</v>
      </c>
      <c r="N9" s="452">
        <f>transport!N14</f>
        <v>0</v>
      </c>
      <c r="O9" s="452">
        <f>transport!O14</f>
        <v>0</v>
      </c>
      <c r="P9" s="452">
        <f>transport!P14</f>
        <v>0</v>
      </c>
      <c r="Q9" s="451">
        <f>SUM(B9:P9)</f>
        <v>40552.921090717733</v>
      </c>
    </row>
    <row r="10" spans="1:17">
      <c r="A10" s="447" t="s">
        <v>547</v>
      </c>
      <c r="B10" s="448">
        <f>transport!B54</f>
        <v>2.329096878946014</v>
      </c>
      <c r="C10" s="448">
        <f>transport!C54</f>
        <v>0</v>
      </c>
      <c r="D10" s="448">
        <f>transport!D54</f>
        <v>0</v>
      </c>
      <c r="E10" s="448">
        <f>transport!E54</f>
        <v>0</v>
      </c>
      <c r="F10" s="448">
        <f>transport!F54</f>
        <v>0</v>
      </c>
      <c r="G10" s="448">
        <f>transport!G54</f>
        <v>453.34551756481426</v>
      </c>
      <c r="H10" s="448">
        <f>transport!H54</f>
        <v>0</v>
      </c>
      <c r="I10" s="448">
        <f>transport!I54</f>
        <v>0</v>
      </c>
      <c r="J10" s="448">
        <f>transport!J54</f>
        <v>0</v>
      </c>
      <c r="K10" s="448">
        <f>transport!K54</f>
        <v>0</v>
      </c>
      <c r="L10" s="448">
        <f>transport!L54</f>
        <v>0</v>
      </c>
      <c r="M10" s="448">
        <f>transport!M54</f>
        <v>20.328393931170151</v>
      </c>
      <c r="N10" s="448">
        <f>transport!N54</f>
        <v>0</v>
      </c>
      <c r="O10" s="448">
        <f>transport!O54</f>
        <v>0</v>
      </c>
      <c r="P10" s="449">
        <f>transport!P54</f>
        <v>0</v>
      </c>
      <c r="Q10" s="447">
        <f t="shared" si="0"/>
        <v>476.0030083749304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419.49162641662201</v>
      </c>
      <c r="C14" s="455"/>
      <c r="D14" s="455">
        <f>'SEAP template'!E25</f>
        <v>1087.67299324227</v>
      </c>
      <c r="E14" s="455"/>
      <c r="F14" s="455"/>
      <c r="G14" s="455"/>
      <c r="H14" s="455"/>
      <c r="I14" s="455"/>
      <c r="J14" s="455"/>
      <c r="K14" s="455"/>
      <c r="L14" s="455"/>
      <c r="M14" s="455"/>
      <c r="N14" s="455"/>
      <c r="O14" s="455"/>
      <c r="P14" s="456"/>
      <c r="Q14" s="447">
        <f t="shared" si="0"/>
        <v>1507.164619658892</v>
      </c>
    </row>
    <row r="15" spans="1:17" s="460" customFormat="1">
      <c r="A15" s="457" t="s">
        <v>551</v>
      </c>
      <c r="B15" s="458">
        <f ca="1">SUM(B4:B14)</f>
        <v>29963.148243514188</v>
      </c>
      <c r="C15" s="458">
        <f t="shared" ref="C15:Q15" ca="1" si="1">SUM(C4:C14)</f>
        <v>12982.499999999998</v>
      </c>
      <c r="D15" s="458">
        <f t="shared" ca="1" si="1"/>
        <v>68397.031768787245</v>
      </c>
      <c r="E15" s="458">
        <f t="shared" si="1"/>
        <v>1229.2472603789706</v>
      </c>
      <c r="F15" s="458">
        <f t="shared" ca="1" si="1"/>
        <v>24683.041372008192</v>
      </c>
      <c r="G15" s="458">
        <f t="shared" si="1"/>
        <v>32704.452772245193</v>
      </c>
      <c r="H15" s="458">
        <f t="shared" si="1"/>
        <v>6412.4746326920676</v>
      </c>
      <c r="I15" s="458">
        <f t="shared" si="1"/>
        <v>0</v>
      </c>
      <c r="J15" s="458">
        <f t="shared" si="1"/>
        <v>503.7722037237142</v>
      </c>
      <c r="K15" s="458">
        <f t="shared" si="1"/>
        <v>0</v>
      </c>
      <c r="L15" s="458">
        <f t="shared" ca="1" si="1"/>
        <v>0</v>
      </c>
      <c r="M15" s="458">
        <f t="shared" si="1"/>
        <v>1768.8115243355544</v>
      </c>
      <c r="N15" s="458">
        <f t="shared" ca="1" si="1"/>
        <v>6541.678469419694</v>
      </c>
      <c r="O15" s="458">
        <f t="shared" si="1"/>
        <v>90.673333333333332</v>
      </c>
      <c r="P15" s="458">
        <f t="shared" si="1"/>
        <v>247.86666666666667</v>
      </c>
      <c r="Q15" s="458">
        <f t="shared" ca="1" si="1"/>
        <v>185524.69824710482</v>
      </c>
    </row>
    <row r="17" spans="1:17">
      <c r="A17" s="461" t="s">
        <v>552</v>
      </c>
      <c r="B17" s="767">
        <f ca="1">huishoudens!B10</f>
        <v>0.21162444503440273</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3142.7076535667406</v>
      </c>
      <c r="C22" s="448">
        <f t="shared" ref="C22:C32" ca="1" si="3">C4*$C$17</f>
        <v>0</v>
      </c>
      <c r="D22" s="448">
        <f t="shared" ref="D22:D32" si="4">D4*$D$17</f>
        <v>10058.654193517563</v>
      </c>
      <c r="E22" s="448">
        <f t="shared" ref="E22:E32" si="5">E4*$E$17</f>
        <v>129.62800313388848</v>
      </c>
      <c r="F22" s="448">
        <f t="shared" ref="F22:F32" si="6">F4*$F$17</f>
        <v>4672.5134541312473</v>
      </c>
      <c r="G22" s="448">
        <f t="shared" ref="G22:G32" si="7">G4*$G$17</f>
        <v>0</v>
      </c>
      <c r="H22" s="448">
        <f t="shared" ref="H22:H32" si="8">H4*$H$17</f>
        <v>0</v>
      </c>
      <c r="I22" s="448">
        <f t="shared" ref="I22:I32" si="9">I4*$I$17</f>
        <v>0</v>
      </c>
      <c r="J22" s="448">
        <f t="shared" ref="J22:J32" si="10">J4*$J$17</f>
        <v>117.32130249204101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18120.824606841481</v>
      </c>
    </row>
    <row r="23" spans="1:17">
      <c r="A23" s="447" t="s">
        <v>149</v>
      </c>
      <c r="B23" s="448">
        <f t="shared" ca="1" si="2"/>
        <v>1888.062007277922</v>
      </c>
      <c r="C23" s="448">
        <f t="shared" ca="1" si="3"/>
        <v>8.4025210084033635</v>
      </c>
      <c r="D23" s="448">
        <f t="shared" ca="1" si="4"/>
        <v>2453.3597286938657</v>
      </c>
      <c r="E23" s="448">
        <f t="shared" si="5"/>
        <v>33.096972888461252</v>
      </c>
      <c r="F23" s="448">
        <f t="shared" ca="1" si="6"/>
        <v>479.11083719206829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4862.0320670607207</v>
      </c>
    </row>
    <row r="24" spans="1:17">
      <c r="A24" s="447" t="s">
        <v>187</v>
      </c>
      <c r="B24" s="448">
        <f t="shared" ca="1" si="2"/>
        <v>93.498642558429609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93.498642558429609</v>
      </c>
    </row>
    <row r="25" spans="1:17">
      <c r="A25" s="447" t="s">
        <v>105</v>
      </c>
      <c r="B25" s="448">
        <f t="shared" ca="1" si="2"/>
        <v>230.72843357827429</v>
      </c>
      <c r="C25" s="448">
        <f t="shared" ca="1" si="3"/>
        <v>3076.8504201680671</v>
      </c>
      <c r="D25" s="448">
        <f t="shared" si="4"/>
        <v>679.5940723296535</v>
      </c>
      <c r="E25" s="448">
        <f t="shared" si="5"/>
        <v>3.1187178720703486</v>
      </c>
      <c r="F25" s="448">
        <f t="shared" si="6"/>
        <v>1004.3779649530173</v>
      </c>
      <c r="G25" s="448">
        <f t="shared" si="7"/>
        <v>0</v>
      </c>
      <c r="H25" s="448">
        <f t="shared" si="8"/>
        <v>0</v>
      </c>
      <c r="I25" s="448">
        <f t="shared" si="9"/>
        <v>0</v>
      </c>
      <c r="J25" s="448">
        <f t="shared" si="10"/>
        <v>58.04349533438112</v>
      </c>
      <c r="K25" s="448">
        <f t="shared" si="11"/>
        <v>0</v>
      </c>
      <c r="L25" s="448">
        <f t="shared" si="12"/>
        <v>0</v>
      </c>
      <c r="M25" s="448">
        <f t="shared" si="13"/>
        <v>0</v>
      </c>
      <c r="N25" s="448">
        <f t="shared" si="14"/>
        <v>0</v>
      </c>
      <c r="O25" s="448">
        <f t="shared" si="15"/>
        <v>0</v>
      </c>
      <c r="P25" s="449">
        <f t="shared" si="16"/>
        <v>0</v>
      </c>
      <c r="Q25" s="447">
        <f t="shared" ca="1" si="17"/>
        <v>5052.7131042354631</v>
      </c>
    </row>
    <row r="26" spans="1:17">
      <c r="A26" s="447" t="s">
        <v>639</v>
      </c>
      <c r="B26" s="448">
        <f t="shared" ca="1" si="2"/>
        <v>895.85284510689542</v>
      </c>
      <c r="C26" s="448">
        <f t="shared" ca="1" si="3"/>
        <v>0</v>
      </c>
      <c r="D26" s="448">
        <f t="shared" si="4"/>
        <v>404.12617728136928</v>
      </c>
      <c r="E26" s="448">
        <f t="shared" si="5"/>
        <v>82.947860517484202</v>
      </c>
      <c r="F26" s="448">
        <f t="shared" si="6"/>
        <v>434.36979004985483</v>
      </c>
      <c r="G26" s="448">
        <f t="shared" si="7"/>
        <v>0</v>
      </c>
      <c r="H26" s="448">
        <f t="shared" si="8"/>
        <v>0</v>
      </c>
      <c r="I26" s="448">
        <f t="shared" si="9"/>
        <v>0</v>
      </c>
      <c r="J26" s="448">
        <f t="shared" si="10"/>
        <v>2.9705622917726671</v>
      </c>
      <c r="K26" s="448">
        <f t="shared" si="11"/>
        <v>0</v>
      </c>
      <c r="L26" s="448">
        <f t="shared" si="12"/>
        <v>0</v>
      </c>
      <c r="M26" s="448">
        <f t="shared" si="13"/>
        <v>0</v>
      </c>
      <c r="N26" s="448">
        <f t="shared" si="14"/>
        <v>0</v>
      </c>
      <c r="O26" s="448">
        <f t="shared" si="15"/>
        <v>0</v>
      </c>
      <c r="P26" s="449">
        <f t="shared" si="16"/>
        <v>0</v>
      </c>
      <c r="Q26" s="447">
        <f t="shared" ca="1" si="17"/>
        <v>1820.2672352473764</v>
      </c>
    </row>
    <row r="27" spans="1:17" s="453" customFormat="1">
      <c r="A27" s="451" t="s">
        <v>557</v>
      </c>
      <c r="B27" s="761">
        <f t="shared" ca="1" si="2"/>
        <v>0.81745995753238676</v>
      </c>
      <c r="C27" s="452">
        <f t="shared" ca="1" si="3"/>
        <v>0</v>
      </c>
      <c r="D27" s="452">
        <f t="shared" si="4"/>
        <v>0.75630083763509481</v>
      </c>
      <c r="E27" s="452">
        <f t="shared" si="5"/>
        <v>30.24757369412206</v>
      </c>
      <c r="F27" s="452">
        <f t="shared" si="6"/>
        <v>0</v>
      </c>
      <c r="G27" s="452">
        <f t="shared" si="7"/>
        <v>8611.0456369996609</v>
      </c>
      <c r="H27" s="452">
        <f t="shared" si="8"/>
        <v>1596.7061835403249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10239.573155029277</v>
      </c>
    </row>
    <row r="28" spans="1:17">
      <c r="A28" s="447" t="s">
        <v>547</v>
      </c>
      <c r="B28" s="448">
        <f t="shared" ca="1" si="2"/>
        <v>0.4928938344383097</v>
      </c>
      <c r="C28" s="448">
        <f t="shared" ca="1" si="3"/>
        <v>0</v>
      </c>
      <c r="D28" s="448">
        <f t="shared" si="4"/>
        <v>0</v>
      </c>
      <c r="E28" s="448">
        <f t="shared" si="5"/>
        <v>0</v>
      </c>
      <c r="F28" s="448">
        <f t="shared" si="6"/>
        <v>0</v>
      </c>
      <c r="G28" s="448">
        <f t="shared" si="7"/>
        <v>121.04325318980541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121.53614702424372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88.77468263699663</v>
      </c>
      <c r="C32" s="448">
        <f t="shared" ca="1" si="3"/>
        <v>0</v>
      </c>
      <c r="D32" s="448">
        <f t="shared" si="4"/>
        <v>219.70994463493855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308.48462727193521</v>
      </c>
    </row>
    <row r="33" spans="1:17" s="460" customFormat="1">
      <c r="A33" s="457" t="s">
        <v>551</v>
      </c>
      <c r="B33" s="458">
        <f ca="1">SUM(B22:B32)</f>
        <v>6340.934618517228</v>
      </c>
      <c r="C33" s="458">
        <f t="shared" ref="C33:Q33" ca="1" si="18">SUM(C22:C32)</f>
        <v>3085.2529411764704</v>
      </c>
      <c r="D33" s="458">
        <f t="shared" ca="1" si="18"/>
        <v>13816.200417295024</v>
      </c>
      <c r="E33" s="458">
        <f t="shared" si="18"/>
        <v>279.03912810602634</v>
      </c>
      <c r="F33" s="458">
        <f t="shared" ca="1" si="18"/>
        <v>6590.372046326187</v>
      </c>
      <c r="G33" s="458">
        <f t="shared" si="18"/>
        <v>8732.0888901894668</v>
      </c>
      <c r="H33" s="458">
        <f t="shared" si="18"/>
        <v>1596.7061835403249</v>
      </c>
      <c r="I33" s="458">
        <f t="shared" si="18"/>
        <v>0</v>
      </c>
      <c r="J33" s="458">
        <f t="shared" si="18"/>
        <v>178.33536011819481</v>
      </c>
      <c r="K33" s="458">
        <f t="shared" si="18"/>
        <v>0</v>
      </c>
      <c r="L33" s="458">
        <f t="shared" ca="1" si="18"/>
        <v>0</v>
      </c>
      <c r="M33" s="458">
        <f t="shared" si="18"/>
        <v>0</v>
      </c>
      <c r="N33" s="458">
        <f t="shared" ca="1" si="18"/>
        <v>0</v>
      </c>
      <c r="O33" s="458">
        <f t="shared" si="18"/>
        <v>0</v>
      </c>
      <c r="P33" s="458">
        <f t="shared" si="18"/>
        <v>0</v>
      </c>
      <c r="Q33" s="458">
        <f t="shared" ca="1" si="18"/>
        <v>40618.929585268925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1955.6807788368169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9087.7499999999982</v>
      </c>
      <c r="D8" s="1020">
        <f>'SEAP template'!D76</f>
        <v>10691.470588235292</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2159.677058823529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1955.6807788368169</v>
      </c>
      <c r="C10" s="1024">
        <f>SUM(C4:C9)</f>
        <v>9087.7499999999982</v>
      </c>
      <c r="D10" s="1024">
        <f t="shared" ref="D10:H10" si="0">SUM(D8:D9)</f>
        <v>10691.470588235292</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2159.677058823529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0.21162444503440273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12982.499999999998</v>
      </c>
      <c r="D17" s="1021">
        <f>'SEAP template'!D87</f>
        <v>15273.529411764704</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3085.2529411764704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12982.499999999998</v>
      </c>
      <c r="D20" s="1024">
        <f t="shared" ref="D20:H20" si="2">SUM(D17:D19)</f>
        <v>15273.529411764704</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3085.2529411764704</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0.21162444503440273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0.21162444503440273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0.21162444503440273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3638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1206</v>
      </c>
      <c r="C14" s="327"/>
      <c r="D14" s="327"/>
      <c r="E14" s="327"/>
      <c r="F14" s="327"/>
    </row>
    <row r="15" spans="1:6">
      <c r="A15" s="1296" t="s">
        <v>177</v>
      </c>
      <c r="B15" s="1297">
        <v>12</v>
      </c>
      <c r="C15" s="327"/>
      <c r="D15" s="327"/>
      <c r="E15" s="327"/>
      <c r="F15" s="327"/>
    </row>
    <row r="16" spans="1:6">
      <c r="A16" s="1296" t="s">
        <v>6</v>
      </c>
      <c r="B16" s="1297">
        <v>910</v>
      </c>
      <c r="C16" s="327"/>
      <c r="D16" s="327"/>
      <c r="E16" s="327"/>
      <c r="F16" s="327"/>
    </row>
    <row r="17" spans="1:6">
      <c r="A17" s="1296" t="s">
        <v>7</v>
      </c>
      <c r="B17" s="1297">
        <v>59</v>
      </c>
      <c r="C17" s="327"/>
      <c r="D17" s="327"/>
      <c r="E17" s="327"/>
      <c r="F17" s="327"/>
    </row>
    <row r="18" spans="1:6">
      <c r="A18" s="1296" t="s">
        <v>8</v>
      </c>
      <c r="B18" s="1297">
        <v>536</v>
      </c>
      <c r="C18" s="327"/>
      <c r="D18" s="327"/>
      <c r="E18" s="327"/>
      <c r="F18" s="327"/>
    </row>
    <row r="19" spans="1:6">
      <c r="A19" s="1296" t="s">
        <v>9</v>
      </c>
      <c r="B19" s="1297">
        <v>519</v>
      </c>
      <c r="C19" s="327"/>
      <c r="D19" s="327"/>
      <c r="E19" s="327"/>
      <c r="F19" s="327"/>
    </row>
    <row r="20" spans="1:6">
      <c r="A20" s="1296" t="s">
        <v>10</v>
      </c>
      <c r="B20" s="1297">
        <v>278</v>
      </c>
      <c r="C20" s="327"/>
      <c r="D20" s="327"/>
      <c r="E20" s="327"/>
      <c r="F20" s="327"/>
    </row>
    <row r="21" spans="1:6">
      <c r="A21" s="1296" t="s">
        <v>11</v>
      </c>
      <c r="B21" s="1297">
        <v>2656</v>
      </c>
      <c r="C21" s="327"/>
      <c r="D21" s="327"/>
      <c r="E21" s="327"/>
      <c r="F21" s="327"/>
    </row>
    <row r="22" spans="1:6">
      <c r="A22" s="1296" t="s">
        <v>12</v>
      </c>
      <c r="B22" s="1297">
        <v>7915</v>
      </c>
      <c r="C22" s="327"/>
      <c r="D22" s="327"/>
      <c r="E22" s="327"/>
      <c r="F22" s="327"/>
    </row>
    <row r="23" spans="1:6">
      <c r="A23" s="1296" t="s">
        <v>13</v>
      </c>
      <c r="B23" s="1297">
        <v>136</v>
      </c>
      <c r="C23" s="327"/>
      <c r="D23" s="327"/>
      <c r="E23" s="327"/>
      <c r="F23" s="327"/>
    </row>
    <row r="24" spans="1:6">
      <c r="A24" s="1296" t="s">
        <v>14</v>
      </c>
      <c r="B24" s="1297">
        <v>11</v>
      </c>
      <c r="C24" s="327"/>
      <c r="D24" s="327"/>
      <c r="E24" s="327"/>
      <c r="F24" s="327"/>
    </row>
    <row r="25" spans="1:6">
      <c r="A25" s="1296" t="s">
        <v>15</v>
      </c>
      <c r="B25" s="1297">
        <v>906</v>
      </c>
      <c r="C25" s="327"/>
      <c r="D25" s="327"/>
      <c r="E25" s="327"/>
      <c r="F25" s="327"/>
    </row>
    <row r="26" spans="1:6">
      <c r="A26" s="1296" t="s">
        <v>16</v>
      </c>
      <c r="B26" s="1297">
        <v>43</v>
      </c>
      <c r="C26" s="327"/>
      <c r="D26" s="327"/>
      <c r="E26" s="327"/>
      <c r="F26" s="327"/>
    </row>
    <row r="27" spans="1:6">
      <c r="A27" s="1296" t="s">
        <v>17</v>
      </c>
      <c r="B27" s="1297">
        <v>4</v>
      </c>
      <c r="C27" s="327"/>
      <c r="D27" s="327"/>
      <c r="E27" s="327"/>
      <c r="F27" s="327"/>
    </row>
    <row r="28" spans="1:6">
      <c r="A28" s="1296" t="s">
        <v>18</v>
      </c>
      <c r="B28" s="1298">
        <v>0</v>
      </c>
      <c r="C28" s="327"/>
      <c r="D28" s="327"/>
      <c r="E28" s="327"/>
      <c r="F28" s="327"/>
    </row>
    <row r="29" spans="1:6">
      <c r="A29" s="1296" t="s">
        <v>922</v>
      </c>
      <c r="B29" s="1298">
        <v>122</v>
      </c>
      <c r="C29" s="327"/>
      <c r="D29" s="327"/>
      <c r="E29" s="327"/>
      <c r="F29" s="327"/>
    </row>
    <row r="30" spans="1:6">
      <c r="A30" s="1291" t="s">
        <v>923</v>
      </c>
      <c r="B30" s="1299">
        <v>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129912.241437403</v>
      </c>
      <c r="E38" s="1297">
        <v>2</v>
      </c>
      <c r="F38" s="1297">
        <v>51310.486863024002</v>
      </c>
    </row>
    <row r="39" spans="1:6">
      <c r="A39" s="1296" t="s">
        <v>29</v>
      </c>
      <c r="B39" s="1296" t="s">
        <v>30</v>
      </c>
      <c r="C39" s="1297">
        <v>2769</v>
      </c>
      <c r="D39" s="1297">
        <v>55205452.095000997</v>
      </c>
      <c r="E39" s="1297">
        <v>3585</v>
      </c>
      <c r="F39" s="1297">
        <v>13275244.4746427</v>
      </c>
    </row>
    <row r="40" spans="1:6">
      <c r="A40" s="1296" t="s">
        <v>29</v>
      </c>
      <c r="B40" s="1296" t="s">
        <v>28</v>
      </c>
      <c r="C40" s="1297">
        <v>0</v>
      </c>
      <c r="D40" s="1297">
        <v>0</v>
      </c>
      <c r="E40" s="1297">
        <v>0</v>
      </c>
      <c r="F40" s="1297">
        <v>0</v>
      </c>
    </row>
    <row r="41" spans="1:6">
      <c r="A41" s="1296" t="s">
        <v>31</v>
      </c>
      <c r="B41" s="1296" t="s">
        <v>32</v>
      </c>
      <c r="C41" s="1297">
        <v>14</v>
      </c>
      <c r="D41" s="1297">
        <v>433516.730678419</v>
      </c>
      <c r="E41" s="1297">
        <v>44</v>
      </c>
      <c r="F41" s="1297">
        <v>575230.13886049902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81419.447940262995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27</v>
      </c>
      <c r="D48" s="1297">
        <v>1712006.1771207601</v>
      </c>
      <c r="E48" s="1297">
        <v>25</v>
      </c>
      <c r="F48" s="1297">
        <v>3272411.0235884101</v>
      </c>
    </row>
    <row r="49" spans="1:6">
      <c r="A49" s="1296" t="s">
        <v>31</v>
      </c>
      <c r="B49" s="1296" t="s">
        <v>39</v>
      </c>
      <c r="C49" s="1297">
        <v>0</v>
      </c>
      <c r="D49" s="1297">
        <v>0</v>
      </c>
      <c r="E49" s="1297">
        <v>0</v>
      </c>
      <c r="F49" s="1297">
        <v>0</v>
      </c>
    </row>
    <row r="50" spans="1:6">
      <c r="A50" s="1296" t="s">
        <v>31</v>
      </c>
      <c r="B50" s="1296" t="s">
        <v>40</v>
      </c>
      <c r="C50" s="1297">
        <v>4</v>
      </c>
      <c r="D50" s="1297">
        <v>72464.497973302598</v>
      </c>
      <c r="E50" s="1297">
        <v>4</v>
      </c>
      <c r="F50" s="1297">
        <v>304159.44583477301</v>
      </c>
    </row>
    <row r="51" spans="1:6">
      <c r="A51" s="1296" t="s">
        <v>41</v>
      </c>
      <c r="B51" s="1296" t="s">
        <v>42</v>
      </c>
      <c r="C51" s="1297">
        <v>0</v>
      </c>
      <c r="D51" s="1297">
        <v>0</v>
      </c>
      <c r="E51" s="1297">
        <v>31</v>
      </c>
      <c r="F51" s="1297">
        <v>841855.99585693004</v>
      </c>
    </row>
    <row r="52" spans="1:6">
      <c r="A52" s="1296" t="s">
        <v>41</v>
      </c>
      <c r="B52" s="1296" t="s">
        <v>28</v>
      </c>
      <c r="C52" s="1297">
        <v>5</v>
      </c>
      <c r="D52" s="1297">
        <v>32437486.480073798</v>
      </c>
      <c r="E52" s="1297">
        <v>11</v>
      </c>
      <c r="F52" s="1297">
        <v>248417.07510500899</v>
      </c>
    </row>
    <row r="53" spans="1:6">
      <c r="A53" s="1296" t="s">
        <v>43</v>
      </c>
      <c r="B53" s="1296" t="s">
        <v>44</v>
      </c>
      <c r="C53" s="1297">
        <v>44</v>
      </c>
      <c r="D53" s="1297">
        <v>1087672.9932422701</v>
      </c>
      <c r="E53" s="1297">
        <v>91</v>
      </c>
      <c r="F53" s="1297">
        <v>419491.62641662202</v>
      </c>
    </row>
    <row r="54" spans="1:6">
      <c r="A54" s="1296" t="s">
        <v>45</v>
      </c>
      <c r="B54" s="1296" t="s">
        <v>46</v>
      </c>
      <c r="C54" s="1297">
        <v>0</v>
      </c>
      <c r="D54" s="1297">
        <v>0</v>
      </c>
      <c r="E54" s="1297">
        <v>1</v>
      </c>
      <c r="F54" s="1297">
        <v>441814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480027.58922056301</v>
      </c>
      <c r="E57" s="1297">
        <v>48</v>
      </c>
      <c r="F57" s="1297">
        <v>892645.58660328505</v>
      </c>
    </row>
    <row r="58" spans="1:6">
      <c r="A58" s="1296" t="s">
        <v>48</v>
      </c>
      <c r="B58" s="1296" t="s">
        <v>50</v>
      </c>
      <c r="C58" s="1297">
        <v>8</v>
      </c>
      <c r="D58" s="1297">
        <v>376781.70412033098</v>
      </c>
      <c r="E58" s="1297">
        <v>8</v>
      </c>
      <c r="F58" s="1297">
        <v>50535.803609366099</v>
      </c>
    </row>
    <row r="59" spans="1:6">
      <c r="A59" s="1296" t="s">
        <v>48</v>
      </c>
      <c r="B59" s="1296" t="s">
        <v>51</v>
      </c>
      <c r="C59" s="1297">
        <v>34</v>
      </c>
      <c r="D59" s="1297">
        <v>1688264.5900013901</v>
      </c>
      <c r="E59" s="1297">
        <v>75</v>
      </c>
      <c r="F59" s="1297">
        <v>3554952.5209982698</v>
      </c>
    </row>
    <row r="60" spans="1:6">
      <c r="A60" s="1296" t="s">
        <v>48</v>
      </c>
      <c r="B60" s="1296" t="s">
        <v>52</v>
      </c>
      <c r="C60" s="1297">
        <v>31</v>
      </c>
      <c r="D60" s="1297">
        <v>2148659.4062744002</v>
      </c>
      <c r="E60" s="1297">
        <v>39</v>
      </c>
      <c r="F60" s="1297">
        <v>1129876.7535699499</v>
      </c>
    </row>
    <row r="61" spans="1:6">
      <c r="A61" s="1296" t="s">
        <v>48</v>
      </c>
      <c r="B61" s="1296" t="s">
        <v>53</v>
      </c>
      <c r="C61" s="1297">
        <v>65</v>
      </c>
      <c r="D61" s="1297">
        <v>6220708.8210586598</v>
      </c>
      <c r="E61" s="1297">
        <v>109</v>
      </c>
      <c r="F61" s="1297">
        <v>1563988.6949179401</v>
      </c>
    </row>
    <row r="62" spans="1:6">
      <c r="A62" s="1296" t="s">
        <v>48</v>
      </c>
      <c r="B62" s="1296" t="s">
        <v>54</v>
      </c>
      <c r="C62" s="1297">
        <v>0</v>
      </c>
      <c r="D62" s="1297">
        <v>0</v>
      </c>
      <c r="E62" s="1297">
        <v>0</v>
      </c>
      <c r="F62" s="1297">
        <v>0</v>
      </c>
    </row>
    <row r="63" spans="1:6">
      <c r="A63" s="1296" t="s">
        <v>48</v>
      </c>
      <c r="B63" s="1296" t="s">
        <v>28</v>
      </c>
      <c r="C63" s="1297">
        <v>64</v>
      </c>
      <c r="D63" s="1297">
        <v>2628861.07920057</v>
      </c>
      <c r="E63" s="1297">
        <v>87</v>
      </c>
      <c r="F63" s="1297">
        <v>1705008.27076297</v>
      </c>
    </row>
    <row r="64" spans="1:6">
      <c r="A64" s="1296" t="s">
        <v>55</v>
      </c>
      <c r="B64" s="1296" t="s">
        <v>56</v>
      </c>
      <c r="C64" s="1297">
        <v>0</v>
      </c>
      <c r="D64" s="1297">
        <v>0</v>
      </c>
      <c r="E64" s="1297">
        <v>0</v>
      </c>
      <c r="F64" s="1297">
        <v>0</v>
      </c>
    </row>
    <row r="65" spans="1:6">
      <c r="A65" s="1296" t="s">
        <v>55</v>
      </c>
      <c r="B65" s="1296" t="s">
        <v>28</v>
      </c>
      <c r="C65" s="1297">
        <v>1</v>
      </c>
      <c r="D65" s="1297">
        <v>30783.2776424246</v>
      </c>
      <c r="E65" s="1297">
        <v>1</v>
      </c>
      <c r="F65" s="1297">
        <v>3057.4980870651998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936446.76905925001</v>
      </c>
      <c r="E68" s="1299">
        <v>9</v>
      </c>
      <c r="F68" s="1299">
        <v>371358.00040641398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43460691</v>
      </c>
      <c r="E73" s="446"/>
      <c r="F73" s="327"/>
    </row>
    <row r="74" spans="1:6">
      <c r="A74" s="1296" t="s">
        <v>63</v>
      </c>
      <c r="B74" s="1296" t="s">
        <v>706</v>
      </c>
      <c r="C74" s="1309" t="s">
        <v>707</v>
      </c>
      <c r="D74" s="1297">
        <v>1941251.0418896559</v>
      </c>
      <c r="E74" s="446"/>
      <c r="F74" s="327"/>
    </row>
    <row r="75" spans="1:6">
      <c r="A75" s="1296" t="s">
        <v>64</v>
      </c>
      <c r="B75" s="1296" t="s">
        <v>704</v>
      </c>
      <c r="C75" s="1309" t="s">
        <v>708</v>
      </c>
      <c r="D75" s="1297">
        <v>8429884</v>
      </c>
      <c r="E75" s="446"/>
      <c r="F75" s="327"/>
    </row>
    <row r="76" spans="1:6">
      <c r="A76" s="1296" t="s">
        <v>64</v>
      </c>
      <c r="B76" s="1296" t="s">
        <v>706</v>
      </c>
      <c r="C76" s="1309" t="s">
        <v>709</v>
      </c>
      <c r="D76" s="1297">
        <v>382705.04188965587</v>
      </c>
      <c r="E76" s="446"/>
      <c r="F76" s="327"/>
    </row>
    <row r="77" spans="1:6">
      <c r="A77" s="1296" t="s">
        <v>65</v>
      </c>
      <c r="B77" s="1296" t="s">
        <v>704</v>
      </c>
      <c r="C77" s="1309" t="s">
        <v>710</v>
      </c>
      <c r="D77" s="1297">
        <v>197075</v>
      </c>
      <c r="E77" s="446"/>
      <c r="F77" s="327"/>
    </row>
    <row r="78" spans="1:6">
      <c r="A78" s="1291" t="s">
        <v>65</v>
      </c>
      <c r="B78" s="1291" t="s">
        <v>706</v>
      </c>
      <c r="C78" s="1291" t="s">
        <v>711</v>
      </c>
      <c r="D78" s="1299">
        <v>49108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125983.91622068823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1575.1555018621259</v>
      </c>
      <c r="C91" s="327"/>
      <c r="D91" s="327"/>
      <c r="E91" s="327"/>
      <c r="F91" s="327"/>
    </row>
    <row r="92" spans="1:6">
      <c r="A92" s="1291" t="s">
        <v>68</v>
      </c>
      <c r="B92" s="1292">
        <v>380.52527697469111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2060</v>
      </c>
      <c r="C97" s="327"/>
      <c r="D97" s="327"/>
      <c r="E97" s="327"/>
      <c r="F97" s="327"/>
    </row>
    <row r="98" spans="1:6">
      <c r="A98" s="1296" t="s">
        <v>71</v>
      </c>
      <c r="B98" s="1297">
        <v>2</v>
      </c>
      <c r="C98" s="327"/>
      <c r="D98" s="327"/>
      <c r="E98" s="327"/>
      <c r="F98" s="327"/>
    </row>
    <row r="99" spans="1:6">
      <c r="A99" s="1296" t="s">
        <v>72</v>
      </c>
      <c r="B99" s="1297">
        <v>50</v>
      </c>
      <c r="C99" s="327"/>
      <c r="D99" s="327"/>
      <c r="E99" s="327"/>
      <c r="F99" s="327"/>
    </row>
    <row r="100" spans="1:6">
      <c r="A100" s="1296" t="s">
        <v>73</v>
      </c>
      <c r="B100" s="1297">
        <v>144</v>
      </c>
      <c r="C100" s="327"/>
      <c r="D100" s="327"/>
      <c r="E100" s="327"/>
      <c r="F100" s="327"/>
    </row>
    <row r="101" spans="1:6">
      <c r="A101" s="1296" t="s">
        <v>74</v>
      </c>
      <c r="B101" s="1297">
        <v>41</v>
      </c>
      <c r="C101" s="327"/>
      <c r="D101" s="327"/>
      <c r="E101" s="327"/>
      <c r="F101" s="327"/>
    </row>
    <row r="102" spans="1:6">
      <c r="A102" s="1296" t="s">
        <v>75</v>
      </c>
      <c r="B102" s="1297">
        <v>32</v>
      </c>
      <c r="C102" s="327"/>
      <c r="D102" s="327"/>
      <c r="E102" s="327"/>
      <c r="F102" s="327"/>
    </row>
    <row r="103" spans="1:6">
      <c r="A103" s="1296" t="s">
        <v>76</v>
      </c>
      <c r="B103" s="1297">
        <v>94</v>
      </c>
      <c r="C103" s="327"/>
      <c r="D103" s="327"/>
      <c r="E103" s="327"/>
      <c r="F103" s="327"/>
    </row>
    <row r="104" spans="1:6">
      <c r="A104" s="1296" t="s">
        <v>77</v>
      </c>
      <c r="B104" s="1297">
        <v>824</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51</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29963.148243514188</v>
      </c>
      <c r="C3" s="43" t="s">
        <v>163</v>
      </c>
      <c r="D3" s="43"/>
      <c r="E3" s="156"/>
      <c r="F3" s="43"/>
      <c r="G3" s="43"/>
      <c r="H3" s="43"/>
      <c r="I3" s="43"/>
      <c r="J3" s="43"/>
      <c r="K3" s="96"/>
    </row>
    <row r="4" spans="1:11">
      <c r="A4" s="353" t="s">
        <v>164</v>
      </c>
      <c r="B4" s="49">
        <f>IF(ISERROR('SEAP template'!B78+'SEAP template'!C78),0,'SEAP template'!B78+'SEAP template'!C78)</f>
        <v>11043.430778836815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2159.677058823529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0.21162444503440273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3085.2529411764704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12982.499999999998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441.81400000000002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441.81400000000002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0.21162444503440273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93.498642558429609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13275.244474642699</v>
      </c>
      <c r="C5" s="17">
        <f>IF(ISERROR('Eigen informatie GS &amp; warmtenet'!B57),0,'Eigen informatie GS &amp; warmtenet'!B57)</f>
        <v>0</v>
      </c>
      <c r="D5" s="30">
        <f>(SUM(HH_hh_gas_kWh,HH_rest_gas_kWh)/1000)*0.902</f>
        <v>49795.317789690904</v>
      </c>
      <c r="E5" s="17">
        <f>B32*B41</f>
        <v>571.04847195545585</v>
      </c>
      <c r="F5" s="17">
        <f>B36*B45</f>
        <v>17500.050390004671</v>
      </c>
      <c r="G5" s="18"/>
      <c r="H5" s="17"/>
      <c r="I5" s="17"/>
      <c r="J5" s="17">
        <f>B35*B44+C35*C44</f>
        <v>331.41610873457915</v>
      </c>
      <c r="K5" s="17"/>
      <c r="L5" s="17"/>
      <c r="M5" s="17"/>
      <c r="N5" s="17">
        <f>B34*B43+C34*C43</f>
        <v>5480.5832271555628</v>
      </c>
      <c r="O5" s="17">
        <f>B52*B53*B54</f>
        <v>89.11</v>
      </c>
      <c r="P5" s="17">
        <f>B60*B61*B62/1000-B60*B61*B62/1000/B63</f>
        <v>247.86666666666667</v>
      </c>
    </row>
    <row r="6" spans="1:16">
      <c r="A6" s="16" t="s">
        <v>617</v>
      </c>
      <c r="B6" s="769">
        <f>kWh_PV_kleiner_dan_10kW</f>
        <v>1575.1555018621259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14850.399976504825</v>
      </c>
      <c r="C8" s="21">
        <f>C5</f>
        <v>0</v>
      </c>
      <c r="D8" s="21">
        <f>D5</f>
        <v>49795.317789690904</v>
      </c>
      <c r="E8" s="21">
        <f>E5</f>
        <v>571.04847195545585</v>
      </c>
      <c r="F8" s="21">
        <f>F5</f>
        <v>17500.050390004671</v>
      </c>
      <c r="G8" s="21"/>
      <c r="H8" s="21"/>
      <c r="I8" s="21"/>
      <c r="J8" s="21">
        <f>J5</f>
        <v>331.41610873457915</v>
      </c>
      <c r="K8" s="21"/>
      <c r="L8" s="21">
        <f>L5</f>
        <v>0</v>
      </c>
      <c r="M8" s="21">
        <f>M5</f>
        <v>0</v>
      </c>
      <c r="N8" s="21">
        <f>N5</f>
        <v>5480.5832271555628</v>
      </c>
      <c r="O8" s="21">
        <f>O5</f>
        <v>89.11</v>
      </c>
      <c r="P8" s="21">
        <f>P5</f>
        <v>247.86666666666667</v>
      </c>
    </row>
    <row r="9" spans="1:16">
      <c r="B9" s="19"/>
      <c r="C9" s="19"/>
      <c r="D9" s="257"/>
      <c r="E9" s="19"/>
      <c r="F9" s="19"/>
      <c r="G9" s="19"/>
      <c r="H9" s="19"/>
      <c r="I9" s="19"/>
      <c r="J9" s="19"/>
      <c r="K9" s="19"/>
      <c r="L9" s="19"/>
      <c r="M9" s="19"/>
      <c r="N9" s="19"/>
      <c r="O9" s="19"/>
      <c r="P9" s="19"/>
    </row>
    <row r="10" spans="1:16">
      <c r="A10" s="24" t="s">
        <v>207</v>
      </c>
      <c r="B10" s="25">
        <f ca="1">'EF ele_warmte'!B12</f>
        <v>0.21162444503440273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3142.7076535667406</v>
      </c>
      <c r="C12" s="23">
        <f ca="1">C10*C8</f>
        <v>0</v>
      </c>
      <c r="D12" s="23">
        <f>D8*D10</f>
        <v>10058.654193517563</v>
      </c>
      <c r="E12" s="23">
        <f>E10*E8</f>
        <v>129.62800313388848</v>
      </c>
      <c r="F12" s="23">
        <f>F10*F8</f>
        <v>4672.5134541312473</v>
      </c>
      <c r="G12" s="23"/>
      <c r="H12" s="23"/>
      <c r="I12" s="23"/>
      <c r="J12" s="23">
        <f>J10*J8</f>
        <v>117.32130249204101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3638</v>
      </c>
      <c r="C26" s="36"/>
      <c r="D26" s="227"/>
    </row>
    <row r="27" spans="1:5" s="15" customFormat="1">
      <c r="A27" s="229" t="s">
        <v>722</v>
      </c>
      <c r="B27" s="37">
        <f>SUM(HH_hh_gas_aantal,HH_rest_gas_aantal)</f>
        <v>2769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2630.55</v>
      </c>
      <c r="C31" s="34" t="s">
        <v>104</v>
      </c>
      <c r="D31" s="173"/>
    </row>
    <row r="32" spans="1:5">
      <c r="A32" s="170" t="s">
        <v>72</v>
      </c>
      <c r="B32" s="33">
        <f>IF((B21*($B$26-($B$27-0.05*$B$27)-$B$60))&lt;0,0,B21*($B$26-($B$27-0.05*$B$27)-$B$60))</f>
        <v>24.902581387192832</v>
      </c>
      <c r="C32" s="34" t="s">
        <v>104</v>
      </c>
      <c r="D32" s="173"/>
    </row>
    <row r="33" spans="1:6">
      <c r="A33" s="170" t="s">
        <v>73</v>
      </c>
      <c r="B33" s="33">
        <f>IF((B22*($B$26-($B$27-0.05*$B$27)-$B$60))&lt;0,0,B22*($B$26-($B$27-0.05*$B$27)-$B$60))</f>
        <v>167.62357946706439</v>
      </c>
      <c r="C33" s="34" t="s">
        <v>104</v>
      </c>
      <c r="D33" s="173"/>
    </row>
    <row r="34" spans="1:6">
      <c r="A34" s="170" t="s">
        <v>74</v>
      </c>
      <c r="B34" s="33">
        <f>IF((B24*($B$26-($B$27-0.05*$B$27)-$B$60))&lt;0,0,B24*($B$26-($B$27-0.05*$B$27)-$B$60))</f>
        <v>42.528374167591139</v>
      </c>
      <c r="C34" s="33">
        <f>B26*C24</f>
        <v>744.1895260334976</v>
      </c>
      <c r="D34" s="232"/>
    </row>
    <row r="35" spans="1:6">
      <c r="A35" s="170" t="s">
        <v>76</v>
      </c>
      <c r="B35" s="33">
        <f>IF((B19*($B$26-($B$27-0.05*$B$27)-$B$60))&lt;0,0,B19*($B$26-($B$27-0.05*$B$27)-$B$60))</f>
        <v>15.804940800163848</v>
      </c>
      <c r="C35" s="33">
        <f>B35/2</f>
        <v>7.9024704000819241</v>
      </c>
      <c r="D35" s="232"/>
    </row>
    <row r="36" spans="1:6">
      <c r="A36" s="170" t="s">
        <v>77</v>
      </c>
      <c r="B36" s="33">
        <f>IF((B18*($B$26-($B$27-0.05*$B$27)-$B$60))&lt;0,0,B18*($B$26-($B$27-0.05*$B$27)-$B$60))</f>
        <v>743.59052417798762</v>
      </c>
      <c r="C36" s="34" t="s">
        <v>104</v>
      </c>
      <c r="D36" s="173"/>
    </row>
    <row r="37" spans="1:6">
      <c r="A37" s="170" t="s">
        <v>78</v>
      </c>
      <c r="B37" s="33">
        <f>B60</f>
        <v>13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8897.0076304617796</v>
      </c>
      <c r="C5" s="17">
        <f>IF(ISERROR('Eigen informatie GS &amp; warmtenet'!B58),0,'Eigen informatie GS &amp; warmtenet'!B58)</f>
        <v>0</v>
      </c>
      <c r="D5" s="30">
        <f>SUM(D6:D12)</f>
        <v>12216.059477268076</v>
      </c>
      <c r="E5" s="17">
        <f>SUM(E6:E12)</f>
        <v>145.80164268044604</v>
      </c>
      <c r="F5" s="17">
        <f>SUM(F6:F12)</f>
        <v>1794.4226112062481</v>
      </c>
      <c r="G5" s="18"/>
      <c r="H5" s="17"/>
      <c r="I5" s="17"/>
      <c r="J5" s="17">
        <f>SUM(J6:J12)</f>
        <v>0</v>
      </c>
      <c r="K5" s="17"/>
      <c r="L5" s="17"/>
      <c r="M5" s="17"/>
      <c r="N5" s="17">
        <f>SUM(N6:N12)</f>
        <v>769.02938655261232</v>
      </c>
      <c r="O5" s="17">
        <f>B38*B39*B40</f>
        <v>1.5633333333333335</v>
      </c>
      <c r="P5" s="17">
        <f>B46*B47*B48/1000-B46*B47*B48/1000/B49</f>
        <v>0</v>
      </c>
      <c r="R5" s="32"/>
    </row>
    <row r="6" spans="1:18">
      <c r="A6" s="32" t="s">
        <v>53</v>
      </c>
      <c r="B6" s="37">
        <f>B26</f>
        <v>1563.9886949179402</v>
      </c>
      <c r="C6" s="33"/>
      <c r="D6" s="37">
        <f>IF(ISERROR(TER_kantoor_gas_kWh/1000),0,TER_kantoor_gas_kWh/1000)*0.902</f>
        <v>5611.0793565949116</v>
      </c>
      <c r="E6" s="33">
        <f>$C$26*'E Balans VL '!I12/100/3.6*1000000</f>
        <v>6.0764271954553148</v>
      </c>
      <c r="F6" s="33">
        <f>$C$26*('E Balans VL '!L12+'E Balans VL '!N12)/100/3.6*1000000</f>
        <v>237.86844933450166</v>
      </c>
      <c r="G6" s="34"/>
      <c r="H6" s="33"/>
      <c r="I6" s="33"/>
      <c r="J6" s="33">
        <f>$C$26*('E Balans VL '!D12+'E Balans VL '!E12)/100/3.6*1000000</f>
        <v>0</v>
      </c>
      <c r="K6" s="33"/>
      <c r="L6" s="33"/>
      <c r="M6" s="33"/>
      <c r="N6" s="33">
        <f>$C$26*'E Balans VL '!Y12/100/3.6*1000000</f>
        <v>0.86194513213130186</v>
      </c>
      <c r="O6" s="33"/>
      <c r="P6" s="33"/>
      <c r="R6" s="32"/>
    </row>
    <row r="7" spans="1:18">
      <c r="A7" s="32" t="s">
        <v>52</v>
      </c>
      <c r="B7" s="37">
        <f t="shared" ref="B7:B12" si="0">B27</f>
        <v>1129.8767535699499</v>
      </c>
      <c r="C7" s="33"/>
      <c r="D7" s="37">
        <f>IF(ISERROR(TER_horeca_gas_kWh/1000),0,TER_horeca_gas_kWh/1000)*0.902</f>
        <v>1938.090784459509</v>
      </c>
      <c r="E7" s="33">
        <f>$C$27*'E Balans VL '!I9/100/3.6*1000000</f>
        <v>63.64625960758999</v>
      </c>
      <c r="F7" s="33">
        <f>$C$27*('E Balans VL '!L9+'E Balans VL '!N9)/100/3.6*1000000</f>
        <v>325.78881138922867</v>
      </c>
      <c r="G7" s="34"/>
      <c r="H7" s="33"/>
      <c r="I7" s="33"/>
      <c r="J7" s="33">
        <f>$C$27*('E Balans VL '!D9+'E Balans VL '!E9)/100/3.6*1000000</f>
        <v>0</v>
      </c>
      <c r="K7" s="33"/>
      <c r="L7" s="33"/>
      <c r="M7" s="33"/>
      <c r="N7" s="33">
        <f>$C$27*'E Balans VL '!Y9/100/3.6*1000000</f>
        <v>0.31195310026863049</v>
      </c>
      <c r="O7" s="33"/>
      <c r="P7" s="33"/>
      <c r="R7" s="32"/>
    </row>
    <row r="8" spans="1:18">
      <c r="A8" s="6" t="s">
        <v>51</v>
      </c>
      <c r="B8" s="37">
        <f t="shared" si="0"/>
        <v>3554.9525209982698</v>
      </c>
      <c r="C8" s="33"/>
      <c r="D8" s="37">
        <f>IF(ISERROR(TER_handel_gas_kWh/1000),0,TER_handel_gas_kWh/1000)*0.902</f>
        <v>1522.8146601812539</v>
      </c>
      <c r="E8" s="33">
        <f>$C$28*'E Balans VL '!I13/100/3.6*1000000</f>
        <v>51.238926581737147</v>
      </c>
      <c r="F8" s="33">
        <f>$C$28*('E Balans VL '!L13+'E Balans VL '!N13)/100/3.6*1000000</f>
        <v>617.57804215508929</v>
      </c>
      <c r="G8" s="34"/>
      <c r="H8" s="33"/>
      <c r="I8" s="33"/>
      <c r="J8" s="33">
        <f>$C$28*('E Balans VL '!D13+'E Balans VL '!E13)/100/3.6*1000000</f>
        <v>0</v>
      </c>
      <c r="K8" s="33"/>
      <c r="L8" s="33"/>
      <c r="M8" s="33"/>
      <c r="N8" s="33">
        <f>$C$28*'E Balans VL '!Y13/100/3.6*1000000</f>
        <v>10.651033498377871</v>
      </c>
      <c r="O8" s="33"/>
      <c r="P8" s="33"/>
      <c r="R8" s="32"/>
    </row>
    <row r="9" spans="1:18">
      <c r="A9" s="32" t="s">
        <v>50</v>
      </c>
      <c r="B9" s="37">
        <f t="shared" si="0"/>
        <v>50.535803609366098</v>
      </c>
      <c r="C9" s="33"/>
      <c r="D9" s="37">
        <f>IF(ISERROR(TER_gezond_gas_kWh/1000),0,TER_gezond_gas_kWh/1000)*0.902</f>
        <v>339.85709711653857</v>
      </c>
      <c r="E9" s="33">
        <f>$C$29*'E Balans VL '!I10/100/3.6*1000000</f>
        <v>5.3985336654075067E-2</v>
      </c>
      <c r="F9" s="33">
        <f>$C$29*('E Balans VL '!L10+'E Balans VL '!N10)/100/3.6*1000000</f>
        <v>8.2439254093920908</v>
      </c>
      <c r="G9" s="34"/>
      <c r="H9" s="33"/>
      <c r="I9" s="33"/>
      <c r="J9" s="33">
        <f>$C$29*('E Balans VL '!D10+'E Balans VL '!E10)/100/3.6*1000000</f>
        <v>0</v>
      </c>
      <c r="K9" s="33"/>
      <c r="L9" s="33"/>
      <c r="M9" s="33"/>
      <c r="N9" s="33">
        <f>$C$29*'E Balans VL '!Y10/100/3.6*1000000</f>
        <v>0.52023726300415463</v>
      </c>
      <c r="O9" s="33"/>
      <c r="P9" s="33"/>
      <c r="R9" s="32"/>
    </row>
    <row r="10" spans="1:18">
      <c r="A10" s="32" t="s">
        <v>49</v>
      </c>
      <c r="B10" s="37">
        <f t="shared" si="0"/>
        <v>892.6455866032851</v>
      </c>
      <c r="C10" s="33"/>
      <c r="D10" s="37">
        <f>IF(ISERROR(TER_ander_gas_kWh/1000),0,TER_ander_gas_kWh/1000)*0.902</f>
        <v>432.98488547694785</v>
      </c>
      <c r="E10" s="33">
        <f>$C$30*'E Balans VL '!I14/100/3.6*1000000</f>
        <v>4.1051412713152331</v>
      </c>
      <c r="F10" s="33">
        <f>$C$30*('E Balans VL '!L14+'E Balans VL '!N14)/100/3.6*1000000</f>
        <v>267.55403887747082</v>
      </c>
      <c r="G10" s="34"/>
      <c r="H10" s="33"/>
      <c r="I10" s="33"/>
      <c r="J10" s="33">
        <f>$C$30*('E Balans VL '!D14+'E Balans VL '!E14)/100/3.6*1000000</f>
        <v>0</v>
      </c>
      <c r="K10" s="33"/>
      <c r="L10" s="33"/>
      <c r="M10" s="33"/>
      <c r="N10" s="33">
        <f>$C$30*'E Balans VL '!Y14/100/3.6*1000000</f>
        <v>621.34025249722185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1705.0082707629699</v>
      </c>
      <c r="C12" s="33"/>
      <c r="D12" s="37">
        <f>IF(ISERROR(TER_rest_gas_kWh/1000),0,TER_rest_gas_kWh/1000)*0.902</f>
        <v>2371.2326934389143</v>
      </c>
      <c r="E12" s="33">
        <f>$C$32*'E Balans VL '!I8/100/3.6*1000000</f>
        <v>20.680902687694275</v>
      </c>
      <c r="F12" s="33">
        <f>$C$32*('E Balans VL '!L8+'E Balans VL '!N8)/100/3.6*1000000</f>
        <v>337.38934404056567</v>
      </c>
      <c r="G12" s="34"/>
      <c r="H12" s="33"/>
      <c r="I12" s="33"/>
      <c r="J12" s="33">
        <f>$C$32*('E Balans VL '!D8+'E Balans VL '!E8)/100/3.6*1000000</f>
        <v>0</v>
      </c>
      <c r="K12" s="33"/>
      <c r="L12" s="33"/>
      <c r="M12" s="33"/>
      <c r="N12" s="33">
        <f>$C$32*'E Balans VL '!Y8/100/3.6*1000000</f>
        <v>135.34396506160849</v>
      </c>
      <c r="O12" s="33"/>
      <c r="P12" s="33"/>
      <c r="R12" s="32"/>
    </row>
    <row r="13" spans="1:18">
      <c r="A13" s="16" t="s">
        <v>484</v>
      </c>
      <c r="B13" s="245">
        <f ca="1">'lokale energieproductie'!N39+'lokale energieproductie'!N32</f>
        <v>24.75</v>
      </c>
      <c r="C13" s="245">
        <f ca="1">'lokale energieproductie'!O39+'lokale energieproductie'!O32</f>
        <v>35.357142857142861</v>
      </c>
      <c r="D13" s="305">
        <f ca="1">('lokale energieproductie'!P32+'lokale energieproductie'!P39)*(-1)</f>
        <v>-70.714285714285722</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8921.7576304617796</v>
      </c>
      <c r="C16" s="21">
        <f t="shared" ca="1" si="1"/>
        <v>35.357142857142861</v>
      </c>
      <c r="D16" s="21">
        <f t="shared" ca="1" si="1"/>
        <v>12145.34519155379</v>
      </c>
      <c r="E16" s="21">
        <f t="shared" si="1"/>
        <v>145.80164268044604</v>
      </c>
      <c r="F16" s="21">
        <f t="shared" ca="1" si="1"/>
        <v>1794.4226112062481</v>
      </c>
      <c r="G16" s="21">
        <f t="shared" si="1"/>
        <v>0</v>
      </c>
      <c r="H16" s="21">
        <f t="shared" si="1"/>
        <v>0</v>
      </c>
      <c r="I16" s="21">
        <f t="shared" si="1"/>
        <v>0</v>
      </c>
      <c r="J16" s="21">
        <f t="shared" si="1"/>
        <v>0</v>
      </c>
      <c r="K16" s="21">
        <f t="shared" si="1"/>
        <v>0</v>
      </c>
      <c r="L16" s="21">
        <f t="shared" ca="1" si="1"/>
        <v>0</v>
      </c>
      <c r="M16" s="21">
        <f t="shared" si="1"/>
        <v>0</v>
      </c>
      <c r="N16" s="21">
        <f t="shared" ca="1" si="1"/>
        <v>769.02938655261232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0.21162444503440273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1888.062007277922</v>
      </c>
      <c r="C20" s="23">
        <f t="shared" ref="C20:P20" ca="1" si="2">C16*C18</f>
        <v>8.4025210084033635</v>
      </c>
      <c r="D20" s="23">
        <f t="shared" ca="1" si="2"/>
        <v>2453.3597286938657</v>
      </c>
      <c r="E20" s="23">
        <f t="shared" si="2"/>
        <v>33.096972888461252</v>
      </c>
      <c r="F20" s="23">
        <f t="shared" ca="1" si="2"/>
        <v>479.11083719206829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1563.9886949179402</v>
      </c>
      <c r="C26" s="39">
        <f>IF(ISERROR(B26*3.6/1000000/'E Balans VL '!Z12*100),0,B26*3.6/1000000/'E Balans VL '!Z12*100)</f>
        <v>3.321989457934698E-2</v>
      </c>
      <c r="D26" s="235" t="s">
        <v>672</v>
      </c>
      <c r="F26" s="6"/>
    </row>
    <row r="27" spans="1:18">
      <c r="A27" s="230" t="s">
        <v>52</v>
      </c>
      <c r="B27" s="33">
        <f>IF(ISERROR(TER_horeca_ele_kWh/1000),0,TER_horeca_ele_kWh/1000)</f>
        <v>1129.8767535699499</v>
      </c>
      <c r="C27" s="39">
        <f>IF(ISERROR(B27*3.6/1000000/'E Balans VL '!Z9*100),0,B27*3.6/1000000/'E Balans VL '!Z9*100)</f>
        <v>8.7854798627957448E-2</v>
      </c>
      <c r="D27" s="235" t="s">
        <v>672</v>
      </c>
      <c r="F27" s="6"/>
    </row>
    <row r="28" spans="1:18">
      <c r="A28" s="170" t="s">
        <v>51</v>
      </c>
      <c r="B28" s="33">
        <f>IF(ISERROR(TER_handel_ele_kWh/1000),0,TER_handel_ele_kWh/1000)</f>
        <v>3554.9525209982698</v>
      </c>
      <c r="C28" s="39">
        <f>IF(ISERROR(B28*3.6/1000000/'E Balans VL '!Z13*100),0,B28*3.6/1000000/'E Balans VL '!Z13*100)</f>
        <v>0.10171137538635489</v>
      </c>
      <c r="D28" s="235" t="s">
        <v>672</v>
      </c>
      <c r="F28" s="6"/>
    </row>
    <row r="29" spans="1:18">
      <c r="A29" s="230" t="s">
        <v>50</v>
      </c>
      <c r="B29" s="33">
        <f>IF(ISERROR(TER_gezond_ele_kWh/1000),0,TER_gezond_ele_kWh/1000)</f>
        <v>50.535803609366098</v>
      </c>
      <c r="C29" s="39">
        <f>IF(ISERROR(B29*3.6/1000000/'E Balans VL '!Z10*100),0,B29*3.6/1000000/'E Balans VL '!Z10*100)</f>
        <v>5.5095769046594953E-3</v>
      </c>
      <c r="D29" s="235" t="s">
        <v>672</v>
      </c>
      <c r="F29" s="6"/>
    </row>
    <row r="30" spans="1:18">
      <c r="A30" s="230" t="s">
        <v>49</v>
      </c>
      <c r="B30" s="33">
        <f>IF(ISERROR(TER_ander_ele_kWh/1000),0,TER_ander_ele_kWh/1000)</f>
        <v>892.6455866032851</v>
      </c>
      <c r="C30" s="39">
        <f>IF(ISERROR(B30*3.6/1000000/'E Balans VL '!Z14*100),0,B30*3.6/1000000/'E Balans VL '!Z14*100)</f>
        <v>6.5321779109116795E-2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1705.0082707629699</v>
      </c>
      <c r="C32" s="39">
        <f>IF(ISERROR(B32*3.6/1000000/'E Balans VL '!Z8*100),0,B32*3.6/1000000/'E Balans VL '!Z8*100)</f>
        <v>1.3894782689771812E-2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4233.220056223945</v>
      </c>
      <c r="C5" s="17">
        <f>IF(ISERROR('Eigen informatie GS &amp; warmtenet'!B59),0,'Eigen informatie GS &amp; warmtenet'!B59)</f>
        <v>0</v>
      </c>
      <c r="D5" s="30">
        <f>SUM(D6:D15)</f>
        <v>2000.6246400067785</v>
      </c>
      <c r="E5" s="17">
        <f>SUM(E6:E15)</f>
        <v>365.40907716953393</v>
      </c>
      <c r="F5" s="17">
        <f>SUM(F6:F15)</f>
        <v>1626.8531462541378</v>
      </c>
      <c r="G5" s="18"/>
      <c r="H5" s="17"/>
      <c r="I5" s="17"/>
      <c r="J5" s="17">
        <f>SUM(J6:J15)</f>
        <v>8.3914189033126192</v>
      </c>
      <c r="K5" s="17"/>
      <c r="L5" s="17"/>
      <c r="M5" s="17"/>
      <c r="N5" s="17">
        <f>SUM(N6:N15)</f>
        <v>292.06585571151834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81.419447940262998</v>
      </c>
      <c r="C8" s="33"/>
      <c r="D8" s="37">
        <f>IF( ISERROR(IND_metaal_Gas_kWH/1000),0,IND_metaal_Gas_kWH/1000)*0.902</f>
        <v>0</v>
      </c>
      <c r="E8" s="33">
        <f>C30*'E Balans VL '!I18/100/3.6*1000000</f>
        <v>2.3386721559599897</v>
      </c>
      <c r="F8" s="33">
        <f>C30*'E Balans VL '!L18/100/3.6*1000000+C30*'E Balans VL '!N18/100/3.6*1000000</f>
        <v>20.882522475653047</v>
      </c>
      <c r="G8" s="34"/>
      <c r="H8" s="33"/>
      <c r="I8" s="33"/>
      <c r="J8" s="40">
        <f>C30*'E Balans VL '!D18/100/3.6*1000000+C30*'E Balans VL '!E18/100/3.6*1000000</f>
        <v>0</v>
      </c>
      <c r="K8" s="33"/>
      <c r="L8" s="33"/>
      <c r="M8" s="33"/>
      <c r="N8" s="33">
        <f>C30*'E Balans VL '!Y18/100/3.6*1000000</f>
        <v>2.2107042122183138</v>
      </c>
      <c r="O8" s="33"/>
      <c r="P8" s="33"/>
      <c r="R8" s="32"/>
    </row>
    <row r="9" spans="1:18">
      <c r="A9" s="6" t="s">
        <v>32</v>
      </c>
      <c r="B9" s="37">
        <f t="shared" si="0"/>
        <v>575.23013886049898</v>
      </c>
      <c r="C9" s="33"/>
      <c r="D9" s="37">
        <f>IF( ISERROR(IND_andere_gas_kWh/1000),0,IND_andere_gas_kWh/1000)*0.902</f>
        <v>391.03209107193391</v>
      </c>
      <c r="E9" s="33">
        <f>C31*'E Balans VL '!I19/100/3.6*1000000</f>
        <v>155.70065538284729</v>
      </c>
      <c r="F9" s="33">
        <f>C31*'E Balans VL '!L19/100/3.6*1000000+C31*'E Balans VL '!N19/100/3.6*1000000</f>
        <v>383.16414454536454</v>
      </c>
      <c r="G9" s="34"/>
      <c r="H9" s="33"/>
      <c r="I9" s="33"/>
      <c r="J9" s="40">
        <f>C31*'E Balans VL '!D19/100/3.6*1000000+C31*'E Balans VL '!E19/100/3.6*1000000</f>
        <v>0</v>
      </c>
      <c r="K9" s="33"/>
      <c r="L9" s="33"/>
      <c r="M9" s="33"/>
      <c r="N9" s="33">
        <f>C31*'E Balans VL '!Y19/100/3.6*1000000</f>
        <v>48.631897776116581</v>
      </c>
      <c r="O9" s="33"/>
      <c r="P9" s="33"/>
      <c r="R9" s="32"/>
    </row>
    <row r="10" spans="1:18">
      <c r="A10" s="6" t="s">
        <v>40</v>
      </c>
      <c r="B10" s="37">
        <f t="shared" si="0"/>
        <v>304.15944583477301</v>
      </c>
      <c r="C10" s="33"/>
      <c r="D10" s="37">
        <f>IF( ISERROR(IND_voed_gas_kWh/1000),0,IND_voed_gas_kWh/1000)*0.902</f>
        <v>65.362977171918942</v>
      </c>
      <c r="E10" s="33">
        <f>C32*'E Balans VL '!I20/100/3.6*1000000</f>
        <v>24.807943190427476</v>
      </c>
      <c r="F10" s="33">
        <f>C32*'E Balans VL '!L20/100/3.6*1000000+C32*'E Balans VL '!N20/100/3.6*1000000</f>
        <v>453.52932950254905</v>
      </c>
      <c r="G10" s="34"/>
      <c r="H10" s="33"/>
      <c r="I10" s="33"/>
      <c r="J10" s="40">
        <f>C32*'E Balans VL '!D20/100/3.6*1000000+C32*'E Balans VL '!E20/100/3.6*1000000</f>
        <v>4.0236602683552131E-3</v>
      </c>
      <c r="K10" s="33"/>
      <c r="L10" s="33"/>
      <c r="M10" s="33"/>
      <c r="N10" s="33">
        <f>C32*'E Balans VL '!Y20/100/3.6*1000000</f>
        <v>89.351312556689265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3272.41102358841</v>
      </c>
      <c r="C15" s="33"/>
      <c r="D15" s="37">
        <f>IF( ISERROR(IND_rest_gas_kWh/1000),0,IND_rest_gas_kWh/1000)*0.902</f>
        <v>1544.2295717629256</v>
      </c>
      <c r="E15" s="33">
        <f>C37*'E Balans VL '!I15/100/3.6*1000000</f>
        <v>182.56180644029916</v>
      </c>
      <c r="F15" s="33">
        <f>C37*'E Balans VL '!L15/100/3.6*1000000+C37*'E Balans VL '!N15/100/3.6*1000000</f>
        <v>769.27714973057118</v>
      </c>
      <c r="G15" s="34"/>
      <c r="H15" s="33"/>
      <c r="I15" s="33"/>
      <c r="J15" s="40">
        <f>C37*'E Balans VL '!D15/100/3.6*1000000+C37*'E Balans VL '!E15/100/3.6*1000000</f>
        <v>8.3873952430442635</v>
      </c>
      <c r="K15" s="33"/>
      <c r="L15" s="33"/>
      <c r="M15" s="33"/>
      <c r="N15" s="33">
        <f>C37*'E Balans VL '!Y15/100/3.6*1000000</f>
        <v>151.8719411664942</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4233.220056223945</v>
      </c>
      <c r="C18" s="21">
        <f>C5+C16</f>
        <v>0</v>
      </c>
      <c r="D18" s="21">
        <f>MAX((D5+D16),0)</f>
        <v>2000.6246400067785</v>
      </c>
      <c r="E18" s="21">
        <f>MAX((E5+E16),0)</f>
        <v>365.40907716953393</v>
      </c>
      <c r="F18" s="21">
        <f>MAX((F5+F16),0)</f>
        <v>1626.8531462541378</v>
      </c>
      <c r="G18" s="21"/>
      <c r="H18" s="21"/>
      <c r="I18" s="21"/>
      <c r="J18" s="21">
        <f>MAX((J5+J16),0)</f>
        <v>8.3914189033126192</v>
      </c>
      <c r="K18" s="21"/>
      <c r="L18" s="21">
        <f>MAX((L5+L16),0)</f>
        <v>0</v>
      </c>
      <c r="M18" s="21"/>
      <c r="N18" s="21">
        <f>MAX((N5+N16),0)</f>
        <v>292.06585571151834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0.21162444503440273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895.85284510689542</v>
      </c>
      <c r="C22" s="23">
        <f ca="1">C18*C20</f>
        <v>0</v>
      </c>
      <c r="D22" s="23">
        <f>D18*D20</f>
        <v>404.12617728136928</v>
      </c>
      <c r="E22" s="23">
        <f>E18*E20</f>
        <v>82.947860517484202</v>
      </c>
      <c r="F22" s="23">
        <f>F18*F20</f>
        <v>434.36979004985483</v>
      </c>
      <c r="G22" s="23"/>
      <c r="H22" s="23"/>
      <c r="I22" s="23"/>
      <c r="J22" s="23">
        <f>J18*J20</f>
        <v>2.9705622917726671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81.419447940262998</v>
      </c>
      <c r="C30" s="39">
        <f>IF(ISERROR(B30*3.6/1000000/'E Balans VL '!Z18*100),0,B30*3.6/1000000/'E Balans VL '!Z18*100)</f>
        <v>8.011465835611636E-3</v>
      </c>
      <c r="D30" s="235" t="s">
        <v>672</v>
      </c>
    </row>
    <row r="31" spans="1:18">
      <c r="A31" s="6" t="s">
        <v>32</v>
      </c>
      <c r="B31" s="37">
        <f>IF( ISERROR(IND_ander_ele_kWh/1000),0,IND_ander_ele_kWh/1000)</f>
        <v>575.23013886049898</v>
      </c>
      <c r="C31" s="39">
        <f>IF(ISERROR(B31*3.6/1000000/'E Balans VL '!Z19*100),0,B31*3.6/1000000/'E Balans VL '!Z19*100)</f>
        <v>2.5050813690812999E-2</v>
      </c>
      <c r="D31" s="235" t="s">
        <v>672</v>
      </c>
    </row>
    <row r="32" spans="1:18">
      <c r="A32" s="170" t="s">
        <v>40</v>
      </c>
      <c r="B32" s="37">
        <f>IF( ISERROR(IND_voed_ele_kWh/1000),0,IND_voed_ele_kWh/1000)</f>
        <v>304.15944583477301</v>
      </c>
      <c r="C32" s="39">
        <f>IF(ISERROR(B32*3.6/1000000/'E Balans VL '!Z20*100),0,B32*3.6/1000000/'E Balans VL '!Z20*100)</f>
        <v>5.7709868390749798E-2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3272.41102358841</v>
      </c>
      <c r="C37" s="39">
        <f>IF(ISERROR(B37*3.6/1000000/'E Balans VL '!Z15*100),0,B37*3.6/1000000/'E Balans VL '!Z15*100)</f>
        <v>2.521794628598828E-2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1090.2730709619389</v>
      </c>
      <c r="C5" s="17">
        <f>'Eigen informatie GS &amp; warmtenet'!B60</f>
        <v>0</v>
      </c>
      <c r="D5" s="30">
        <f>IF(ISERROR(SUM(LB_lb_gas_kWh,LB_rest_gas_kWh)/1000),0,SUM(LB_lb_gas_kWh,LB_rest_gas_kWh)/1000)*0.902</f>
        <v>29258.612805026569</v>
      </c>
      <c r="E5" s="17">
        <f>B17*'E Balans VL '!I25/3.6*1000000/100</f>
        <v>13.738845251411227</v>
      </c>
      <c r="F5" s="17">
        <f>B17*('E Balans VL '!L25/3.6*1000000+'E Balans VL '!N25/3.6*1000000)/100</f>
        <v>3761.7152245431357</v>
      </c>
      <c r="G5" s="18"/>
      <c r="H5" s="17"/>
      <c r="I5" s="17"/>
      <c r="J5" s="17">
        <f>('E Balans VL '!D25+'E Balans VL '!E25)/3.6*1000000*landbouw!B17/100</f>
        <v>163.96467608582239</v>
      </c>
      <c r="K5" s="17"/>
      <c r="L5" s="17">
        <f>L6*(-1)</f>
        <v>0</v>
      </c>
      <c r="M5" s="17"/>
      <c r="N5" s="17">
        <f>N6*(-1)</f>
        <v>0</v>
      </c>
      <c r="O5" s="17"/>
      <c r="P5" s="17"/>
      <c r="R5" s="32"/>
    </row>
    <row r="6" spans="1:18">
      <c r="A6" s="16" t="s">
        <v>484</v>
      </c>
      <c r="B6" s="17" t="s">
        <v>204</v>
      </c>
      <c r="C6" s="17">
        <f>'lokale energieproductie'!O40+'lokale energieproductie'!O33</f>
        <v>12947.142857142855</v>
      </c>
      <c r="D6" s="305">
        <f>('lokale energieproductie'!P33+'lokale energieproductie'!P40)*(-1)</f>
        <v>-25894.28571428571</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1090.2730709619389</v>
      </c>
      <c r="C8" s="21">
        <f>C5+C6</f>
        <v>12947.142857142855</v>
      </c>
      <c r="D8" s="21">
        <f>MAX((D5+D6),0)</f>
        <v>3364.3270907408587</v>
      </c>
      <c r="E8" s="21">
        <f>MAX((E5+E6),0)</f>
        <v>13.738845251411227</v>
      </c>
      <c r="F8" s="21">
        <f>MAX((F5+F6),0)</f>
        <v>3761.7152245431357</v>
      </c>
      <c r="G8" s="21"/>
      <c r="H8" s="21"/>
      <c r="I8" s="21"/>
      <c r="J8" s="21">
        <f>MAX((J5+J6),0)</f>
        <v>163.96467608582239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0.21162444503440273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230.72843357827429</v>
      </c>
      <c r="C12" s="23">
        <f ca="1">C8*C10</f>
        <v>3076.8504201680671</v>
      </c>
      <c r="D12" s="23">
        <f>D8*D10</f>
        <v>679.5940723296535</v>
      </c>
      <c r="E12" s="23">
        <f>E8*E10</f>
        <v>3.1187178720703486</v>
      </c>
      <c r="F12" s="23">
        <f>F8*F10</f>
        <v>1004.3779649530173</v>
      </c>
      <c r="G12" s="23"/>
      <c r="H12" s="23"/>
      <c r="I12" s="23"/>
      <c r="J12" s="23">
        <f>J8*J10</f>
        <v>58.04349533438112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0.15205872998666273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189.09510386493454</v>
      </c>
      <c r="C26" s="245">
        <f>B26*'GWP N2O_CH4'!B5</f>
        <v>3970.9971811636256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86.674313024262261</v>
      </c>
      <c r="C27" s="245">
        <f>B27*'GWP N2O_CH4'!B5</f>
        <v>1820.1605735095075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2.5211615715480296</v>
      </c>
      <c r="C28" s="245">
        <f>B28*'GWP N2O_CH4'!B4</f>
        <v>781.56008717988914</v>
      </c>
      <c r="D28" s="50"/>
    </row>
    <row r="29" spans="1:4">
      <c r="A29" s="41" t="s">
        <v>266</v>
      </c>
      <c r="B29" s="245">
        <f>B34*'ha_N2O bodem landbouw'!B4</f>
        <v>7.1836887317482567</v>
      </c>
      <c r="C29" s="245">
        <f>B29*'GWP N2O_CH4'!B4</f>
        <v>2226.9435068419598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1.7936952948962974E-3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1.3906029838085042E-5</v>
      </c>
      <c r="C5" s="434" t="s">
        <v>204</v>
      </c>
      <c r="D5" s="419">
        <f>SUM(D6:D11)</f>
        <v>1.3478628789536342E-5</v>
      </c>
      <c r="E5" s="419">
        <f>SUM(E6:E11)</f>
        <v>4.7969720395964503E-4</v>
      </c>
      <c r="F5" s="432" t="s">
        <v>204</v>
      </c>
      <c r="G5" s="419">
        <f>SUM(G6:G11)</f>
        <v>0.11610398611684937</v>
      </c>
      <c r="H5" s="419">
        <f>SUM(H6:H11)</f>
        <v>2.3084908677691446E-2</v>
      </c>
      <c r="I5" s="434" t="s">
        <v>204</v>
      </c>
      <c r="J5" s="434" t="s">
        <v>204</v>
      </c>
      <c r="K5" s="434" t="s">
        <v>204</v>
      </c>
      <c r="L5" s="434" t="s">
        <v>204</v>
      </c>
      <c r="M5" s="419">
        <f>SUM(M6:M11)</f>
        <v>6.2945392694557832E-3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1.1330905695303064E-5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1.0094492349470955E-5</v>
      </c>
      <c r="E6" s="873">
        <f>vkm_GW_PW*SUMIFS(TableVerdeelsleutelVkm[LPG],TableVerdeelsleutelVkm[Voertuigtype],"Lichte voertuigen")*SUMIFS(TableECFTransport[EnergieConsumptieFactor (PJ per km)],TableECFTransport[Index],CONCATENATE($A6,"_LPG_LPG"))</f>
        <v>3.633243323441826E-4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7.1213530484682999E-2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1.7458593676631259E-2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4.0112223657345616E-3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1.1741223800617563E-7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1.837337001321818E-2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4.1881603991204544E-7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8.2958596633308547E-4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2.3768667834522059E-6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3.3387078367626536E-6</v>
      </c>
      <c r="E8" s="422">
        <f>vkm_NGW_PW*SUMIFS(TableVerdeelsleutelVkm[LPG],TableVerdeelsleutelVkm[Voertuigtype],"Lichte voertuigen")*SUMIFS(TableECFTransport[EnergieConsumptieFactor (PJ per km)],TableECFTransport[Index],CONCATENATE($A8,"_LPG_LPG"))</f>
        <v>1.1436478789723799E-4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2.1056664689753944E-2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5.5431402946127511E-3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1.2034175489886783E-3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2.3147060578405002E-8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4.6527675268509374E-3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9.9660310117677791E-8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2.1007933127800186E-4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5.472787293352291E-8</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4.5428603302732975E-8</v>
      </c>
      <c r="E10" s="422">
        <f>vkm_SW_PW*SUMIFS(TableVerdeelsleutelVkm[LPG],TableVerdeelsleutelVkm[Voertuigtype],"Lichte voertuigen")*SUMIFS(TableECFTransport[EnergieConsumptieFactor (PJ per km)],TableECFTransport[Index],CONCATENATE($A10,"_LPG_LPG"))</f>
        <v>2.0080837182243988E-6</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3.6480318468355894E-4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8.2645325132036466E-5</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2.0238650497037324E-5</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2.9701878116673877E-9</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4.428502176597547E-4</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1.0904965369231625E-8</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1.9995406624418972E-5</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3.862786066134734</v>
      </c>
      <c r="C14" s="21"/>
      <c r="D14" s="21">
        <f t="shared" ref="D14:M14" si="0">((D5)*10^9/3600)+D12</f>
        <v>3.7440635526489841</v>
      </c>
      <c r="E14" s="21">
        <f t="shared" si="0"/>
        <v>133.24922332212361</v>
      </c>
      <c r="F14" s="21"/>
      <c r="G14" s="21">
        <f t="shared" si="0"/>
        <v>32251.107254680377</v>
      </c>
      <c r="H14" s="21">
        <f t="shared" si="0"/>
        <v>6412.4746326920676</v>
      </c>
      <c r="I14" s="21"/>
      <c r="J14" s="21"/>
      <c r="K14" s="21"/>
      <c r="L14" s="21"/>
      <c r="M14" s="21">
        <f t="shared" si="0"/>
        <v>1748.4831304043842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0.21162444503440273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0.81745995753238676</v>
      </c>
      <c r="C18" s="23"/>
      <c r="D18" s="23">
        <f t="shared" ref="D18:M18" si="1">D14*D16</f>
        <v>0.75630083763509481</v>
      </c>
      <c r="E18" s="23">
        <f t="shared" si="1"/>
        <v>30.24757369412206</v>
      </c>
      <c r="F18" s="23"/>
      <c r="G18" s="23">
        <f t="shared" si="1"/>
        <v>8611.0456369996609</v>
      </c>
      <c r="H18" s="23">
        <f t="shared" si="1"/>
        <v>1596.7061835403249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8.3847487642056518E-6</v>
      </c>
      <c r="C50" s="316">
        <f t="shared" ref="C50:P50" si="2">SUM(C51:C52)</f>
        <v>0</v>
      </c>
      <c r="D50" s="316">
        <f t="shared" si="2"/>
        <v>0</v>
      </c>
      <c r="E50" s="316">
        <f t="shared" si="2"/>
        <v>0</v>
      </c>
      <c r="F50" s="316">
        <f t="shared" si="2"/>
        <v>0</v>
      </c>
      <c r="G50" s="316">
        <f t="shared" si="2"/>
        <v>1.6320438632333313E-3</v>
      </c>
      <c r="H50" s="316">
        <f t="shared" si="2"/>
        <v>0</v>
      </c>
      <c r="I50" s="316">
        <f t="shared" si="2"/>
        <v>0</v>
      </c>
      <c r="J50" s="316">
        <f t="shared" si="2"/>
        <v>0</v>
      </c>
      <c r="K50" s="316">
        <f t="shared" si="2"/>
        <v>0</v>
      </c>
      <c r="L50" s="316">
        <f t="shared" si="2"/>
        <v>0</v>
      </c>
      <c r="M50" s="316">
        <f t="shared" si="2"/>
        <v>7.3182218152212554E-5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8.3847487642056518E-6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1.6320438632333313E-3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7.3182218152212554E-5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2.329096878946014</v>
      </c>
      <c r="C54" s="21">
        <f t="shared" ref="C54:P54" si="3">(C50)*10^9/3600</f>
        <v>0</v>
      </c>
      <c r="D54" s="21">
        <f t="shared" si="3"/>
        <v>0</v>
      </c>
      <c r="E54" s="21">
        <f t="shared" si="3"/>
        <v>0</v>
      </c>
      <c r="F54" s="21">
        <f t="shared" si="3"/>
        <v>0</v>
      </c>
      <c r="G54" s="21">
        <f t="shared" si="3"/>
        <v>453.34551756481426</v>
      </c>
      <c r="H54" s="21">
        <f t="shared" si="3"/>
        <v>0</v>
      </c>
      <c r="I54" s="21">
        <f t="shared" si="3"/>
        <v>0</v>
      </c>
      <c r="J54" s="21">
        <f t="shared" si="3"/>
        <v>0</v>
      </c>
      <c r="K54" s="21">
        <f t="shared" si="3"/>
        <v>0</v>
      </c>
      <c r="L54" s="21">
        <f t="shared" si="3"/>
        <v>0</v>
      </c>
      <c r="M54" s="21">
        <f t="shared" si="3"/>
        <v>20.328393931170151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0.21162444503440273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0.4928938344383097</v>
      </c>
      <c r="C58" s="23">
        <f t="shared" ref="C58:P58" ca="1" si="4">C54*C56</f>
        <v>0</v>
      </c>
      <c r="D58" s="23">
        <f t="shared" si="4"/>
        <v>0</v>
      </c>
      <c r="E58" s="23">
        <f t="shared" si="4"/>
        <v>0</v>
      </c>
      <c r="F58" s="23">
        <f t="shared" si="4"/>
        <v>0</v>
      </c>
      <c r="G58" s="23">
        <f t="shared" si="4"/>
        <v>121.04325318980541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1955.6807788368169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9087.7499999999982</v>
      </c>
      <c r="C8" s="546">
        <f>B49</f>
        <v>10691.470588235292</v>
      </c>
      <c r="D8" s="1001"/>
      <c r="E8" s="1001">
        <f>E49</f>
        <v>0</v>
      </c>
      <c r="F8" s="1002"/>
      <c r="G8" s="547"/>
      <c r="H8" s="1001">
        <f>I49</f>
        <v>0</v>
      </c>
      <c r="I8" s="1001">
        <f>G49+F49</f>
        <v>0</v>
      </c>
      <c r="J8" s="1001">
        <f>H49+D49+C49</f>
        <v>0</v>
      </c>
      <c r="K8" s="1001"/>
      <c r="L8" s="1001"/>
      <c r="M8" s="1001"/>
      <c r="N8" s="548"/>
      <c r="O8" s="549">
        <f>C8*$C$12+D8*$D$12+E8*$E$12+F8*$F$12+G8*$G$12+H8*$H$12+I8*$I$12+J8*$J$12</f>
        <v>2159.677058823529</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11043.430778836815</v>
      </c>
      <c r="C10" s="559">
        <f t="shared" ref="C10:L10" si="0">SUM(C8:C9)</f>
        <v>10691.470588235292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2159.677058823529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12982.499999999998</v>
      </c>
      <c r="C17" s="571">
        <f>B50</f>
        <v>15273.529411764704</v>
      </c>
      <c r="D17" s="572"/>
      <c r="E17" s="572">
        <f>E50</f>
        <v>0</v>
      </c>
      <c r="F17" s="1007"/>
      <c r="G17" s="573"/>
      <c r="H17" s="571">
        <f>I50</f>
        <v>0</v>
      </c>
      <c r="I17" s="572">
        <f>G50+F50</f>
        <v>0</v>
      </c>
      <c r="J17" s="572">
        <f>H50+D50+C50</f>
        <v>0</v>
      </c>
      <c r="K17" s="572"/>
      <c r="L17" s="572"/>
      <c r="M17" s="572"/>
      <c r="N17" s="1008"/>
      <c r="O17" s="574">
        <f>C17*$C$22+E17*$E$22+H17*$H$22+I17*$I$22+J17*$J$22+D17*$D$22+F17*$F$22+G17*$G$22+K17*$K$22+L17*$L$22</f>
        <v>3085.2529411764704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12982.499999999998</v>
      </c>
      <c r="C20" s="558">
        <f>SUM(C17:C19)</f>
        <v>15273.529411764704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3085.2529411764704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13012</v>
      </c>
      <c r="C28" s="777">
        <v>2270</v>
      </c>
      <c r="D28" s="630"/>
      <c r="E28" s="629"/>
      <c r="F28" s="629"/>
      <c r="G28" s="629" t="s">
        <v>926</v>
      </c>
      <c r="H28" s="629" t="s">
        <v>927</v>
      </c>
      <c r="I28" s="629"/>
      <c r="J28" s="776"/>
      <c r="K28" s="776"/>
      <c r="L28" s="629" t="s">
        <v>928</v>
      </c>
      <c r="M28" s="629">
        <v>5.5</v>
      </c>
      <c r="N28" s="629">
        <v>24.75</v>
      </c>
      <c r="O28" s="629">
        <v>35.357142857142861</v>
      </c>
      <c r="P28" s="629">
        <v>70.714285714285722</v>
      </c>
      <c r="Q28" s="629">
        <v>0</v>
      </c>
      <c r="R28" s="629">
        <v>0</v>
      </c>
      <c r="S28" s="629">
        <v>0</v>
      </c>
      <c r="T28" s="629">
        <v>0</v>
      </c>
      <c r="U28" s="629">
        <v>0</v>
      </c>
      <c r="V28" s="629">
        <v>0</v>
      </c>
      <c r="W28" s="629">
        <v>0</v>
      </c>
      <c r="X28" s="629">
        <v>1600</v>
      </c>
      <c r="Y28" s="629" t="s">
        <v>49</v>
      </c>
      <c r="Z28" s="631" t="s">
        <v>149</v>
      </c>
    </row>
    <row r="29" spans="1:26" s="583" customFormat="1" ht="25.5" hidden="1">
      <c r="A29" s="582"/>
      <c r="B29" s="777">
        <v>13012</v>
      </c>
      <c r="C29" s="777">
        <v>2270</v>
      </c>
      <c r="D29" s="630"/>
      <c r="E29" s="629"/>
      <c r="F29" s="629"/>
      <c r="G29" s="629" t="s">
        <v>926</v>
      </c>
      <c r="H29" s="629" t="s">
        <v>927</v>
      </c>
      <c r="I29" s="629"/>
      <c r="J29" s="776"/>
      <c r="K29" s="776"/>
      <c r="L29" s="629" t="s">
        <v>928</v>
      </c>
      <c r="M29" s="629">
        <v>2014</v>
      </c>
      <c r="N29" s="629">
        <v>9062.9999999999982</v>
      </c>
      <c r="O29" s="629">
        <v>12947.142857142855</v>
      </c>
      <c r="P29" s="629">
        <v>25894.28571428571</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2019.5</v>
      </c>
      <c r="N30" s="587">
        <f>SUM(N28:N29)</f>
        <v>9087.7499999999982</v>
      </c>
      <c r="O30" s="587">
        <f>SUM(O28:O29)</f>
        <v>12982.499999999998</v>
      </c>
      <c r="P30" s="587">
        <f>SUM(P28:P29)</f>
        <v>25964.999999999996</v>
      </c>
      <c r="Q30" s="587">
        <f>SUM(Q28:Q29)</f>
        <v>0</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5.5</v>
      </c>
      <c r="N32" s="587">
        <f ca="1">SUMIF($Z$28:AD29,"tertiair",N28:N29)</f>
        <v>24.75</v>
      </c>
      <c r="O32" s="587">
        <f ca="1">SUMIF($Z$28:AE29,"tertiair",O28:O29)</f>
        <v>35.357142857142861</v>
      </c>
      <c r="P32" s="587">
        <f ca="1">SUMIF($Z$28:AF29,"tertiair",P28:P29)</f>
        <v>70.714285714285722</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2014</v>
      </c>
      <c r="N33" s="592">
        <f>SUMIF($Z$28:$Z$29,"landbouw",N28:N29)</f>
        <v>9062.9999999999982</v>
      </c>
      <c r="O33" s="592">
        <f>SUMIF($Z$28:$Z$29,"landbouw",O28:O29)</f>
        <v>12947.142857142855</v>
      </c>
      <c r="P33" s="592">
        <f>SUMIF($Z$28:$Z$29,"landbouw",P28:P29)</f>
        <v>25894.28571428571</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10691.470588235292</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15273.529411764704</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2021-11-11T13:19:32Z</dcterms:modified>
</cp:coreProperties>
</file>