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F68EF25D-9479-49E3-8C8C-E6C497B622A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D20" i="18"/>
  <c r="G12" i="18"/>
  <c r="F12" i="18"/>
  <c r="E12" i="18"/>
  <c r="D12" i="18"/>
  <c r="C12" i="18"/>
  <c r="L10" i="18"/>
  <c r="K10" i="18"/>
  <c r="G10" i="18"/>
  <c r="D10" i="18"/>
  <c r="B6" i="18"/>
  <c r="B5" i="18"/>
  <c r="B4" i="18"/>
  <c r="J9" i="18" l="1"/>
  <c r="B47" i="18"/>
  <c r="G51" i="18" s="1"/>
  <c r="I17" i="18" s="1"/>
  <c r="I20" i="18" s="1"/>
  <c r="B17" i="18"/>
  <c r="B20" i="18" s="1"/>
  <c r="F51" i="18"/>
  <c r="C51" i="18"/>
  <c r="B51" i="18"/>
  <c r="C17" i="18" s="1"/>
  <c r="C20" i="18" s="1"/>
  <c r="C47" i="18"/>
  <c r="O18" i="18"/>
  <c r="G20" i="18"/>
  <c r="K20" i="18"/>
  <c r="B10" i="18"/>
  <c r="O19" i="18"/>
  <c r="O9" i="18"/>
  <c r="D51" i="18"/>
  <c r="H51" i="18"/>
  <c r="E50" i="18"/>
  <c r="E8" i="18" s="1"/>
  <c r="E10" i="18" s="1"/>
  <c r="N6" i="17"/>
  <c r="I51" i="18" l="1"/>
  <c r="H17" i="18" s="1"/>
  <c r="H20" i="18" s="1"/>
  <c r="E51" i="18"/>
  <c r="E17" i="18" s="1"/>
  <c r="E20" i="18" s="1"/>
  <c r="I50" i="18"/>
  <c r="H8" i="18" s="1"/>
  <c r="H10" i="18" s="1"/>
  <c r="G50" i="18"/>
  <c r="I8" i="18" s="1"/>
  <c r="I10" i="18" s="1"/>
  <c r="F50" i="18"/>
  <c r="D50" i="18"/>
  <c r="C50" i="18"/>
  <c r="B50" i="18"/>
  <c r="C8" i="18" s="1"/>
  <c r="C10" i="18" s="1"/>
  <c r="H50"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P25" i="4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<sst xmlns="http://schemas.openxmlformats.org/spreadsheetml/2006/main" count="2526" uniqueCount="931">
  <si>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</si>
  <si>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</si>
  <si>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</si>
  <si>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</si>
  <si>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</si>
  <si>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</si>
  <si>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</si>
  <si>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</si>
  <si>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</si>
  <si>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</si>
  <si>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</si>
  <si>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</si>
  <si>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</si>
  <si>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</si>
  <si>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</si>
  <si>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</si>
  <si>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</si>
  <si>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</si>
  <si>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</si>
  <si>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</si>
  <si>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</si>
  <si>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</si>
  <si>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</si>
  <si>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</si>
  <si>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</si>
  <si>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</si>
  <si>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</si>
  <si>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</si>
  <si>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</si>
  <si>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</si>
  <si>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</si>
  <si>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</si>
  <si>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</si>
  <si>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</si>
  <si>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</si>
  <si>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</si>
  <si>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</si>
  <si>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</si>
  <si>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</si>
  <si>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</si>
  <si>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</si>
  <si>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</si>
  <si>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</si>
  <si>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</si>
  <si>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</si>
  <si>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</si>
  <si>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</si>
  <si>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</si>
  <si>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</si>
  <si>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</si>
  <si>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</si>
  <si>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</si>
  <si>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</si>
  <si>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</si>
  <si>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</si>
  <si>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</si>
  <si>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</si>
  <si>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</si>
  <si>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</si>
  <si>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</si>
  <si>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</si>
  <si>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</si>
  <si>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</si>
  <si>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</si>
  <si>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</si>
  <si>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</si>
  <si>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</si>
  <si>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</si>
  <si>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</si>
  <si>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</si>
  <si>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</si>
  <si>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</si>
  <si>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</si>
  <si>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</si>
  <si>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</si>
  <si>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</si>
  <si>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</si>
  <si>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</si>
  <si>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</si>
  <si>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</si>
  <si>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</si>
  <si>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</si>
  <si>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</si>
  <si>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</si>
  <si>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</si>
  <si>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</si>
  <si>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</si>
  <si>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</si>
  <si>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</si>
  <si>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</si>
  <si>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</si>
  <si>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</si>
  <si>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</si>
  <si>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</si>
  <si>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</si>
  <si>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</si>
  <si>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</si>
  <si>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</si>
  <si>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</si>
  <si>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</si>
  <si>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</si>
  <si>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</si>
  <si>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</si>
  <si>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</si>
  <si>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</si>
  <si>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</si>
  <si>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</si>
  <si>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</si>
  <si>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</si>
  <si>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</si>
  <si>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</si>
  <si>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</si>
  <si>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</si>
  <si>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</si>
  <si>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</si>
  <si>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</si>
  <si>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</si>
  <si>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</si>
  <si>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</si>
  <si>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</si>
  <si>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</si>
  <si>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</si>
  <si>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</si>
  <si>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</si>
  <si>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</si>
  <si>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</si>
  <si>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</si>
  <si>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</si>
  <si>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</si>
  <si>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</si>
  <si>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</si>
  <si>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</si>
  <si>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</si>
  <si>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</si>
  <si>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</si>
  <si>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</si>
  <si>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</si>
  <si>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</si>
  <si>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</si>
  <si>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</si>
  <si>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</si>
  <si>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</si>
  <si>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</si>
  <si>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</si>
  <si>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</si>
  <si>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</si>
  <si>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</si>
  <si>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</si>
  <si>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</si>
  <si>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</si>
  <si>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</si>
  <si>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</si>
  <si>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</si>
  <si>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</si>
  <si>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</si>
  <si>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</si>
  <si>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</si>
  <si>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</si>
  <si>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</si>
  <si>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</si>
  <si>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</si>
  <si>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</si>
  <si>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</si>
  <si>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</si>
  <si>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</si>
  <si>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</si>
  <si>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</si>
  <si>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</si>
  <si>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</si>
  <si>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</si>
  <si>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</si>
  <si>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</si>
  <si>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</si>
  <si>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</si>
  <si>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</si>
  <si>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</si>
  <si>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</si>
  <si>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</si>
  <si>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</si>
  <si>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</si>
  <si>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</si>
  <si>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</si>
  <si>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</si>
  <si>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</si>
  <si>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</si>
  <si>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</si>
  <si>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</si>
  <si>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</si>
  <si>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</si>
  <si>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</si>
  <si>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</si>
  <si>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</si>
  <si>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</si>
  <si>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</si>
  <si>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</si>
  <si>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</si>
  <si>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</si>
  <si>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</si>
  <si>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</si>
  <si>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</si>
  <si>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</si>
  <si>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</si>
  <si>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</si>
  <si>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</si>
  <si>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</si>
  <si>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</si>
  <si>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</si>
  <si>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</si>
  <si>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</si>
  <si>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</si>
  <si>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</si>
  <si>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</si>
  <si>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</si>
  <si>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</si>
  <si>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</si>
  <si>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</si>
  <si>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</si>
  <si>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</si>
  <si>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</si>
  <si>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</si>
  <si>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</si>
  <si>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</si>
  <si>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</si>
  <si>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</si>
  <si>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</si>
  <si>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</si>
  <si>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</si>
  <si>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</si>
  <si>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</si>
  <si>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</si>
  <si>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</si>
  <si>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</si>
  <si>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</si>
  <si>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</si>
  <si>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</si>
  <si>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</si>
  <si>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</si>
  <si>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</si>
  <si>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</si>
  <si>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</si>
  <si>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</si>
  <si>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</si>
  <si>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</si>
  <si>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</si>
  <si>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</si>
  <si>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</si>
  <si>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</si>
  <si>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</si>
  <si>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</si>
  <si>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</si>
  <si>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</si>
  <si>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</si>
  <si>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</si>
  <si>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</si>
  <si>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</si>
  <si>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</si>
  <si>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</si>
  <si>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</si>
  <si>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</si>
  <si>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</si>
  <si>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</si>
  <si>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</si>
  <si>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</si>
  <si>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</si>
  <si>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</si>
  <si>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</si>
  <si>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</si>
  <si>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</si>
  <si>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</si>
  <si>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</si>
  <si>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</si>
  <si>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</si>
  <si>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</si>
  <si>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</si>
  <si>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</si>
  <si>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</si>
  <si>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</si>
  <si>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</si>
  <si>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</si>
  <si>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</si>
  <si>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</si>
  <si>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</si>
  <si>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</si>
  <si>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</si>
  <si>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</si>
  <si>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</si>
  <si>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</si>
  <si>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</si>
  <si>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</si>
  <si>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</si>
  <si>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</si>
  <si>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</si>
  <si>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</si>
  <si>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</si>
  <si>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</si>
  <si>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</si>
  <si>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</si>
  <si>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</si>
  <si>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</si>
  <si>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</si>
  <si>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</si>
  <si>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</si>
  <si>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</si>
  <si>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</si>
  <si>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</si>
  <si>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</si>
  <si>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</si>
  <si>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</si>
  <si>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</si>
  <si>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</si>
  <si>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</si>
  <si>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</si>
  <si>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</si>
  <si>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</si>
  <si>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</si>
  <si>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</si>
  <si>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</si>
  <si>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</si>
  <si>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</si>
  <si>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</si>
  <si>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</si>
  <si>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</si>
  <si>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</si>
  <si>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</si>
  <si>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</si>
  <si>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</si>
  <si>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</si>
  <si>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</si>
  <si>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</si>
  <si>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</si>
  <si>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</si>
  <si>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</si>
  <si>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</si>
  <si>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</si>
  <si>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</si>
  <si>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</si>
  <si>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</si>
  <si>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</si>
  <si>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</si>
  <si>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</si>
  <si>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</si>
  <si>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</si>
  <si>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</si>
  <si>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</si>
  <si>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</si>
  <si>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</si>
  <si>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</si>
  <si>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</si>
  <si>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</si>
  <si>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</si>
  <si>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</si>
  <si>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</si>
  <si>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</si>
  <si>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</si>
  <si>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</si>
  <si>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</si>
  <si>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</si>
  <si>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</si>
  <si>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</si>
  <si>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</si>
  <si>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</si>
  <si>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</si>
  <si>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</si>
  <si>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</si>
  <si>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</si>
  <si>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</si>
  <si>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</si>
  <si>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</si>
  <si>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</si>
  <si>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</si>
  <si>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</si>
  <si>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</si>
  <si>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</si>
  <si>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</si>
  <si>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</si>
  <si>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</si>
  <si>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</si>
  <si>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</si>
  <si>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</si>
  <si>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</si>
  <si>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</si>
  <si>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</si>
  <si>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</si>
  <si>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</si>
  <si>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</si>
  <si>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</si>
  <si>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</si>
  <si>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</si>
  <si>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</si>
  <si>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</si>
  <si>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</si>
  <si>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</si>
  <si>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</si>
  <si>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</si>
  <si>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</si>
  <si>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</si>
  <si>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</si>
  <si>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</si>
  <si>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</si>
  <si>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</si>
  <si>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</si>
  <si>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</si>
  <si>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</si>
  <si>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</si>
  <si>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</si>
  <si>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</si>
  <si>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</si>
  <si>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</si>
  <si>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</si>
  <si>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</si>
  <si>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</si>
  <si>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</si>
  <si>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</si>
  <si>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</si>
  <si>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</si>
  <si>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</si>
  <si>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</si>
  <si>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</si>
  <si>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</si>
  <si>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</si>
  <si>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</si>
  <si>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</si>
  <si>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</si>
  <si>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</si>
  <si>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</si>
  <si>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</si>
  <si>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</si>
  <si>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</si>
  <si>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</si>
  <si>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</si>
  <si>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</si>
  <si>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</si>
  <si>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</si>
  <si>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</si>
  <si>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</si>
  <si>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</si>
  <si>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</si>
  <si>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</si>
  <si>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</si>
  <si>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</si>
  <si>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</si>
  <si>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</si>
  <si>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</si>
  <si>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</si>
  <si>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</si>
  <si>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</si>
  <si>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</si>
  <si>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</si>
  <si>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</si>
  <si>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</si>
  <si>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</si>
  <si>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</si>
  <si>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</si>
  <si>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</si>
  <si>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</si>
  <si>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</si>
  <si>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</si>
  <si>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</si>
  <si>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</si>
  <si>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</si>
  <si>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</si>
  <si>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</si>
  <si>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</si>
  <si>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</si>
  <si>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</si>
  <si>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</si>
  <si>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</si>
  <si>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</si>
  <si>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</si>
  <si>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</si>
  <si>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</si>
  <si>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</si>
  <si>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</si>
  <si>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</si>
  <si>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</si>
  <si>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</si>
  <si>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</si>
  <si>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</si>
  <si>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</si>
  <si>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</si>
  <si>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</si>
  <si>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</si>
  <si>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</si>
  <si>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</si>
  <si>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</si>
  <si>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</si>
  <si>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</si>
  <si>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</si>
  <si>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</si>
  <si>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</si>
  <si>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</si>
  <si>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</si>
  <si>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</si>
  <si>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</si>
  <si>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</si>
  <si>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</si>
  <si>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</si>
  <si>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</si>
  <si>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</si>
  <si>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</si>
  <si>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</si>
  <si>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</si>
  <si>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</si>
  <si>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</si>
  <si>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</si>
  <si>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</si>
  <si>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</si>
  <si>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</si>
  <si>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</si>
  <si>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</si>
  <si>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</si>
  <si>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</si>
  <si>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</si>
  <si>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</si>
  <si>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</si>
  <si>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</si>
  <si>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</si>
  <si>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</si>
  <si>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</si>
  <si>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</si>
  <si>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</si>
  <si>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</si>
  <si>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</si>
  <si>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</si>
  <si>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</si>
  <si>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</si>
  <si>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</si>
  <si>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</si>
  <si>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</si>
  <si>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</si>
  <si>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</si>
  <si>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</si>
  <si>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</si>
  <si>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</si>
  <si>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</si>
  <si>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</si>
  <si>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</si>
  <si>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</si>
  <si>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</si>
  <si>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</si>
  <si>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</si>
  <si>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</si>
  <si>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</si>
  <si>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</si>
  <si>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</si>
  <si>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</si>
  <si>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</si>
  <si>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</si>
  <si>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</si>
  <si>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</si>
  <si>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</si>
  <si>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</si>
  <si>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</si>
  <si>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</si>
  <si>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</si>
  <si>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</si>
  <si>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</si>
  <si>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</si>
  <si>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</si>
  <si>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</si>
  <si>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</si>
  <si>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</si>
  <si>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</si>
  <si>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</si>
  <si>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</si>
  <si>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</si>
  <si>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</si>
  <si>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</si>
  <si>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</si>
  <si>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</si>
  <si>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</si>
  <si>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</si>
  <si>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</si>
  <si>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</si>
  <si>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</si>
  <si>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</si>
  <si>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</si>
  <si>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</si>
  <si>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</si>
  <si>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</si>
  <si>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</si>
  <si>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</si>
  <si>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</si>
  <si>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</si>
  <si>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</si>
  <si>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</si>
  <si>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</si>
  <si>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</si>
  <si>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</si>
  <si>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</si>
  <si>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</si>
  <si>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</si>
  <si>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</si>
  <si>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</si>
  <si>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</si>
  <si>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</si>
  <si>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</si>
  <si>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</si>
  <si>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</si>
  <si>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</si>
  <si>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</si>
  <si>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</si>
  <si>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</si>
  <si>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</si>
  <si>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</si>
  <si>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</si>
  <si>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</si>
  <si>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</si>
  <si>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</si>
  <si>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</si>
  <si>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</si>
  <si>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</si>
  <si>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</si>
  <si>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</si>
  <si>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</si>
  <si>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</si>
  <si>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</si>
  <si>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</si>
  <si>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</si>
  <si>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</si>
  <si>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</si>
  <si>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</si>
  <si>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</si>
  <si>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</si>
  <si>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</si>
  <si>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</si>
  <si>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</si>
  <si>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</si>
  <si>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</si>
  <si>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</si>
  <si>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</si>
  <si>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</si>
  <si>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</si>
  <si>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</si>
  <si>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</si>
  <si>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</si>
  <si>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</si>
  <si>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</si>
  <si>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</si>
  <si>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</si>
  <si>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</si>
  <si>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</si>
  <si>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</si>
  <si>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</si>
  <si>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</si>
  <si>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</si>
  <si>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</si>
  <si>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</si>
  <si>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</si>
  <si>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</si>
  <si>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</si>
  <si>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</si>
  <si>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</si>
  <si>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</si>
  <si>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</si>
  <si>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</si>
  <si>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</si>
  <si>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</si>
  <si>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</si>
  <si>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</si>
  <si>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</si>
  <si>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</si>
  <si>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</si>
  <si>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</si>
  <si>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</si>
  <si>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</si>
  <si>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</si>
  <si>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</si>
  <si>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</si>
  <si>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</si>
  <si>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</si>
  <si>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</si>
  <si>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</si>
  <si>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</si>
  <si>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</si>
  <si>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</si>
  <si>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</si>
  <si>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</si>
  <si>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</si>
  <si>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</si>
  <si>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</si>
  <si>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</si>
  <si>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</si>
  <si>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</si>
  <si>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</si>
  <si>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</si>
  <si>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</si>
  <si>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</si>
  <si>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</si>
  <si>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</si>
  <si>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</si>
  <si>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</si>
  <si>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</si>
  <si>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</si>
  <si>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</si>
  <si>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</si>
  <si>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</si>
  <si>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</si>
  <si>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</si>
  <si>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</si>
  <si>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</si>
  <si>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</si>
  <si>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</si>
  <si>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</si>
  <si>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</si>
  <si>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</si>
  <si>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</si>
  <si>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</si>
  <si>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</si>
  <si>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</si>
  <si>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</si>
  <si>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</si>
  <si>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</si>
  <si>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</si>
  <si>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</si>
  <si>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</si>
  <si>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</si>
  <si>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</si>
  <si>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</si>
  <si>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</si>
  <si>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</si>
  <si>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</si>
  <si>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</si>
  <si>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</si>
  <si>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</si>
  <si>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</si>
  <si>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</si>
  <si>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</si>
  <si>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</si>
  <si>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</si>
  <si>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</si>
  <si>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</si>
  <si>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</si>
  <si>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</si>
  <si>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</si>
  <si>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</si>
  <si>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</si>
  <si>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</si>
  <si>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</si>
  <si>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</si>
  <si>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</si>
  <si>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</si>
  <si>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</si>
  <si>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</si>
  <si>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</si>
  <si>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</si>
  <si>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</si>
  <si>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</si>
  <si>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</si>
  <si>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</si>
  <si>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</si>
  <si>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</si>
  <si>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</si>
  <si>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</si>
  <si>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</si>
  <si>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</si>
  <si>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</si>
  <si>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</si>
  <si>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</si>
  <si>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</si>
  <si>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</si>
  <si>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</si>
  <si>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</si>
  <si>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</si>
  <si>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</si>
  <si>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</si>
  <si>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</si>
  <si>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</si>
  <si>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</si>
  <si>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</si>
  <si>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</si>
  <si>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</si>
  <si>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</si>
  <si>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</si>
  <si>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</si>
  <si>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</si>
  <si>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</si>
  <si>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</si>
  <si>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</si>
  <si>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</si>
  <si>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</si>
  <si>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</si>
  <si>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</si>
  <si>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</si>
  <si>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</si>
  <si>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</si>
  <si>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</si>
  <si>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</si>
  <si>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</si>
  <si>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</si>
  <si>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</si>
  <si>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</si>
  <si>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</si>
  <si>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</si>
  <si>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</si>
  <si>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</si>
  <si>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</si>
  <si>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</si>
  <si>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</si>
  <si>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</si>
  <si>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</si>
  <si>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</si>
  <si>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</si>
  <si>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</si>
  <si>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</si>
  <si>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</si>
  <si>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</si>
  <si>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</si>
  <si>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</si>
  <si>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</si>
  <si>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</si>
  <si>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</si>
  <si>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</si>
  <si>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</si>
  <si>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</si>
  <si>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</si>
  <si>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</si>
  <si>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</si>
  <si>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</si>
  <si>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</si>
  <si>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</si>
  <si>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</si>
  <si>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</si>
  <si>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</si>
  <si>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</si>
  <si>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</si>
  <si>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</si>
  <si>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</si>
  <si>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</si>
  <si>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</si>
  <si>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</si>
  <si>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</si>
  <si>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</si>
  <si>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</si>
  <si>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</si>
  <si>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</si>
  <si>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</si>
  <si>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</si>
  <si>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</si>
  <si>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</si>
  <si>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</si>
  <si>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</si>
  <si>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</si>
  <si>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</si>
  <si>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</si>
  <si>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</si>
  <si>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</si>
  <si>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</si>
  <si>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</si>
  <si>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</si>
  <si>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</si>
  <si>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</si>
  <si>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</si>
  <si>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</si>
  <si>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</si>
  <si>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</si>
  <si>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</si>
  <si>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</si>
  <si>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</si>
  <si>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</si>
  <si>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</si>
  <si>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</si>
  <si>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</si>
  <si>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</si>
  <si>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</si>
  <si>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</si>
  <si>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</si>
  <si>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</si>
  <si>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</si>
  <si>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</si>
  <si>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</si>
  <si>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</si>
  <si>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</si>
  <si>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</si>
  <si>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</si>
  <si>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</si>
  <si>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</si>
  <si>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</si>
  <si>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</si>
  <si>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</si>
  <si>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</si>
  <si>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</si>
  <si>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</si>
  <si>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</si>
  <si>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</si>
  <si>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</si>
  <si>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</si>
  <si>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</si>
  <si>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</si>
  <si>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</si>
  <si>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</si>
  <si>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</si>
  <si>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</si>
  <si>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</si>
  <si>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</si>
  <si>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</si>
  <si>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</si>
  <si>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</si>
  <si>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</si>
  <si>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</si>
  <si>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</si>
  <si>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</si>
  <si>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</si>
  <si>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</si>
  <si>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</si>
  <si>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</si>
  <si>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</si>
  <si>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</si>
  <si>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</si>
  <si>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</si>
  <si>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</si>
  <si>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</si>
  <si>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</si>
  <si>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</si>
  <si>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</si>
  <si>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</si>
  <si>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</si>
  <si>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</si>
  <si>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</si>
  <si>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12030</t>
  </si>
  <si>
    <t>PUURS</t>
  </si>
  <si>
    <t>Cultuurgrond (ha)</t>
  </si>
  <si>
    <t>Paarden&amp;pony's 200 - 600 kg</t>
  </si>
  <si>
    <t>Paarden&amp;pony's &lt; 200 kg</t>
  </si>
  <si>
    <t>Fluvius</t>
  </si>
  <si>
    <t>referentietaak LNE (2017); Jaarverslag De Lijn</t>
  </si>
  <si>
    <t>interne verbrandingsmotor</t>
  </si>
  <si>
    <t>WKK interne verbrandinsgmotor (gas)</t>
  </si>
  <si>
    <t>IVERLEK</t>
  </si>
  <si>
    <t>chemie</t>
  </si>
  <si>
    <t>andere wkk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</si>
</sst>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12AB256-A25B-4039-89C6-2796990F3FD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165996.29473781202</c:v>
                </c:pt>
                <c:pt idx="1">
                  <c:v>74667.22147820695</c:v>
                </c:pt>
                <c:pt idx="2">
                  <c:v>1523.1859999999999</c:v>
                </c:pt>
                <c:pt idx="3">
                  <c:v>4656.805505009952</c:v>
                </c:pt>
                <c:pt idx="4">
                  <c:v>319260.47976303264</c:v>
                </c:pt>
                <c:pt idx="5">
                  <c:v>428670.42259215872</c:v>
                </c:pt>
                <c:pt idx="6">
                  <c:v>1703.2048711787565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165996.29473781202</c:v>
                </c:pt>
                <c:pt idx="1">
                  <c:v>74667.22147820695</c:v>
                </c:pt>
                <c:pt idx="2">
                  <c:v>1523.1859999999999</c:v>
                </c:pt>
                <c:pt idx="3">
                  <c:v>4656.805505009952</c:v>
                </c:pt>
                <c:pt idx="4">
                  <c:v>319260.47976303264</c:v>
                </c:pt>
                <c:pt idx="5">
                  <c:v>428670.42259215872</c:v>
                </c:pt>
                <c:pt idx="6">
                  <c:v>1703.2048711787565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33599.634561353392</c:v>
                </c:pt>
                <c:pt idx="2">
                  <c:v>14779.374948687089</c:v>
                </c:pt>
                <c:pt idx="3">
                  <c:v>301.20692175837326</c:v>
                </c:pt>
                <c:pt idx="4">
                  <c:v>1150.4600891018356</c:v>
                </c:pt>
                <c:pt idx="5">
                  <c:v>65805.451499861621</c:v>
                </c:pt>
                <c:pt idx="6">
                  <c:v>108590.16464550458</c:v>
                </c:pt>
                <c:pt idx="7">
                  <c:v>434.75756866151437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33599.634561353392</c:v>
                </c:pt>
                <c:pt idx="2">
                  <c:v>14779.374948687089</c:v>
                </c:pt>
                <c:pt idx="3">
                  <c:v>301.20692175837326</c:v>
                </c:pt>
                <c:pt idx="4">
                  <c:v>1150.4600891018356</c:v>
                </c:pt>
                <c:pt idx="5">
                  <c:v>65805.451499861621</c:v>
                </c:pt>
                <c:pt idx="6">
                  <c:v>108590.16464550458</c:v>
                </c:pt>
                <c:pt idx="7">
                  <c:v>434.75756866151437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12030</v>
      </c>
      <c r="B6" s="385"/>
      <c r="C6" s="386"/>
    </row>
    <row r="7" spans="1:7" s="383" customFormat="1" ht="15.75" customHeight="1">
      <c r="A7" s="387" t="str">
        <f>txtMunicipality</f>
        <v>PUURS</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33447.926920277343</v>
      </c>
      <c r="D10" s="676">
        <f ca="1">tertiair!C16</f>
        <v>0</v>
      </c>
      <c r="E10" s="676">
        <f ca="1">tertiair!D16</f>
        <v>33215.62593456899</v>
      </c>
      <c r="F10" s="676">
        <f>tertiair!E16</f>
        <v>380.98910870318656</v>
      </c>
      <c r="G10" s="676">
        <f ca="1">tertiair!F16</f>
        <v>6255.7364902674581</v>
      </c>
      <c r="H10" s="676">
        <f>tertiair!G16</f>
        <v>0</v>
      </c>
      <c r="I10" s="676">
        <f>tertiair!H16</f>
        <v>0</v>
      </c>
      <c r="J10" s="676">
        <f>tertiair!I16</f>
        <v>0</v>
      </c>
      <c r="K10" s="676">
        <f>tertiair!J16</f>
        <v>0</v>
      </c>
      <c r="L10" s="676">
        <f>tertiair!K16</f>
        <v>0</v>
      </c>
      <c r="M10" s="676">
        <f ca="1">tertiair!L16</f>
        <v>0</v>
      </c>
      <c r="N10" s="676">
        <f>tertiair!M16</f>
        <v>0</v>
      </c>
      <c r="O10" s="676">
        <f ca="1">tertiair!N16</f>
        <v>2831.3656910566278</v>
      </c>
      <c r="P10" s="676">
        <f>tertiair!O16</f>
        <v>1.5633333333333335</v>
      </c>
      <c r="Q10" s="677">
        <f>tertiair!P16</f>
        <v>57.2</v>
      </c>
      <c r="R10" s="679">
        <f ca="1">SUM(C10:Q10)</f>
        <v>76190.407478206937</v>
      </c>
      <c r="S10" s="67"/>
    </row>
    <row r="11" spans="1:19" s="444" customFormat="1">
      <c r="A11" s="791" t="s">
        <v>214</v>
      </c>
      <c r="B11" s="796"/>
      <c r="C11" s="676">
        <f>huishoudens!B8</f>
        <v>29967.360701890062</v>
      </c>
      <c r="D11" s="676">
        <f>huishoudens!C8</f>
        <v>0</v>
      </c>
      <c r="E11" s="676">
        <f>huishoudens!D8</f>
        <v>87829.085333031937</v>
      </c>
      <c r="F11" s="676">
        <f>huishoudens!E8</f>
        <v>1152.9212826874823</v>
      </c>
      <c r="G11" s="676">
        <f>huishoudens!F8</f>
        <v>35331.817759094862</v>
      </c>
      <c r="H11" s="676">
        <f>huishoudens!G8</f>
        <v>0</v>
      </c>
      <c r="I11" s="676">
        <f>huishoudens!H8</f>
        <v>0</v>
      </c>
      <c r="J11" s="676">
        <f>huishoudens!I8</f>
        <v>0</v>
      </c>
      <c r="K11" s="676">
        <f>huishoudens!J8</f>
        <v>669.11427654668546</v>
      </c>
      <c r="L11" s="676">
        <f>huishoudens!K8</f>
        <v>0</v>
      </c>
      <c r="M11" s="676">
        <f>huishoudens!L8</f>
        <v>0</v>
      </c>
      <c r="N11" s="676">
        <f>huishoudens!M8</f>
        <v>0</v>
      </c>
      <c r="O11" s="676">
        <f>huishoudens!N8</f>
        <v>10412.35205122761</v>
      </c>
      <c r="P11" s="676">
        <f>huishoudens!O8</f>
        <v>214.17666666666668</v>
      </c>
      <c r="Q11" s="677">
        <f>huishoudens!P8</f>
        <v>419.4666666666667</v>
      </c>
      <c r="R11" s="679">
        <f>SUM(C11:Q11)</f>
        <v>165996.29473781202</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127399.09141813169</v>
      </c>
      <c r="D13" s="676">
        <f>industrie!C18</f>
        <v>20885.357142857141</v>
      </c>
      <c r="E13" s="676">
        <f>industrie!D18</f>
        <v>115966.40647371992</v>
      </c>
      <c r="F13" s="676">
        <f>industrie!E18</f>
        <v>6648.7405979873556</v>
      </c>
      <c r="G13" s="676">
        <f>industrie!F18</f>
        <v>39986.297217973944</v>
      </c>
      <c r="H13" s="676">
        <f>industrie!G18</f>
        <v>0</v>
      </c>
      <c r="I13" s="676">
        <f>industrie!H18</f>
        <v>0</v>
      </c>
      <c r="J13" s="676">
        <f>industrie!I18</f>
        <v>0</v>
      </c>
      <c r="K13" s="676">
        <f>industrie!J18</f>
        <v>108.41240741293363</v>
      </c>
      <c r="L13" s="676">
        <f>industrie!K18</f>
        <v>0</v>
      </c>
      <c r="M13" s="676">
        <f>industrie!L18</f>
        <v>0</v>
      </c>
      <c r="N13" s="676">
        <f>industrie!M18</f>
        <v>0</v>
      </c>
      <c r="O13" s="676">
        <f>industrie!N18</f>
        <v>8266.174504949664</v>
      </c>
      <c r="P13" s="676">
        <f>industrie!O18</f>
        <v>0</v>
      </c>
      <c r="Q13" s="677">
        <f>industrie!P18</f>
        <v>0</v>
      </c>
      <c r="R13" s="679">
        <f>SUM(C13:Q13)</f>
        <v>319260.47976303264</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190814.3790402991</v>
      </c>
      <c r="D16" s="711">
        <f t="shared" ref="D16:R16" ca="1" si="0">SUM(D9:D15)</f>
        <v>20885.357142857141</v>
      </c>
      <c r="E16" s="711">
        <f t="shared" ca="1" si="0"/>
        <v>237011.11774132086</v>
      </c>
      <c r="F16" s="711">
        <f t="shared" si="0"/>
        <v>8182.650989378024</v>
      </c>
      <c r="G16" s="711">
        <f t="shared" ca="1" si="0"/>
        <v>81573.851467336266</v>
      </c>
      <c r="H16" s="711">
        <f t="shared" si="0"/>
        <v>0</v>
      </c>
      <c r="I16" s="711">
        <f t="shared" si="0"/>
        <v>0</v>
      </c>
      <c r="J16" s="711">
        <f t="shared" si="0"/>
        <v>0</v>
      </c>
      <c r="K16" s="711">
        <f t="shared" si="0"/>
        <v>777.52668395961905</v>
      </c>
      <c r="L16" s="711">
        <f t="shared" si="0"/>
        <v>0</v>
      </c>
      <c r="M16" s="711">
        <f t="shared" ca="1" si="0"/>
        <v>0</v>
      </c>
      <c r="N16" s="711">
        <f t="shared" si="0"/>
        <v>0</v>
      </c>
      <c r="O16" s="711">
        <f t="shared" ca="1" si="0"/>
        <v>21509.892247233904</v>
      </c>
      <c r="P16" s="711">
        <f t="shared" si="0"/>
        <v>215.74</v>
      </c>
      <c r="Q16" s="711">
        <f t="shared" si="0"/>
        <v>476.66666666666669</v>
      </c>
      <c r="R16" s="711">
        <f t="shared" ca="1" si="0"/>
        <v>561447.18197905156</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8.3338320974296956</v>
      </c>
      <c r="D19" s="676">
        <f>transport!C54</f>
        <v>0</v>
      </c>
      <c r="E19" s="676">
        <f>transport!D54</f>
        <v>0</v>
      </c>
      <c r="F19" s="676">
        <f>transport!E54</f>
        <v>0</v>
      </c>
      <c r="G19" s="676">
        <f>transport!F54</f>
        <v>0</v>
      </c>
      <c r="H19" s="676">
        <f>transport!G54</f>
        <v>1622.1332223918616</v>
      </c>
      <c r="I19" s="676">
        <f>transport!H54</f>
        <v>0</v>
      </c>
      <c r="J19" s="676">
        <f>transport!I54</f>
        <v>0</v>
      </c>
      <c r="K19" s="676">
        <f>transport!J54</f>
        <v>0</v>
      </c>
      <c r="L19" s="676">
        <f>transport!K54</f>
        <v>0</v>
      </c>
      <c r="M19" s="676">
        <f>transport!L54</f>
        <v>0</v>
      </c>
      <c r="N19" s="676">
        <f>transport!M54</f>
        <v>72.737816689465262</v>
      </c>
      <c r="O19" s="676">
        <f>transport!N54</f>
        <v>0</v>
      </c>
      <c r="P19" s="676">
        <f>transport!O54</f>
        <v>0</v>
      </c>
      <c r="Q19" s="677">
        <f>transport!P54</f>
        <v>0</v>
      </c>
      <c r="R19" s="679">
        <f>SUM(C19:Q19)</f>
        <v>1703.2048711787565</v>
      </c>
      <c r="S19" s="67"/>
    </row>
    <row r="20" spans="1:19" s="444" customFormat="1">
      <c r="A20" s="791" t="s">
        <v>296</v>
      </c>
      <c r="B20" s="796"/>
      <c r="C20" s="676">
        <f>transport!B14</f>
        <v>30.214989697558369</v>
      </c>
      <c r="D20" s="676">
        <f>transport!C14</f>
        <v>0</v>
      </c>
      <c r="E20" s="676">
        <f>transport!D14</f>
        <v>28.390701013827343</v>
      </c>
      <c r="F20" s="676">
        <f>transport!E14</f>
        <v>1045.2888972394339</v>
      </c>
      <c r="G20" s="676">
        <f>transport!F14</f>
        <v>0</v>
      </c>
      <c r="H20" s="676">
        <f>transport!G14</f>
        <v>360081.03452443646</v>
      </c>
      <c r="I20" s="676">
        <f>transport!H14</f>
        <v>48994.1284083383</v>
      </c>
      <c r="J20" s="676">
        <f>transport!I14</f>
        <v>0</v>
      </c>
      <c r="K20" s="676">
        <f>transport!J14</f>
        <v>0</v>
      </c>
      <c r="L20" s="676">
        <f>transport!K14</f>
        <v>0</v>
      </c>
      <c r="M20" s="676">
        <f>transport!L14</f>
        <v>0</v>
      </c>
      <c r="N20" s="676">
        <f>transport!M14</f>
        <v>18491.365071433116</v>
      </c>
      <c r="O20" s="676">
        <f>transport!N14</f>
        <v>0</v>
      </c>
      <c r="P20" s="676">
        <f>transport!O14</f>
        <v>0</v>
      </c>
      <c r="Q20" s="677">
        <f>transport!P14</f>
        <v>0</v>
      </c>
      <c r="R20" s="679">
        <f>SUM(C20:Q20)</f>
        <v>428670.42259215872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38.548821794988065</v>
      </c>
      <c r="D22" s="794">
        <f t="shared" ref="D22:R22" si="1">SUM(D18:D21)</f>
        <v>0</v>
      </c>
      <c r="E22" s="794">
        <f t="shared" si="1"/>
        <v>28.390701013827343</v>
      </c>
      <c r="F22" s="794">
        <f t="shared" si="1"/>
        <v>1045.2888972394339</v>
      </c>
      <c r="G22" s="794">
        <f t="shared" si="1"/>
        <v>0</v>
      </c>
      <c r="H22" s="794">
        <f t="shared" si="1"/>
        <v>361703.16774682835</v>
      </c>
      <c r="I22" s="794">
        <f t="shared" si="1"/>
        <v>48994.1284083383</v>
      </c>
      <c r="J22" s="794">
        <f t="shared" si="1"/>
        <v>0</v>
      </c>
      <c r="K22" s="794">
        <f t="shared" si="1"/>
        <v>0</v>
      </c>
      <c r="L22" s="794">
        <f t="shared" si="1"/>
        <v>0</v>
      </c>
      <c r="M22" s="794">
        <f t="shared" si="1"/>
        <v>0</v>
      </c>
      <c r="N22" s="794">
        <f t="shared" si="1"/>
        <v>18564.102888122583</v>
      </c>
      <c r="O22" s="794">
        <f t="shared" si="1"/>
        <v>0</v>
      </c>
      <c r="P22" s="794">
        <f t="shared" si="1"/>
        <v>0</v>
      </c>
      <c r="Q22" s="794">
        <f t="shared" si="1"/>
        <v>0</v>
      </c>
      <c r="R22" s="794">
        <f t="shared" si="1"/>
        <v>430373.6274633375</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862.64568334326896</v>
      </c>
      <c r="D24" s="676">
        <f>+landbouw!C8</f>
        <v>0</v>
      </c>
      <c r="E24" s="676">
        <f>+landbouw!D8</f>
        <v>677.21355698737398</v>
      </c>
      <c r="F24" s="676">
        <f>+landbouw!E8</f>
        <v>10.870446923718255</v>
      </c>
      <c r="G24" s="676">
        <f>+landbouw!F8</f>
        <v>2976.3437131907981</v>
      </c>
      <c r="H24" s="676">
        <f>+landbouw!G8</f>
        <v>0</v>
      </c>
      <c r="I24" s="676">
        <f>+landbouw!H8</f>
        <v>0</v>
      </c>
      <c r="J24" s="676">
        <f>+landbouw!I8</f>
        <v>0</v>
      </c>
      <c r="K24" s="676">
        <f>+landbouw!J8</f>
        <v>129.73210456479276</v>
      </c>
      <c r="L24" s="676">
        <f>+landbouw!K8</f>
        <v>0</v>
      </c>
      <c r="M24" s="676">
        <f>+landbouw!L8</f>
        <v>0</v>
      </c>
      <c r="N24" s="676">
        <f>+landbouw!M8</f>
        <v>0</v>
      </c>
      <c r="O24" s="676">
        <f>+landbouw!N8</f>
        <v>0</v>
      </c>
      <c r="P24" s="676">
        <f>+landbouw!O8</f>
        <v>0</v>
      </c>
      <c r="Q24" s="677">
        <f>+landbouw!P8</f>
        <v>0</v>
      </c>
      <c r="R24" s="679">
        <f>SUM(C24:Q24)</f>
        <v>4656.805505009952</v>
      </c>
      <c r="S24" s="67"/>
    </row>
    <row r="25" spans="1:19" s="444" customFormat="1" ht="15" thickBot="1">
      <c r="A25" s="813" t="s">
        <v>833</v>
      </c>
      <c r="B25" s="977"/>
      <c r="C25" s="978">
        <f>IF(Onbekend_ele_kWh="---",0,Onbekend_ele_kWh)/1000+IF(REST_rest_ele_kWh="---",0,REST_rest_ele_kWh)/1000</f>
        <v>833.76952908779799</v>
      </c>
      <c r="D25" s="978"/>
      <c r="E25" s="978">
        <f>IF(onbekend_gas_kWh="---",0,onbekend_gas_kWh)/1000+IF(REST_rest_gas_kWh="---",0,REST_rest_gas_kWh)/1000</f>
        <v>3117.3837021265399</v>
      </c>
      <c r="F25" s="978"/>
      <c r="G25" s="978"/>
      <c r="H25" s="978"/>
      <c r="I25" s="978"/>
      <c r="J25" s="978"/>
      <c r="K25" s="978"/>
      <c r="L25" s="978"/>
      <c r="M25" s="978"/>
      <c r="N25" s="978"/>
      <c r="O25" s="978"/>
      <c r="P25" s="978"/>
      <c r="Q25" s="979"/>
      <c r="R25" s="679">
        <f>SUM(C25:Q25)</f>
        <v>3951.1532312143381</v>
      </c>
      <c r="S25" s="67"/>
    </row>
    <row r="26" spans="1:19" s="444" customFormat="1" ht="15.75" thickBot="1">
      <c r="A26" s="684" t="s">
        <v>834</v>
      </c>
      <c r="B26" s="799"/>
      <c r="C26" s="794">
        <f>SUM(C24:C25)</f>
        <v>1696.4152124310669</v>
      </c>
      <c r="D26" s="794">
        <f t="shared" ref="D26:R26" si="2">SUM(D24:D25)</f>
        <v>0</v>
      </c>
      <c r="E26" s="794">
        <f t="shared" si="2"/>
        <v>3794.5972591139139</v>
      </c>
      <c r="F26" s="794">
        <f t="shared" si="2"/>
        <v>10.870446923718255</v>
      </c>
      <c r="G26" s="794">
        <f t="shared" si="2"/>
        <v>2976.3437131907981</v>
      </c>
      <c r="H26" s="794">
        <f t="shared" si="2"/>
        <v>0</v>
      </c>
      <c r="I26" s="794">
        <f t="shared" si="2"/>
        <v>0</v>
      </c>
      <c r="J26" s="794">
        <f t="shared" si="2"/>
        <v>0</v>
      </c>
      <c r="K26" s="794">
        <f t="shared" si="2"/>
        <v>129.73210456479276</v>
      </c>
      <c r="L26" s="794">
        <f t="shared" si="2"/>
        <v>0</v>
      </c>
      <c r="M26" s="794">
        <f t="shared" si="2"/>
        <v>0</v>
      </c>
      <c r="N26" s="794">
        <f t="shared" si="2"/>
        <v>0</v>
      </c>
      <c r="O26" s="794">
        <f t="shared" si="2"/>
        <v>0</v>
      </c>
      <c r="P26" s="794">
        <f t="shared" si="2"/>
        <v>0</v>
      </c>
      <c r="Q26" s="794">
        <f t="shared" si="2"/>
        <v>0</v>
      </c>
      <c r="R26" s="794">
        <f t="shared" si="2"/>
        <v>8607.9587362242892</v>
      </c>
      <c r="S26" s="67"/>
    </row>
    <row r="27" spans="1:19" s="444" customFormat="1" ht="17.25" thickTop="1" thickBot="1">
      <c r="A27" s="685" t="s">
        <v>109</v>
      </c>
      <c r="B27" s="786"/>
      <c r="C27" s="686">
        <f ca="1">C22+C16+C26</f>
        <v>192549.34307452515</v>
      </c>
      <c r="D27" s="686">
        <f t="shared" ref="D27:R27" ca="1" si="3">D22+D16+D26</f>
        <v>20885.357142857141</v>
      </c>
      <c r="E27" s="686">
        <f t="shared" ca="1" si="3"/>
        <v>240834.1057014486</v>
      </c>
      <c r="F27" s="686">
        <f t="shared" si="3"/>
        <v>9238.8103335411761</v>
      </c>
      <c r="G27" s="686">
        <f t="shared" ca="1" si="3"/>
        <v>84550.195180527066</v>
      </c>
      <c r="H27" s="686">
        <f t="shared" si="3"/>
        <v>361703.16774682835</v>
      </c>
      <c r="I27" s="686">
        <f t="shared" si="3"/>
        <v>48994.1284083383</v>
      </c>
      <c r="J27" s="686">
        <f t="shared" si="3"/>
        <v>0</v>
      </c>
      <c r="K27" s="686">
        <f t="shared" si="3"/>
        <v>907.25878852441178</v>
      </c>
      <c r="L27" s="686">
        <f t="shared" si="3"/>
        <v>0</v>
      </c>
      <c r="M27" s="686">
        <f t="shared" ca="1" si="3"/>
        <v>0</v>
      </c>
      <c r="N27" s="686">
        <f t="shared" si="3"/>
        <v>18564.102888122583</v>
      </c>
      <c r="O27" s="686">
        <f t="shared" ca="1" si="3"/>
        <v>21509.892247233904</v>
      </c>
      <c r="P27" s="686">
        <f t="shared" si="3"/>
        <v>215.74</v>
      </c>
      <c r="Q27" s="686">
        <f t="shared" si="3"/>
        <v>476.66666666666669</v>
      </c>
      <c r="R27" s="686">
        <f t="shared" ca="1" si="3"/>
        <v>1000428.7681786134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6614.2592610854899</v>
      </c>
      <c r="D40" s="676">
        <f ca="1">tertiair!C20</f>
        <v>0</v>
      </c>
      <c r="E40" s="676">
        <f ca="1">tertiair!D20</f>
        <v>6709.5564387829363</v>
      </c>
      <c r="F40" s="676">
        <f>tertiair!E20</f>
        <v>86.484527675623355</v>
      </c>
      <c r="G40" s="676">
        <f ca="1">tertiair!F20</f>
        <v>1670.2816429014115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15080.581870445461</v>
      </c>
    </row>
    <row r="41" spans="1:18">
      <c r="A41" s="804" t="s">
        <v>214</v>
      </c>
      <c r="B41" s="811"/>
      <c r="C41" s="676">
        <f ca="1">huishoudens!B12</f>
        <v>5925.9843973350262</v>
      </c>
      <c r="D41" s="676">
        <f ca="1">huishoudens!C12</f>
        <v>0</v>
      </c>
      <c r="E41" s="676">
        <f>huishoudens!D12</f>
        <v>17741.475237272451</v>
      </c>
      <c r="F41" s="676">
        <f>huishoudens!E12</f>
        <v>261.71313117005849</v>
      </c>
      <c r="G41" s="676">
        <f>huishoudens!F12</f>
        <v>9433.5953416783286</v>
      </c>
      <c r="H41" s="676">
        <f>huishoudens!G12</f>
        <v>0</v>
      </c>
      <c r="I41" s="676">
        <f>huishoudens!H12</f>
        <v>0</v>
      </c>
      <c r="J41" s="676">
        <f>huishoudens!I12</f>
        <v>0</v>
      </c>
      <c r="K41" s="676">
        <f>huishoudens!J12</f>
        <v>236.86645389752664</v>
      </c>
      <c r="L41" s="676">
        <f>huishoudens!K12</f>
        <v>0</v>
      </c>
      <c r="M41" s="676">
        <f>huishoudens!L12</f>
        <v>0</v>
      </c>
      <c r="N41" s="676">
        <f>huishoudens!M12</f>
        <v>0</v>
      </c>
      <c r="O41" s="676">
        <f>huishoudens!N12</f>
        <v>0</v>
      </c>
      <c r="P41" s="676">
        <f>huishoudens!O12</f>
        <v>0</v>
      </c>
      <c r="Q41" s="753">
        <f>huishoudens!P12</f>
        <v>0</v>
      </c>
      <c r="R41" s="832">
        <f t="shared" ca="1" si="4"/>
        <v>33599.634561353392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25192.910229524845</v>
      </c>
      <c r="D43" s="676">
        <f ca="1">industrie!C22</f>
        <v>4963.3436974789911</v>
      </c>
      <c r="E43" s="676">
        <f>industrie!D22</f>
        <v>23425.214107691427</v>
      </c>
      <c r="F43" s="676">
        <f>industrie!E22</f>
        <v>1509.2641157431299</v>
      </c>
      <c r="G43" s="676">
        <f>industrie!F22</f>
        <v>10676.341357199044</v>
      </c>
      <c r="H43" s="676">
        <f>industrie!G22</f>
        <v>0</v>
      </c>
      <c r="I43" s="676">
        <f>industrie!H22</f>
        <v>0</v>
      </c>
      <c r="J43" s="676">
        <f>industrie!I22</f>
        <v>0</v>
      </c>
      <c r="K43" s="676">
        <f>industrie!J22</f>
        <v>38.377992224178506</v>
      </c>
      <c r="L43" s="676">
        <f>industrie!K22</f>
        <v>0</v>
      </c>
      <c r="M43" s="676">
        <f>industrie!L22</f>
        <v>0</v>
      </c>
      <c r="N43" s="676">
        <f>industrie!M22</f>
        <v>0</v>
      </c>
      <c r="O43" s="676">
        <f>industrie!N22</f>
        <v>0</v>
      </c>
      <c r="P43" s="676">
        <f>industrie!O22</f>
        <v>0</v>
      </c>
      <c r="Q43" s="753">
        <f>industrie!P22</f>
        <v>0</v>
      </c>
      <c r="R43" s="831">
        <f t="shared" ca="1" si="4"/>
        <v>65805.451499861621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37733.153887945358</v>
      </c>
      <c r="D46" s="711">
        <f t="shared" ref="D46:Q46" ca="1" si="5">SUM(D39:D45)</f>
        <v>4963.3436974789911</v>
      </c>
      <c r="E46" s="711">
        <f t="shared" ca="1" si="5"/>
        <v>47876.24578374681</v>
      </c>
      <c r="F46" s="711">
        <f t="shared" si="5"/>
        <v>1857.4617745888117</v>
      </c>
      <c r="G46" s="711">
        <f t="shared" ca="1" si="5"/>
        <v>21780.218341778782</v>
      </c>
      <c r="H46" s="711">
        <f t="shared" si="5"/>
        <v>0</v>
      </c>
      <c r="I46" s="711">
        <f t="shared" si="5"/>
        <v>0</v>
      </c>
      <c r="J46" s="711">
        <f t="shared" si="5"/>
        <v>0</v>
      </c>
      <c r="K46" s="711">
        <f t="shared" si="5"/>
        <v>275.24444612170515</v>
      </c>
      <c r="L46" s="711">
        <f t="shared" si="5"/>
        <v>0</v>
      </c>
      <c r="M46" s="711">
        <f t="shared" ca="1" si="5"/>
        <v>0</v>
      </c>
      <c r="N46" s="711">
        <f t="shared" si="5"/>
        <v>0</v>
      </c>
      <c r="O46" s="711">
        <f t="shared" ca="1" si="5"/>
        <v>0</v>
      </c>
      <c r="P46" s="711">
        <f t="shared" si="5"/>
        <v>0</v>
      </c>
      <c r="Q46" s="711">
        <f t="shared" si="5"/>
        <v>0</v>
      </c>
      <c r="R46" s="711">
        <f ca="1">SUM(R39:R45)</f>
        <v>114485.66793166047</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1.6479982828872679</v>
      </c>
      <c r="D49" s="676">
        <f ca="1">transport!C58</f>
        <v>0</v>
      </c>
      <c r="E49" s="676">
        <f>transport!D58</f>
        <v>0</v>
      </c>
      <c r="F49" s="676">
        <f>transport!E58</f>
        <v>0</v>
      </c>
      <c r="G49" s="676">
        <f>transport!F58</f>
        <v>0</v>
      </c>
      <c r="H49" s="676">
        <f>transport!G58</f>
        <v>433.1095703786271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434.75756866151437</v>
      </c>
    </row>
    <row r="50" spans="1:18">
      <c r="A50" s="807" t="s">
        <v>296</v>
      </c>
      <c r="B50" s="817"/>
      <c r="C50" s="682">
        <f ca="1">transport!B18</f>
        <v>5.9749525256682485</v>
      </c>
      <c r="D50" s="682">
        <f>transport!C18</f>
        <v>0</v>
      </c>
      <c r="E50" s="682">
        <f>transport!D18</f>
        <v>5.734921604793124</v>
      </c>
      <c r="F50" s="682">
        <f>transport!E18</f>
        <v>237.28057967335153</v>
      </c>
      <c r="G50" s="682">
        <f>transport!F18</f>
        <v>0</v>
      </c>
      <c r="H50" s="682">
        <f>transport!G18</f>
        <v>96141.636218024534</v>
      </c>
      <c r="I50" s="682">
        <f>transport!H18</f>
        <v>12199.537973676237</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108590.16464550458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7.6229508085555162</v>
      </c>
      <c r="D52" s="711">
        <f t="shared" ref="D52:Q52" ca="1" si="6">SUM(D48:D51)</f>
        <v>0</v>
      </c>
      <c r="E52" s="711">
        <f t="shared" si="6"/>
        <v>5.734921604793124</v>
      </c>
      <c r="F52" s="711">
        <f t="shared" si="6"/>
        <v>237.28057967335153</v>
      </c>
      <c r="G52" s="711">
        <f t="shared" si="6"/>
        <v>0</v>
      </c>
      <c r="H52" s="711">
        <f t="shared" si="6"/>
        <v>96574.745788403161</v>
      </c>
      <c r="I52" s="711">
        <f t="shared" si="6"/>
        <v>12199.537973676237</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109024.9222141661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170.58642270082211</v>
      </c>
      <c r="D54" s="682">
        <f ca="1">+landbouw!C12</f>
        <v>0</v>
      </c>
      <c r="E54" s="682">
        <f>+landbouw!D12</f>
        <v>136.79713851144956</v>
      </c>
      <c r="F54" s="682">
        <f>+landbouw!E12</f>
        <v>2.467591451684044</v>
      </c>
      <c r="G54" s="682">
        <f>+landbouw!F12</f>
        <v>794.68377142194311</v>
      </c>
      <c r="H54" s="682">
        <f>+landbouw!G12</f>
        <v>0</v>
      </c>
      <c r="I54" s="682">
        <f>+landbouw!H12</f>
        <v>0</v>
      </c>
      <c r="J54" s="682">
        <f>+landbouw!I12</f>
        <v>0</v>
      </c>
      <c r="K54" s="682">
        <f>+landbouw!J12</f>
        <v>45.925165015936635</v>
      </c>
      <c r="L54" s="682">
        <f>+landbouw!K12</f>
        <v>0</v>
      </c>
      <c r="M54" s="682">
        <f>+landbouw!L12</f>
        <v>0</v>
      </c>
      <c r="N54" s="682">
        <f>+landbouw!M12</f>
        <v>0</v>
      </c>
      <c r="O54" s="682">
        <f>+landbouw!N12</f>
        <v>0</v>
      </c>
      <c r="P54" s="682">
        <f>+landbouw!O12</f>
        <v>0</v>
      </c>
      <c r="Q54" s="683">
        <f>+landbouw!P12</f>
        <v>0</v>
      </c>
      <c r="R54" s="710">
        <f ca="1">SUM(C54:Q54)</f>
        <v>1150.4600891018356</v>
      </c>
    </row>
    <row r="55" spans="1:18" ht="15" thickBot="1">
      <c r="A55" s="807" t="s">
        <v>833</v>
      </c>
      <c r="B55" s="817"/>
      <c r="C55" s="682">
        <f ca="1">C25*'EF ele_warmte'!B12</f>
        <v>164.87622215045573</v>
      </c>
      <c r="D55" s="682"/>
      <c r="E55" s="682">
        <f>E25*EF_CO2_aardgas</f>
        <v>629.71150782956113</v>
      </c>
      <c r="F55" s="682"/>
      <c r="G55" s="682"/>
      <c r="H55" s="682"/>
      <c r="I55" s="682"/>
      <c r="J55" s="682"/>
      <c r="K55" s="682"/>
      <c r="L55" s="682"/>
      <c r="M55" s="682"/>
      <c r="N55" s="682"/>
      <c r="O55" s="682"/>
      <c r="P55" s="682"/>
      <c r="Q55" s="683"/>
      <c r="R55" s="710">
        <f ca="1">SUM(C55:Q55)</f>
        <v>794.58772998001689</v>
      </c>
    </row>
    <row r="56" spans="1:18" ht="15.75" thickBot="1">
      <c r="A56" s="805" t="s">
        <v>834</v>
      </c>
      <c r="B56" s="818"/>
      <c r="C56" s="711">
        <f ca="1">SUM(C54:C55)</f>
        <v>335.46264485127784</v>
      </c>
      <c r="D56" s="711">
        <f t="shared" ref="D56:Q56" ca="1" si="7">SUM(D54:D55)</f>
        <v>0</v>
      </c>
      <c r="E56" s="711">
        <f t="shared" si="7"/>
        <v>766.50864634101072</v>
      </c>
      <c r="F56" s="711">
        <f t="shared" si="7"/>
        <v>2.467591451684044</v>
      </c>
      <c r="G56" s="711">
        <f t="shared" si="7"/>
        <v>794.68377142194311</v>
      </c>
      <c r="H56" s="711">
        <f t="shared" si="7"/>
        <v>0</v>
      </c>
      <c r="I56" s="711">
        <f t="shared" si="7"/>
        <v>0</v>
      </c>
      <c r="J56" s="711">
        <f t="shared" si="7"/>
        <v>0</v>
      </c>
      <c r="K56" s="711">
        <f t="shared" si="7"/>
        <v>45.925165015936635</v>
      </c>
      <c r="L56" s="711">
        <f t="shared" si="7"/>
        <v>0</v>
      </c>
      <c r="M56" s="711">
        <f t="shared" si="7"/>
        <v>0</v>
      </c>
      <c r="N56" s="711">
        <f t="shared" si="7"/>
        <v>0</v>
      </c>
      <c r="O56" s="711">
        <f t="shared" si="7"/>
        <v>0</v>
      </c>
      <c r="P56" s="711">
        <f t="shared" si="7"/>
        <v>0</v>
      </c>
      <c r="Q56" s="712">
        <f t="shared" si="7"/>
        <v>0</v>
      </c>
      <c r="R56" s="713">
        <f ca="1">SUM(R54:R55)</f>
        <v>1945.0478190818526</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38076.23948360519</v>
      </c>
      <c r="D61" s="719">
        <f t="shared" ref="D61:Q61" ca="1" si="8">D46+D52+D56</f>
        <v>4963.3436974789911</v>
      </c>
      <c r="E61" s="719">
        <f t="shared" ca="1" si="8"/>
        <v>48648.489351692617</v>
      </c>
      <c r="F61" s="719">
        <f t="shared" si="8"/>
        <v>2097.2099457138474</v>
      </c>
      <c r="G61" s="719">
        <f t="shared" ca="1" si="8"/>
        <v>22574.902113200726</v>
      </c>
      <c r="H61" s="719">
        <f t="shared" si="8"/>
        <v>96574.745788403161</v>
      </c>
      <c r="I61" s="719">
        <f t="shared" si="8"/>
        <v>12199.537973676237</v>
      </c>
      <c r="J61" s="719">
        <f t="shared" si="8"/>
        <v>0</v>
      </c>
      <c r="K61" s="719">
        <f t="shared" si="8"/>
        <v>321.16961113764177</v>
      </c>
      <c r="L61" s="719">
        <f t="shared" si="8"/>
        <v>0</v>
      </c>
      <c r="M61" s="719">
        <f t="shared" ca="1" si="8"/>
        <v>0</v>
      </c>
      <c r="N61" s="719">
        <f t="shared" si="8"/>
        <v>0</v>
      </c>
      <c r="O61" s="719">
        <f t="shared" ca="1" si="8"/>
        <v>0</v>
      </c>
      <c r="P61" s="719">
        <f t="shared" si="8"/>
        <v>0</v>
      </c>
      <c r="Q61" s="719">
        <f t="shared" si="8"/>
        <v>0</v>
      </c>
      <c r="R61" s="719">
        <f ca="1">R46+R52+R56</f>
        <v>225455.63796490841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0.19774795839665885</v>
      </c>
      <c r="D63" s="762">
        <f t="shared" ca="1" si="9"/>
        <v>0.23764705882352941</v>
      </c>
      <c r="E63" s="984">
        <f t="shared" ca="1" si="9"/>
        <v>0.20199999999999999</v>
      </c>
      <c r="F63" s="762">
        <f t="shared" si="9"/>
        <v>0.22700000000000006</v>
      </c>
      <c r="G63" s="762">
        <f t="shared" ca="1" si="9"/>
        <v>0.26700000000000002</v>
      </c>
      <c r="H63" s="762">
        <f t="shared" si="9"/>
        <v>0.26699999999999996</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12697.066409999999</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8662.8484049328654</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14619.749999999998</v>
      </c>
      <c r="D76" s="994">
        <f>'lokale energieproductie'!C8</f>
        <v>17199.705882352941</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3474.340588235294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21359.914814932865</v>
      </c>
      <c r="C78" s="734">
        <f>SUM(C72:C77)</f>
        <v>14619.749999999998</v>
      </c>
      <c r="D78" s="735">
        <f t="shared" ref="D78:H78" si="10">SUM(D76:D77)</f>
        <v>17199.705882352941</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3474.340588235294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20885.357142857141</v>
      </c>
      <c r="D87" s="756">
        <f>'lokale energieproductie'!C17</f>
        <v>24571.008403361342</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4963.3436974789911</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20885.357142857141</v>
      </c>
      <c r="D90" s="734">
        <f t="shared" ref="D90:H90" si="12">SUM(D87:D89)</f>
        <v>24571.008403361342</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4963.3436974789911</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29967.360701890062</v>
      </c>
      <c r="C4" s="448">
        <f>huishoudens!C8</f>
        <v>0</v>
      </c>
      <c r="D4" s="448">
        <f>huishoudens!D8</f>
        <v>87829.085333031937</v>
      </c>
      <c r="E4" s="448">
        <f>huishoudens!E8</f>
        <v>1152.9212826874823</v>
      </c>
      <c r="F4" s="448">
        <f>huishoudens!F8</f>
        <v>35331.817759094862</v>
      </c>
      <c r="G4" s="448">
        <f>huishoudens!G8</f>
        <v>0</v>
      </c>
      <c r="H4" s="448">
        <f>huishoudens!H8</f>
        <v>0</v>
      </c>
      <c r="I4" s="448">
        <f>huishoudens!I8</f>
        <v>0</v>
      </c>
      <c r="J4" s="448">
        <f>huishoudens!J8</f>
        <v>669.11427654668546</v>
      </c>
      <c r="K4" s="448">
        <f>huishoudens!K8</f>
        <v>0</v>
      </c>
      <c r="L4" s="448">
        <f>huishoudens!L8</f>
        <v>0</v>
      </c>
      <c r="M4" s="448">
        <f>huishoudens!M8</f>
        <v>0</v>
      </c>
      <c r="N4" s="448">
        <f>huishoudens!N8</f>
        <v>10412.35205122761</v>
      </c>
      <c r="O4" s="448">
        <f>huishoudens!O8</f>
        <v>214.17666666666668</v>
      </c>
      <c r="P4" s="449">
        <f>huishoudens!P8</f>
        <v>419.4666666666667</v>
      </c>
      <c r="Q4" s="450">
        <f>SUM(B4:P4)</f>
        <v>165996.29473781202</v>
      </c>
    </row>
    <row r="5" spans="1:17">
      <c r="A5" s="447" t="s">
        <v>149</v>
      </c>
      <c r="B5" s="448">
        <f ca="1">tertiair!B16</f>
        <v>31924.740920277342</v>
      </c>
      <c r="C5" s="448">
        <f ca="1">tertiair!C16</f>
        <v>0</v>
      </c>
      <c r="D5" s="448">
        <f ca="1">tertiair!D16</f>
        <v>33215.62593456899</v>
      </c>
      <c r="E5" s="448">
        <f>tertiair!E16</f>
        <v>380.98910870318656</v>
      </c>
      <c r="F5" s="448">
        <f ca="1">tertiair!F16</f>
        <v>6255.7364902674581</v>
      </c>
      <c r="G5" s="448">
        <f>tertiair!G16</f>
        <v>0</v>
      </c>
      <c r="H5" s="448">
        <f>tertiair!H16</f>
        <v>0</v>
      </c>
      <c r="I5" s="448">
        <f>tertiair!I16</f>
        <v>0</v>
      </c>
      <c r="J5" s="448">
        <f>tertiair!J16</f>
        <v>0</v>
      </c>
      <c r="K5" s="448">
        <f>tertiair!K16</f>
        <v>0</v>
      </c>
      <c r="L5" s="448">
        <f ca="1">tertiair!L16</f>
        <v>0</v>
      </c>
      <c r="M5" s="448">
        <f>tertiair!M16</f>
        <v>0</v>
      </c>
      <c r="N5" s="448">
        <f ca="1">tertiair!N16</f>
        <v>2831.3656910566278</v>
      </c>
      <c r="O5" s="448">
        <f>tertiair!O16</f>
        <v>1.5633333333333335</v>
      </c>
      <c r="P5" s="449">
        <f>tertiair!P16</f>
        <v>57.2</v>
      </c>
      <c r="Q5" s="447">
        <f t="shared" ref="Q5:Q14" ca="1" si="0">SUM(B5:P5)</f>
        <v>74667.22147820695</v>
      </c>
    </row>
    <row r="6" spans="1:17">
      <c r="A6" s="447" t="s">
        <v>187</v>
      </c>
      <c r="B6" s="448">
        <f>'openbare verlichting'!B8</f>
        <v>1523.1859999999999</v>
      </c>
      <c r="C6" s="448"/>
      <c r="D6" s="448"/>
      <c r="E6" s="448"/>
      <c r="F6" s="448"/>
      <c r="G6" s="448"/>
      <c r="H6" s="448"/>
      <c r="I6" s="448"/>
      <c r="J6" s="448"/>
      <c r="K6" s="448"/>
      <c r="L6" s="448"/>
      <c r="M6" s="448"/>
      <c r="N6" s="448"/>
      <c r="O6" s="448"/>
      <c r="P6" s="449"/>
      <c r="Q6" s="447">
        <f t="shared" si="0"/>
        <v>1523.1859999999999</v>
      </c>
    </row>
    <row r="7" spans="1:17">
      <c r="A7" s="447" t="s">
        <v>105</v>
      </c>
      <c r="B7" s="448">
        <f>landbouw!B8</f>
        <v>862.64568334326896</v>
      </c>
      <c r="C7" s="448">
        <f>landbouw!C8</f>
        <v>0</v>
      </c>
      <c r="D7" s="448">
        <f>landbouw!D8</f>
        <v>677.21355698737398</v>
      </c>
      <c r="E7" s="448">
        <f>landbouw!E8</f>
        <v>10.870446923718255</v>
      </c>
      <c r="F7" s="448">
        <f>landbouw!F8</f>
        <v>2976.3437131907981</v>
      </c>
      <c r="G7" s="448">
        <f>landbouw!G8</f>
        <v>0</v>
      </c>
      <c r="H7" s="448">
        <f>landbouw!H8</f>
        <v>0</v>
      </c>
      <c r="I7" s="448">
        <f>landbouw!I8</f>
        <v>0</v>
      </c>
      <c r="J7" s="448">
        <f>landbouw!J8</f>
        <v>129.73210456479276</v>
      </c>
      <c r="K7" s="448">
        <f>landbouw!K8</f>
        <v>0</v>
      </c>
      <c r="L7" s="448">
        <f>landbouw!L8</f>
        <v>0</v>
      </c>
      <c r="M7" s="448">
        <f>landbouw!M8</f>
        <v>0</v>
      </c>
      <c r="N7" s="448">
        <f>landbouw!N8</f>
        <v>0</v>
      </c>
      <c r="O7" s="448">
        <f>landbouw!O8</f>
        <v>0</v>
      </c>
      <c r="P7" s="449">
        <f>landbouw!P8</f>
        <v>0</v>
      </c>
      <c r="Q7" s="447">
        <f t="shared" si="0"/>
        <v>4656.805505009952</v>
      </c>
    </row>
    <row r="8" spans="1:17">
      <c r="A8" s="447" t="s">
        <v>639</v>
      </c>
      <c r="B8" s="448">
        <f>industrie!B18</f>
        <v>127399.09141813169</v>
      </c>
      <c r="C8" s="448">
        <f>industrie!C18</f>
        <v>20885.357142857141</v>
      </c>
      <c r="D8" s="448">
        <f>industrie!D18</f>
        <v>115966.40647371992</v>
      </c>
      <c r="E8" s="448">
        <f>industrie!E18</f>
        <v>6648.7405979873556</v>
      </c>
      <c r="F8" s="448">
        <f>industrie!F18</f>
        <v>39986.297217973944</v>
      </c>
      <c r="G8" s="448">
        <f>industrie!G18</f>
        <v>0</v>
      </c>
      <c r="H8" s="448">
        <f>industrie!H18</f>
        <v>0</v>
      </c>
      <c r="I8" s="448">
        <f>industrie!I18</f>
        <v>0</v>
      </c>
      <c r="J8" s="448">
        <f>industrie!J18</f>
        <v>108.41240741293363</v>
      </c>
      <c r="K8" s="448">
        <f>industrie!K18</f>
        <v>0</v>
      </c>
      <c r="L8" s="448">
        <f>industrie!L18</f>
        <v>0</v>
      </c>
      <c r="M8" s="448">
        <f>industrie!M18</f>
        <v>0</v>
      </c>
      <c r="N8" s="448">
        <f>industrie!N18</f>
        <v>8266.174504949664</v>
      </c>
      <c r="O8" s="448">
        <f>industrie!O18</f>
        <v>0</v>
      </c>
      <c r="P8" s="449">
        <f>industrie!P18</f>
        <v>0</v>
      </c>
      <c r="Q8" s="447">
        <f t="shared" si="0"/>
        <v>319260.47976303264</v>
      </c>
    </row>
    <row r="9" spans="1:17" s="453" customFormat="1">
      <c r="A9" s="451" t="s">
        <v>557</v>
      </c>
      <c r="B9" s="452">
        <f>transport!B14</f>
        <v>30.214989697558369</v>
      </c>
      <c r="C9" s="452">
        <f>transport!C14</f>
        <v>0</v>
      </c>
      <c r="D9" s="452">
        <f>transport!D14</f>
        <v>28.390701013827343</v>
      </c>
      <c r="E9" s="452">
        <f>transport!E14</f>
        <v>1045.2888972394339</v>
      </c>
      <c r="F9" s="452">
        <f>transport!F14</f>
        <v>0</v>
      </c>
      <c r="G9" s="452">
        <f>transport!G14</f>
        <v>360081.03452443646</v>
      </c>
      <c r="H9" s="452">
        <f>transport!H14</f>
        <v>48994.1284083383</v>
      </c>
      <c r="I9" s="452">
        <f>transport!I14</f>
        <v>0</v>
      </c>
      <c r="J9" s="452">
        <f>transport!J14</f>
        <v>0</v>
      </c>
      <c r="K9" s="452">
        <f>transport!K14</f>
        <v>0</v>
      </c>
      <c r="L9" s="452">
        <f>transport!L14</f>
        <v>0</v>
      </c>
      <c r="M9" s="452">
        <f>transport!M14</f>
        <v>18491.365071433116</v>
      </c>
      <c r="N9" s="452">
        <f>transport!N14</f>
        <v>0</v>
      </c>
      <c r="O9" s="452">
        <f>transport!O14</f>
        <v>0</v>
      </c>
      <c r="P9" s="452">
        <f>transport!P14</f>
        <v>0</v>
      </c>
      <c r="Q9" s="451">
        <f>SUM(B9:P9)</f>
        <v>428670.42259215872</v>
      </c>
    </row>
    <row r="10" spans="1:17">
      <c r="A10" s="447" t="s">
        <v>547</v>
      </c>
      <c r="B10" s="448">
        <f>transport!B54</f>
        <v>8.3338320974296956</v>
      </c>
      <c r="C10" s="448">
        <f>transport!C54</f>
        <v>0</v>
      </c>
      <c r="D10" s="448">
        <f>transport!D54</f>
        <v>0</v>
      </c>
      <c r="E10" s="448">
        <f>transport!E54</f>
        <v>0</v>
      </c>
      <c r="F10" s="448">
        <f>transport!F54</f>
        <v>0</v>
      </c>
      <c r="G10" s="448">
        <f>transport!G54</f>
        <v>1622.1332223918616</v>
      </c>
      <c r="H10" s="448">
        <f>transport!H54</f>
        <v>0</v>
      </c>
      <c r="I10" s="448">
        <f>transport!I54</f>
        <v>0</v>
      </c>
      <c r="J10" s="448">
        <f>transport!J54</f>
        <v>0</v>
      </c>
      <c r="K10" s="448">
        <f>transport!K54</f>
        <v>0</v>
      </c>
      <c r="L10" s="448">
        <f>transport!L54</f>
        <v>0</v>
      </c>
      <c r="M10" s="448">
        <f>transport!M54</f>
        <v>72.737816689465262</v>
      </c>
      <c r="N10" s="448">
        <f>transport!N54</f>
        <v>0</v>
      </c>
      <c r="O10" s="448">
        <f>transport!O54</f>
        <v>0</v>
      </c>
      <c r="P10" s="449">
        <f>transport!P54</f>
        <v>0</v>
      </c>
      <c r="Q10" s="447">
        <f t="shared" si="0"/>
        <v>1703.2048711787565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833.76952908779799</v>
      </c>
      <c r="C14" s="455"/>
      <c r="D14" s="455">
        <f>'SEAP template'!E25</f>
        <v>3117.3837021265399</v>
      </c>
      <c r="E14" s="455"/>
      <c r="F14" s="455"/>
      <c r="G14" s="455"/>
      <c r="H14" s="455"/>
      <c r="I14" s="455"/>
      <c r="J14" s="455"/>
      <c r="K14" s="455"/>
      <c r="L14" s="455"/>
      <c r="M14" s="455"/>
      <c r="N14" s="455"/>
      <c r="O14" s="455"/>
      <c r="P14" s="456"/>
      <c r="Q14" s="447">
        <f t="shared" si="0"/>
        <v>3951.1532312143381</v>
      </c>
    </row>
    <row r="15" spans="1:17" s="460" customFormat="1">
      <c r="A15" s="457" t="s">
        <v>551</v>
      </c>
      <c r="B15" s="458">
        <f ca="1">SUM(B4:B14)</f>
        <v>192549.34307452515</v>
      </c>
      <c r="C15" s="458">
        <f t="shared" ref="C15:Q15" ca="1" si="1">SUM(C4:C14)</f>
        <v>20885.357142857141</v>
      </c>
      <c r="D15" s="458">
        <f t="shared" ca="1" si="1"/>
        <v>240834.10570144857</v>
      </c>
      <c r="E15" s="458">
        <f t="shared" si="1"/>
        <v>9238.8103335411761</v>
      </c>
      <c r="F15" s="458">
        <f t="shared" ca="1" si="1"/>
        <v>84550.195180527066</v>
      </c>
      <c r="G15" s="458">
        <f t="shared" si="1"/>
        <v>361703.16774682835</v>
      </c>
      <c r="H15" s="458">
        <f t="shared" si="1"/>
        <v>48994.1284083383</v>
      </c>
      <c r="I15" s="458">
        <f t="shared" si="1"/>
        <v>0</v>
      </c>
      <c r="J15" s="458">
        <f t="shared" si="1"/>
        <v>907.25878852441178</v>
      </c>
      <c r="K15" s="458">
        <f t="shared" si="1"/>
        <v>0</v>
      </c>
      <c r="L15" s="458">
        <f t="shared" ca="1" si="1"/>
        <v>0</v>
      </c>
      <c r="M15" s="458">
        <f t="shared" si="1"/>
        <v>18564.102888122583</v>
      </c>
      <c r="N15" s="458">
        <f t="shared" ca="1" si="1"/>
        <v>21509.892247233904</v>
      </c>
      <c r="O15" s="458">
        <f t="shared" si="1"/>
        <v>215.74</v>
      </c>
      <c r="P15" s="458">
        <f t="shared" si="1"/>
        <v>476.66666666666669</v>
      </c>
      <c r="Q15" s="458">
        <f t="shared" ca="1" si="1"/>
        <v>1000428.7681786134</v>
      </c>
    </row>
    <row r="17" spans="1:17">
      <c r="A17" s="461" t="s">
        <v>552</v>
      </c>
      <c r="B17" s="767">
        <f ca="1">huishoudens!B10</f>
        <v>0.19774795839665887</v>
      </c>
      <c r="C17" s="767">
        <f ca="1">huishoudens!C10</f>
        <v>0.23764705882352941</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5925.9843973350262</v>
      </c>
      <c r="C22" s="448">
        <f t="shared" ref="C22:C32" ca="1" si="3">C4*$C$17</f>
        <v>0</v>
      </c>
      <c r="D22" s="448">
        <f t="shared" ref="D22:D32" si="4">D4*$D$17</f>
        <v>17741.475237272451</v>
      </c>
      <c r="E22" s="448">
        <f t="shared" ref="E22:E32" si="5">E4*$E$17</f>
        <v>261.71313117005849</v>
      </c>
      <c r="F22" s="448">
        <f t="shared" ref="F22:F32" si="6">F4*$F$17</f>
        <v>9433.5953416783286</v>
      </c>
      <c r="G22" s="448">
        <f t="shared" ref="G22:G32" si="7">G4*$G$17</f>
        <v>0</v>
      </c>
      <c r="H22" s="448">
        <f t="shared" ref="H22:H32" si="8">H4*$H$17</f>
        <v>0</v>
      </c>
      <c r="I22" s="448">
        <f t="shared" ref="I22:I32" si="9">I4*$I$17</f>
        <v>0</v>
      </c>
      <c r="J22" s="448">
        <f t="shared" ref="J22:J32" si="10">J4*$J$17</f>
        <v>236.86645389752664</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33599.634561353392</v>
      </c>
    </row>
    <row r="23" spans="1:17">
      <c r="A23" s="447" t="s">
        <v>149</v>
      </c>
      <c r="B23" s="448">
        <f t="shared" ca="1" si="2"/>
        <v>6313.0523393271169</v>
      </c>
      <c r="C23" s="448">
        <f t="shared" ca="1" si="3"/>
        <v>0</v>
      </c>
      <c r="D23" s="448">
        <f t="shared" ca="1" si="4"/>
        <v>6709.5564387829363</v>
      </c>
      <c r="E23" s="448">
        <f t="shared" si="5"/>
        <v>86.484527675623355</v>
      </c>
      <c r="F23" s="448">
        <f t="shared" ca="1" si="6"/>
        <v>1670.2816429014115</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14779.374948687089</v>
      </c>
    </row>
    <row r="24" spans="1:17">
      <c r="A24" s="447" t="s">
        <v>187</v>
      </c>
      <c r="B24" s="448">
        <f t="shared" ca="1" si="2"/>
        <v>301.20692175837326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301.20692175837326</v>
      </c>
    </row>
    <row r="25" spans="1:17">
      <c r="A25" s="447" t="s">
        <v>105</v>
      </c>
      <c r="B25" s="448">
        <f t="shared" ca="1" si="2"/>
        <v>170.58642270082211</v>
      </c>
      <c r="C25" s="448">
        <f t="shared" ca="1" si="3"/>
        <v>0</v>
      </c>
      <c r="D25" s="448">
        <f t="shared" si="4"/>
        <v>136.79713851144956</v>
      </c>
      <c r="E25" s="448">
        <f t="shared" si="5"/>
        <v>2.467591451684044</v>
      </c>
      <c r="F25" s="448">
        <f t="shared" si="6"/>
        <v>794.68377142194311</v>
      </c>
      <c r="G25" s="448">
        <f t="shared" si="7"/>
        <v>0</v>
      </c>
      <c r="H25" s="448">
        <f t="shared" si="8"/>
        <v>0</v>
      </c>
      <c r="I25" s="448">
        <f t="shared" si="9"/>
        <v>0</v>
      </c>
      <c r="J25" s="448">
        <f t="shared" si="10"/>
        <v>45.925165015936635</v>
      </c>
      <c r="K25" s="448">
        <f t="shared" si="11"/>
        <v>0</v>
      </c>
      <c r="L25" s="448">
        <f t="shared" si="12"/>
        <v>0</v>
      </c>
      <c r="M25" s="448">
        <f t="shared" si="13"/>
        <v>0</v>
      </c>
      <c r="N25" s="448">
        <f t="shared" si="14"/>
        <v>0</v>
      </c>
      <c r="O25" s="448">
        <f t="shared" si="15"/>
        <v>0</v>
      </c>
      <c r="P25" s="449">
        <f t="shared" si="16"/>
        <v>0</v>
      </c>
      <c r="Q25" s="447">
        <f t="shared" ca="1" si="17"/>
        <v>1150.4600891018356</v>
      </c>
    </row>
    <row r="26" spans="1:17">
      <c r="A26" s="447" t="s">
        <v>639</v>
      </c>
      <c r="B26" s="448">
        <f t="shared" ca="1" si="2"/>
        <v>25192.910229524845</v>
      </c>
      <c r="C26" s="448">
        <f t="shared" ca="1" si="3"/>
        <v>4963.3436974789911</v>
      </c>
      <c r="D26" s="448">
        <f t="shared" si="4"/>
        <v>23425.214107691427</v>
      </c>
      <c r="E26" s="448">
        <f t="shared" si="5"/>
        <v>1509.2641157431299</v>
      </c>
      <c r="F26" s="448">
        <f t="shared" si="6"/>
        <v>10676.341357199044</v>
      </c>
      <c r="G26" s="448">
        <f t="shared" si="7"/>
        <v>0</v>
      </c>
      <c r="H26" s="448">
        <f t="shared" si="8"/>
        <v>0</v>
      </c>
      <c r="I26" s="448">
        <f t="shared" si="9"/>
        <v>0</v>
      </c>
      <c r="J26" s="448">
        <f t="shared" si="10"/>
        <v>38.377992224178506</v>
      </c>
      <c r="K26" s="448">
        <f t="shared" si="11"/>
        <v>0</v>
      </c>
      <c r="L26" s="448">
        <f t="shared" si="12"/>
        <v>0</v>
      </c>
      <c r="M26" s="448">
        <f t="shared" si="13"/>
        <v>0</v>
      </c>
      <c r="N26" s="448">
        <f t="shared" si="14"/>
        <v>0</v>
      </c>
      <c r="O26" s="448">
        <f t="shared" si="15"/>
        <v>0</v>
      </c>
      <c r="P26" s="449">
        <f t="shared" si="16"/>
        <v>0</v>
      </c>
      <c r="Q26" s="447">
        <f t="shared" ca="1" si="17"/>
        <v>65805.451499861621</v>
      </c>
    </row>
    <row r="27" spans="1:17" s="453" customFormat="1">
      <c r="A27" s="451" t="s">
        <v>557</v>
      </c>
      <c r="B27" s="761">
        <f t="shared" ca="1" si="2"/>
        <v>5.9749525256682485</v>
      </c>
      <c r="C27" s="452">
        <f t="shared" ca="1" si="3"/>
        <v>0</v>
      </c>
      <c r="D27" s="452">
        <f t="shared" si="4"/>
        <v>5.734921604793124</v>
      </c>
      <c r="E27" s="452">
        <f t="shared" si="5"/>
        <v>237.28057967335153</v>
      </c>
      <c r="F27" s="452">
        <f t="shared" si="6"/>
        <v>0</v>
      </c>
      <c r="G27" s="452">
        <f t="shared" si="7"/>
        <v>96141.636218024534</v>
      </c>
      <c r="H27" s="452">
        <f t="shared" si="8"/>
        <v>12199.537973676237</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108590.16464550458</v>
      </c>
    </row>
    <row r="28" spans="1:17">
      <c r="A28" s="447" t="s">
        <v>547</v>
      </c>
      <c r="B28" s="448">
        <f t="shared" ca="1" si="2"/>
        <v>1.6479982828872679</v>
      </c>
      <c r="C28" s="448">
        <f t="shared" ca="1" si="3"/>
        <v>0</v>
      </c>
      <c r="D28" s="448">
        <f t="shared" si="4"/>
        <v>0</v>
      </c>
      <c r="E28" s="448">
        <f t="shared" si="5"/>
        <v>0</v>
      </c>
      <c r="F28" s="448">
        <f t="shared" si="6"/>
        <v>0</v>
      </c>
      <c r="G28" s="448">
        <f t="shared" si="7"/>
        <v>433.1095703786271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434.75756866151437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164.87622215045573</v>
      </c>
      <c r="C32" s="448">
        <f t="shared" ca="1" si="3"/>
        <v>0</v>
      </c>
      <c r="D32" s="448">
        <f t="shared" si="4"/>
        <v>629.71150782956113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794.58772998001689</v>
      </c>
    </row>
    <row r="33" spans="1:17" s="460" customFormat="1">
      <c r="A33" s="457" t="s">
        <v>551</v>
      </c>
      <c r="B33" s="458">
        <f ca="1">SUM(B22:B32)</f>
        <v>38076.239483605204</v>
      </c>
      <c r="C33" s="458">
        <f t="shared" ref="C33:Q33" ca="1" si="18">SUM(C22:C32)</f>
        <v>4963.3436974789911</v>
      </c>
      <c r="D33" s="458">
        <f t="shared" ca="1" si="18"/>
        <v>48648.489351692617</v>
      </c>
      <c r="E33" s="458">
        <f t="shared" si="18"/>
        <v>2097.2099457138474</v>
      </c>
      <c r="F33" s="458">
        <f t="shared" ca="1" si="18"/>
        <v>22574.902113200726</v>
      </c>
      <c r="G33" s="458">
        <f t="shared" si="18"/>
        <v>96574.745788403161</v>
      </c>
      <c r="H33" s="458">
        <f t="shared" si="18"/>
        <v>12199.537973676237</v>
      </c>
      <c r="I33" s="458">
        <f t="shared" si="18"/>
        <v>0</v>
      </c>
      <c r="J33" s="458">
        <f t="shared" si="18"/>
        <v>321.16961113764177</v>
      </c>
      <c r="K33" s="458">
        <f t="shared" si="18"/>
        <v>0</v>
      </c>
      <c r="L33" s="458">
        <f t="shared" ca="1" si="18"/>
        <v>0</v>
      </c>
      <c r="M33" s="458">
        <f t="shared" si="18"/>
        <v>0</v>
      </c>
      <c r="N33" s="458">
        <f t="shared" ca="1" si="18"/>
        <v>0</v>
      </c>
      <c r="O33" s="458">
        <f t="shared" si="18"/>
        <v>0</v>
      </c>
      <c r="P33" s="458">
        <f t="shared" si="18"/>
        <v>0</v>
      </c>
      <c r="Q33" s="458">
        <f t="shared" ca="1" si="18"/>
        <v>225455.63796490841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12697.066409999999</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8662.8484049328654</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14619.749999999998</v>
      </c>
      <c r="D8" s="1020">
        <f>'SEAP template'!D76</f>
        <v>17199.705882352941</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3474.340588235294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21359.914814932865</v>
      </c>
      <c r="C10" s="1024">
        <f>SUM(C4:C9)</f>
        <v>14619.749999999998</v>
      </c>
      <c r="D10" s="1024">
        <f t="shared" ref="D10:H10" si="0">SUM(D8:D9)</f>
        <v>17199.705882352941</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3474.340588235294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0.19774795839665887</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20885.357142857141</v>
      </c>
      <c r="D17" s="1021">
        <f>'SEAP template'!D87</f>
        <v>24571.008403361342</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4963.3436974789911</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20885.357142857141</v>
      </c>
      <c r="D20" s="1024">
        <f t="shared" ref="D20:H20" si="2">SUM(D17:D19)</f>
        <v>24571.008403361342</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4963.3436974789911</v>
      </c>
    </row>
    <row r="22" spans="1:16">
      <c r="A22" s="461" t="s">
        <v>856</v>
      </c>
      <c r="B22" s="767" t="s">
        <v>850</v>
      </c>
      <c r="C22" s="76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0.19774795839665887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0.19774795839665887</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0.19774795839665887</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6870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1148</v>
      </c>
      <c r="C14" s="327"/>
      <c r="D14" s="327"/>
      <c r="E14" s="327"/>
      <c r="F14" s="327"/>
    </row>
    <row r="15" spans="1:6">
      <c r="A15" s="1296" t="s">
        <v>177</v>
      </c>
      <c r="B15" s="1297">
        <v>916</v>
      </c>
      <c r="C15" s="327"/>
      <c r="D15" s="327"/>
      <c r="E15" s="327"/>
      <c r="F15" s="327"/>
    </row>
    <row r="16" spans="1:6">
      <c r="A16" s="1296" t="s">
        <v>6</v>
      </c>
      <c r="B16" s="1297">
        <v>495</v>
      </c>
      <c r="C16" s="327"/>
      <c r="D16" s="327"/>
      <c r="E16" s="327"/>
      <c r="F16" s="327"/>
    </row>
    <row r="17" spans="1:6">
      <c r="A17" s="1296" t="s">
        <v>7</v>
      </c>
      <c r="B17" s="1297">
        <v>26</v>
      </c>
      <c r="C17" s="327"/>
      <c r="D17" s="327"/>
      <c r="E17" s="327"/>
      <c r="F17" s="327"/>
    </row>
    <row r="18" spans="1:6">
      <c r="A18" s="1296" t="s">
        <v>8</v>
      </c>
      <c r="B18" s="1297">
        <v>229</v>
      </c>
      <c r="C18" s="327"/>
      <c r="D18" s="327"/>
      <c r="E18" s="327"/>
      <c r="F18" s="327"/>
    </row>
    <row r="19" spans="1:6">
      <c r="A19" s="1296" t="s">
        <v>9</v>
      </c>
      <c r="B19" s="1297">
        <v>80</v>
      </c>
      <c r="C19" s="327"/>
      <c r="D19" s="327"/>
      <c r="E19" s="327"/>
      <c r="F19" s="327"/>
    </row>
    <row r="20" spans="1:6">
      <c r="A20" s="1296" t="s">
        <v>10</v>
      </c>
      <c r="B20" s="1297">
        <v>67</v>
      </c>
      <c r="C20" s="327"/>
      <c r="D20" s="327"/>
      <c r="E20" s="327"/>
      <c r="F20" s="327"/>
    </row>
    <row r="21" spans="1:6">
      <c r="A21" s="1296" t="s">
        <v>11</v>
      </c>
      <c r="B21" s="1297">
        <v>0</v>
      </c>
      <c r="C21" s="327"/>
      <c r="D21" s="327"/>
      <c r="E21" s="327"/>
      <c r="F21" s="327"/>
    </row>
    <row r="22" spans="1:6">
      <c r="A22" s="1296" t="s">
        <v>12</v>
      </c>
      <c r="B22" s="1297">
        <v>0</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0</v>
      </c>
      <c r="C26" s="327"/>
      <c r="D26" s="327"/>
      <c r="E26" s="327"/>
      <c r="F26" s="327"/>
    </row>
    <row r="27" spans="1:6">
      <c r="A27" s="1296" t="s">
        <v>17</v>
      </c>
      <c r="B27" s="1297">
        <v>0</v>
      </c>
      <c r="C27" s="327"/>
      <c r="D27" s="327"/>
      <c r="E27" s="327"/>
      <c r="F27" s="327"/>
    </row>
    <row r="28" spans="1:6">
      <c r="A28" s="1296" t="s">
        <v>18</v>
      </c>
      <c r="B28" s="1298">
        <v>495</v>
      </c>
      <c r="C28" s="327"/>
      <c r="D28" s="327"/>
      <c r="E28" s="327"/>
      <c r="F28" s="327"/>
    </row>
    <row r="29" spans="1:6">
      <c r="A29" s="1296" t="s">
        <v>922</v>
      </c>
      <c r="B29" s="1298">
        <v>128</v>
      </c>
      <c r="C29" s="327"/>
      <c r="D29" s="327"/>
      <c r="E29" s="327"/>
      <c r="F29" s="327"/>
    </row>
    <row r="30" spans="1:6">
      <c r="A30" s="1291" t="s">
        <v>923</v>
      </c>
      <c r="B30" s="1299">
        <v>43</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11720.1965325937</v>
      </c>
      <c r="E38" s="1297">
        <v>4</v>
      </c>
      <c r="F38" s="1297">
        <v>41448.557390163201</v>
      </c>
    </row>
    <row r="39" spans="1:6">
      <c r="A39" s="1296" t="s">
        <v>29</v>
      </c>
      <c r="B39" s="1296" t="s">
        <v>30</v>
      </c>
      <c r="C39" s="1297">
        <v>5095</v>
      </c>
      <c r="D39" s="1297">
        <v>97371491.500035405</v>
      </c>
      <c r="E39" s="1297">
        <v>6818</v>
      </c>
      <c r="F39" s="1297">
        <v>26726767.151669201</v>
      </c>
    </row>
    <row r="40" spans="1:6">
      <c r="A40" s="1296" t="s">
        <v>29</v>
      </c>
      <c r="B40" s="1296" t="s">
        <v>28</v>
      </c>
      <c r="C40" s="1297">
        <v>0</v>
      </c>
      <c r="D40" s="1297">
        <v>0</v>
      </c>
      <c r="E40" s="1297">
        <v>0</v>
      </c>
      <c r="F40" s="1297">
        <v>0</v>
      </c>
    </row>
    <row r="41" spans="1:6">
      <c r="A41" s="1296" t="s">
        <v>31</v>
      </c>
      <c r="B41" s="1296" t="s">
        <v>32</v>
      </c>
      <c r="C41" s="1297">
        <v>46</v>
      </c>
      <c r="D41" s="1297">
        <v>1853589.8215439699</v>
      </c>
      <c r="E41" s="1297">
        <v>147</v>
      </c>
      <c r="F41" s="1297">
        <v>10551664.014033301</v>
      </c>
    </row>
    <row r="42" spans="1:6">
      <c r="A42" s="1296" t="s">
        <v>31</v>
      </c>
      <c r="B42" s="1296" t="s">
        <v>33</v>
      </c>
      <c r="C42" s="1297">
        <v>11</v>
      </c>
      <c r="D42" s="1297">
        <v>111395876.926145</v>
      </c>
      <c r="E42" s="1297">
        <v>12</v>
      </c>
      <c r="F42" s="1297">
        <v>44156472.995513901</v>
      </c>
    </row>
    <row r="43" spans="1:6">
      <c r="A43" s="1296" t="s">
        <v>31</v>
      </c>
      <c r="B43" s="1296" t="s">
        <v>34</v>
      </c>
      <c r="C43" s="1297">
        <v>0</v>
      </c>
      <c r="D43" s="1297">
        <v>0</v>
      </c>
      <c r="E43" s="1297">
        <v>0</v>
      </c>
      <c r="F43" s="1297">
        <v>0</v>
      </c>
    </row>
    <row r="44" spans="1:6">
      <c r="A44" s="1296" t="s">
        <v>31</v>
      </c>
      <c r="B44" s="1296" t="s">
        <v>35</v>
      </c>
      <c r="C44" s="1297">
        <v>3</v>
      </c>
      <c r="D44" s="1297">
        <v>271770.64869741403</v>
      </c>
      <c r="E44" s="1297">
        <v>14</v>
      </c>
      <c r="F44" s="1297">
        <v>1204454.00999916</v>
      </c>
    </row>
    <row r="45" spans="1:6">
      <c r="A45" s="1296" t="s">
        <v>31</v>
      </c>
      <c r="B45" s="1296" t="s">
        <v>36</v>
      </c>
      <c r="C45" s="1297">
        <v>3</v>
      </c>
      <c r="D45" s="1297">
        <v>127368.265622001</v>
      </c>
      <c r="E45" s="1297">
        <v>3</v>
      </c>
      <c r="F45" s="1297">
        <v>33137.233693615002</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33</v>
      </c>
      <c r="D48" s="1297">
        <v>31476479.3085238</v>
      </c>
      <c r="E48" s="1297">
        <v>43</v>
      </c>
      <c r="F48" s="1297">
        <v>42151101.440960102</v>
      </c>
    </row>
    <row r="49" spans="1:6">
      <c r="A49" s="1296" t="s">
        <v>31</v>
      </c>
      <c r="B49" s="1296" t="s">
        <v>39</v>
      </c>
      <c r="C49" s="1297">
        <v>0</v>
      </c>
      <c r="D49" s="1297">
        <v>0</v>
      </c>
      <c r="E49" s="1297">
        <v>0</v>
      </c>
      <c r="F49" s="1297">
        <v>0</v>
      </c>
    </row>
    <row r="50" spans="1:6">
      <c r="A50" s="1296" t="s">
        <v>31</v>
      </c>
      <c r="B50" s="1296" t="s">
        <v>40</v>
      </c>
      <c r="C50" s="1297">
        <v>15</v>
      </c>
      <c r="D50" s="1297">
        <v>29749771.747244101</v>
      </c>
      <c r="E50" s="1297">
        <v>15</v>
      </c>
      <c r="F50" s="1297">
        <v>14682511.723931599</v>
      </c>
    </row>
    <row r="51" spans="1:6">
      <c r="A51" s="1296" t="s">
        <v>41</v>
      </c>
      <c r="B51" s="1296" t="s">
        <v>42</v>
      </c>
      <c r="C51" s="1297">
        <v>6</v>
      </c>
      <c r="D51" s="1297">
        <v>161706.63885977201</v>
      </c>
      <c r="E51" s="1297">
        <v>38</v>
      </c>
      <c r="F51" s="1297">
        <v>654683.06495102798</v>
      </c>
    </row>
    <row r="52" spans="1:6">
      <c r="A52" s="1296" t="s">
        <v>41</v>
      </c>
      <c r="B52" s="1296" t="s">
        <v>28</v>
      </c>
      <c r="C52" s="1297">
        <v>4</v>
      </c>
      <c r="D52" s="1297">
        <v>589084.44427478896</v>
      </c>
      <c r="E52" s="1297">
        <v>14</v>
      </c>
      <c r="F52" s="1297">
        <v>207962.61839224101</v>
      </c>
    </row>
    <row r="53" spans="1:6">
      <c r="A53" s="1296" t="s">
        <v>43</v>
      </c>
      <c r="B53" s="1296" t="s">
        <v>44</v>
      </c>
      <c r="C53" s="1297">
        <v>118</v>
      </c>
      <c r="D53" s="1297">
        <v>3117383.7021265398</v>
      </c>
      <c r="E53" s="1297">
        <v>220</v>
      </c>
      <c r="F53" s="1297">
        <v>833769.52908779797</v>
      </c>
    </row>
    <row r="54" spans="1:6">
      <c r="A54" s="1296" t="s">
        <v>45</v>
      </c>
      <c r="B54" s="1296" t="s">
        <v>46</v>
      </c>
      <c r="C54" s="1297">
        <v>0</v>
      </c>
      <c r="D54" s="1297">
        <v>0</v>
      </c>
      <c r="E54" s="1297">
        <v>1</v>
      </c>
      <c r="F54" s="1297">
        <v>1523186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37</v>
      </c>
      <c r="D57" s="1297">
        <v>2086297.90416208</v>
      </c>
      <c r="E57" s="1297">
        <v>65</v>
      </c>
      <c r="F57" s="1297">
        <v>3140369.5783747998</v>
      </c>
    </row>
    <row r="58" spans="1:6">
      <c r="A58" s="1296" t="s">
        <v>48</v>
      </c>
      <c r="B58" s="1296" t="s">
        <v>50</v>
      </c>
      <c r="C58" s="1297">
        <v>23</v>
      </c>
      <c r="D58" s="1297">
        <v>2668043.3150919499</v>
      </c>
      <c r="E58" s="1297">
        <v>40</v>
      </c>
      <c r="F58" s="1297">
        <v>1624664.3739617399</v>
      </c>
    </row>
    <row r="59" spans="1:6">
      <c r="A59" s="1296" t="s">
        <v>48</v>
      </c>
      <c r="B59" s="1296" t="s">
        <v>51</v>
      </c>
      <c r="C59" s="1297">
        <v>89</v>
      </c>
      <c r="D59" s="1297">
        <v>5206686.1726211105</v>
      </c>
      <c r="E59" s="1297">
        <v>160</v>
      </c>
      <c r="F59" s="1297">
        <v>7043539.2044931501</v>
      </c>
    </row>
    <row r="60" spans="1:6">
      <c r="A60" s="1296" t="s">
        <v>48</v>
      </c>
      <c r="B60" s="1296" t="s">
        <v>52</v>
      </c>
      <c r="C60" s="1297">
        <v>43</v>
      </c>
      <c r="D60" s="1297">
        <v>2416619.2695999001</v>
      </c>
      <c r="E60" s="1297">
        <v>118</v>
      </c>
      <c r="F60" s="1297">
        <v>2366053.1480174898</v>
      </c>
    </row>
    <row r="61" spans="1:6">
      <c r="A61" s="1296" t="s">
        <v>48</v>
      </c>
      <c r="B61" s="1296" t="s">
        <v>53</v>
      </c>
      <c r="C61" s="1297">
        <v>140</v>
      </c>
      <c r="D61" s="1297">
        <v>14446569.939442201</v>
      </c>
      <c r="E61" s="1297">
        <v>218</v>
      </c>
      <c r="F61" s="1297">
        <v>9684420.3316153605</v>
      </c>
    </row>
    <row r="62" spans="1:6">
      <c r="A62" s="1296" t="s">
        <v>48</v>
      </c>
      <c r="B62" s="1296" t="s">
        <v>54</v>
      </c>
      <c r="C62" s="1297">
        <v>23</v>
      </c>
      <c r="D62" s="1297">
        <v>2339536.3305696798</v>
      </c>
      <c r="E62" s="1297">
        <v>24</v>
      </c>
      <c r="F62" s="1297">
        <v>486447.63161542203</v>
      </c>
    </row>
    <row r="63" spans="1:6">
      <c r="A63" s="1296" t="s">
        <v>48</v>
      </c>
      <c r="B63" s="1296" t="s">
        <v>28</v>
      </c>
      <c r="C63" s="1297">
        <v>99</v>
      </c>
      <c r="D63" s="1297">
        <v>7660666.0647093002</v>
      </c>
      <c r="E63" s="1297">
        <v>107</v>
      </c>
      <c r="F63" s="1297">
        <v>7579246.6521993801</v>
      </c>
    </row>
    <row r="64" spans="1:6">
      <c r="A64" s="1296" t="s">
        <v>55</v>
      </c>
      <c r="B64" s="1296" t="s">
        <v>56</v>
      </c>
      <c r="C64" s="1297">
        <v>0</v>
      </c>
      <c r="D64" s="1297">
        <v>0</v>
      </c>
      <c r="E64" s="1297">
        <v>0</v>
      </c>
      <c r="F64" s="1297">
        <v>0</v>
      </c>
    </row>
    <row r="65" spans="1:6">
      <c r="A65" s="1296" t="s">
        <v>55</v>
      </c>
      <c r="B65" s="1296" t="s">
        <v>28</v>
      </c>
      <c r="C65" s="1297">
        <v>1</v>
      </c>
      <c r="D65" s="1297">
        <v>30174.180137005402</v>
      </c>
      <c r="E65" s="1297">
        <v>1</v>
      </c>
      <c r="F65" s="1297">
        <v>6211.7959626354004</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11</v>
      </c>
      <c r="D68" s="1299">
        <v>4878942.2903061304</v>
      </c>
      <c r="E68" s="1299">
        <v>36</v>
      </c>
      <c r="F68" s="1299">
        <v>2354862.0789353801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258324486</v>
      </c>
      <c r="E73" s="446"/>
      <c r="F73" s="327"/>
    </row>
    <row r="74" spans="1:6">
      <c r="A74" s="1296" t="s">
        <v>63</v>
      </c>
      <c r="B74" s="1296" t="s">
        <v>706</v>
      </c>
      <c r="C74" s="1309" t="s">
        <v>707</v>
      </c>
      <c r="D74" s="1297">
        <v>40745329.025569238</v>
      </c>
      <c r="E74" s="446"/>
      <c r="F74" s="327"/>
    </row>
    <row r="75" spans="1:6">
      <c r="A75" s="1296" t="s">
        <v>64</v>
      </c>
      <c r="B75" s="1296" t="s">
        <v>704</v>
      </c>
      <c r="C75" s="1309" t="s">
        <v>708</v>
      </c>
      <c r="D75" s="1297">
        <v>66531686</v>
      </c>
      <c r="E75" s="446"/>
      <c r="F75" s="327"/>
    </row>
    <row r="76" spans="1:6">
      <c r="A76" s="1296" t="s">
        <v>64</v>
      </c>
      <c r="B76" s="1296" t="s">
        <v>706</v>
      </c>
      <c r="C76" s="1309" t="s">
        <v>709</v>
      </c>
      <c r="D76" s="1297">
        <v>9531319.025569234</v>
      </c>
      <c r="E76" s="446"/>
      <c r="F76" s="327"/>
    </row>
    <row r="77" spans="1:6">
      <c r="A77" s="1296" t="s">
        <v>65</v>
      </c>
      <c r="B77" s="1296" t="s">
        <v>704</v>
      </c>
      <c r="C77" s="1309" t="s">
        <v>710</v>
      </c>
      <c r="D77" s="1297">
        <v>68785045</v>
      </c>
      <c r="E77" s="446"/>
      <c r="F77" s="327"/>
    </row>
    <row r="78" spans="1:6">
      <c r="A78" s="1291" t="s">
        <v>65</v>
      </c>
      <c r="B78" s="1291" t="s">
        <v>706</v>
      </c>
      <c r="C78" s="1291" t="s">
        <v>711</v>
      </c>
      <c r="D78" s="1299">
        <v>8646574</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450787.94886153005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12697.066409999999</v>
      </c>
      <c r="C90" s="327"/>
      <c r="D90" s="327"/>
      <c r="E90" s="327"/>
      <c r="F90" s="327"/>
    </row>
    <row r="91" spans="1:6">
      <c r="A91" s="1296" t="s">
        <v>67</v>
      </c>
      <c r="B91" s="1297">
        <v>3240.5935502208627</v>
      </c>
      <c r="C91" s="327"/>
      <c r="D91" s="327"/>
      <c r="E91" s="327"/>
      <c r="F91" s="327"/>
    </row>
    <row r="92" spans="1:6">
      <c r="A92" s="1291" t="s">
        <v>68</v>
      </c>
      <c r="B92" s="1292">
        <v>5422.2548547120023</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3477</v>
      </c>
      <c r="C97" s="327"/>
      <c r="D97" s="327"/>
      <c r="E97" s="327"/>
      <c r="F97" s="327"/>
    </row>
    <row r="98" spans="1:6">
      <c r="A98" s="1296" t="s">
        <v>71</v>
      </c>
      <c r="B98" s="1297">
        <v>9</v>
      </c>
      <c r="C98" s="327"/>
      <c r="D98" s="327"/>
      <c r="E98" s="327"/>
      <c r="F98" s="327"/>
    </row>
    <row r="99" spans="1:6">
      <c r="A99" s="1296" t="s">
        <v>72</v>
      </c>
      <c r="B99" s="1297">
        <v>46</v>
      </c>
      <c r="C99" s="327"/>
      <c r="D99" s="327"/>
      <c r="E99" s="327"/>
      <c r="F99" s="327"/>
    </row>
    <row r="100" spans="1:6">
      <c r="A100" s="1296" t="s">
        <v>73</v>
      </c>
      <c r="B100" s="1297">
        <v>346</v>
      </c>
      <c r="C100" s="327"/>
      <c r="D100" s="327"/>
      <c r="E100" s="327"/>
      <c r="F100" s="327"/>
    </row>
    <row r="101" spans="1:6">
      <c r="A101" s="1296" t="s">
        <v>74</v>
      </c>
      <c r="B101" s="1297">
        <v>50</v>
      </c>
      <c r="C101" s="327"/>
      <c r="D101" s="327"/>
      <c r="E101" s="327"/>
      <c r="F101" s="327"/>
    </row>
    <row r="102" spans="1:6">
      <c r="A102" s="1296" t="s">
        <v>75</v>
      </c>
      <c r="B102" s="1297">
        <v>70</v>
      </c>
      <c r="C102" s="327"/>
      <c r="D102" s="327"/>
      <c r="E102" s="327"/>
      <c r="F102" s="327"/>
    </row>
    <row r="103" spans="1:6">
      <c r="A103" s="1296" t="s">
        <v>76</v>
      </c>
      <c r="B103" s="1297">
        <v>102</v>
      </c>
      <c r="C103" s="327"/>
      <c r="D103" s="327"/>
      <c r="E103" s="327"/>
      <c r="F103" s="327"/>
    </row>
    <row r="104" spans="1:6">
      <c r="A104" s="1296" t="s">
        <v>77</v>
      </c>
      <c r="B104" s="1297">
        <v>1915</v>
      </c>
      <c r="C104" s="327"/>
      <c r="D104" s="327"/>
      <c r="E104" s="327"/>
      <c r="F104" s="327"/>
    </row>
    <row r="105" spans="1:6">
      <c r="A105" s="1291"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11</v>
      </c>
      <c r="C123" s="1297">
        <v>27</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110</v>
      </c>
      <c r="C129" s="327"/>
      <c r="D129" s="327"/>
      <c r="E129" s="327"/>
      <c r="F129" s="327"/>
    </row>
    <row r="130" spans="1:6">
      <c r="A130" s="1296" t="s">
        <v>284</v>
      </c>
      <c r="B130" s="1297">
        <v>1</v>
      </c>
      <c r="C130" s="327"/>
      <c r="D130" s="327"/>
      <c r="E130" s="327"/>
      <c r="F130" s="327"/>
    </row>
    <row r="131" spans="1:6">
      <c r="A131" s="1296" t="s">
        <v>285</v>
      </c>
      <c r="B131" s="1297">
        <v>3</v>
      </c>
      <c r="C131" s="327"/>
      <c r="D131" s="327"/>
      <c r="E131" s="327"/>
      <c r="F131" s="327"/>
    </row>
    <row r="132" spans="1:6">
      <c r="A132" s="1291" t="s">
        <v>286</v>
      </c>
      <c r="B132" s="1292">
        <v>10</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192549.34307452515</v>
      </c>
      <c r="C3" s="43" t="s">
        <v>163</v>
      </c>
      <c r="D3" s="43"/>
      <c r="E3" s="156"/>
      <c r="F3" s="43"/>
      <c r="G3" s="43"/>
      <c r="H3" s="43"/>
      <c r="I3" s="43"/>
      <c r="J3" s="43"/>
      <c r="K3" s="96"/>
    </row>
    <row r="4" spans="1:11">
      <c r="A4" s="353" t="s">
        <v>164</v>
      </c>
      <c r="B4" s="49">
        <f>IF(ISERROR('SEAP template'!B78+'SEAP template'!C78),0,'SEAP template'!B78+'SEAP template'!C78)</f>
        <v>35979.664814932861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3474.340588235294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0.19774795839665887</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4963.3436974789911</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20885.357142857141</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0.23764705882352941</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1523.1859999999999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1523.1859999999999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0.19774795839665887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301.20692175837326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26726.767151669199</v>
      </c>
      <c r="C5" s="17">
        <f>IF(ISERROR('Eigen informatie GS &amp; warmtenet'!B57),0,'Eigen informatie GS &amp; warmtenet'!B57)</f>
        <v>0</v>
      </c>
      <c r="D5" s="30">
        <f>(SUM(HH_hh_gas_kWh,HH_rest_gas_kWh)/1000)*0.902</f>
        <v>87829.085333031937</v>
      </c>
      <c r="E5" s="17">
        <f>B32*B41</f>
        <v>1152.9212826874823</v>
      </c>
      <c r="F5" s="17">
        <f>B36*B45</f>
        <v>35331.817759094862</v>
      </c>
      <c r="G5" s="18"/>
      <c r="H5" s="17"/>
      <c r="I5" s="17"/>
      <c r="J5" s="17">
        <f>B35*B44+C35*C44</f>
        <v>669.11427654668546</v>
      </c>
      <c r="K5" s="17"/>
      <c r="L5" s="17"/>
      <c r="M5" s="17"/>
      <c r="N5" s="17">
        <f>B34*B43+C34*C43</f>
        <v>10412.35205122761</v>
      </c>
      <c r="O5" s="17">
        <f>B52*B53*B54</f>
        <v>214.17666666666668</v>
      </c>
      <c r="P5" s="17">
        <f>B60*B61*B62/1000-B60*B61*B62/1000/B63</f>
        <v>419.4666666666667</v>
      </c>
    </row>
    <row r="6" spans="1:16">
      <c r="A6" s="16" t="s">
        <v>617</v>
      </c>
      <c r="B6" s="769">
        <f>kWh_PV_kleiner_dan_10kW</f>
        <v>3240.5935502208627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29967.360701890062</v>
      </c>
      <c r="C8" s="21">
        <f>C5</f>
        <v>0</v>
      </c>
      <c r="D8" s="21">
        <f>D5</f>
        <v>87829.085333031937</v>
      </c>
      <c r="E8" s="21">
        <f>E5</f>
        <v>1152.9212826874823</v>
      </c>
      <c r="F8" s="21">
        <f>F5</f>
        <v>35331.817759094862</v>
      </c>
      <c r="G8" s="21"/>
      <c r="H8" s="21"/>
      <c r="I8" s="21"/>
      <c r="J8" s="21">
        <f>J5</f>
        <v>669.11427654668546</v>
      </c>
      <c r="K8" s="21"/>
      <c r="L8" s="21">
        <f>L5</f>
        <v>0</v>
      </c>
      <c r="M8" s="21">
        <f>M5</f>
        <v>0</v>
      </c>
      <c r="N8" s="21">
        <f>N5</f>
        <v>10412.35205122761</v>
      </c>
      <c r="O8" s="21">
        <f>O5</f>
        <v>214.17666666666668</v>
      </c>
      <c r="P8" s="21">
        <f>P5</f>
        <v>419.4666666666667</v>
      </c>
    </row>
    <row r="9" spans="1:16">
      <c r="B9" s="19"/>
      <c r="C9" s="19"/>
      <c r="D9" s="257"/>
      <c r="E9" s="19"/>
      <c r="F9" s="19"/>
      <c r="G9" s="19"/>
      <c r="H9" s="19"/>
      <c r="I9" s="19"/>
      <c r="J9" s="19"/>
      <c r="K9" s="19"/>
      <c r="L9" s="19"/>
      <c r="M9" s="19"/>
      <c r="N9" s="19"/>
      <c r="O9" s="19"/>
      <c r="P9" s="19"/>
    </row>
    <row r="10" spans="1:16">
      <c r="A10" s="24" t="s">
        <v>207</v>
      </c>
      <c r="B10" s="25">
        <f ca="1">'EF ele_warmte'!B12</f>
        <v>0.19774795839665887</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5925.9843973350262</v>
      </c>
      <c r="C12" s="23">
        <f ca="1">C10*C8</f>
        <v>0</v>
      </c>
      <c r="D12" s="23">
        <f>D8*D10</f>
        <v>17741.475237272451</v>
      </c>
      <c r="E12" s="23">
        <f>E10*E8</f>
        <v>261.71313117005849</v>
      </c>
      <c r="F12" s="23">
        <f>F10*F8</f>
        <v>9433.5953416783286</v>
      </c>
      <c r="G12" s="23"/>
      <c r="H12" s="23"/>
      <c r="I12" s="23"/>
      <c r="J12" s="23">
        <f>J10*J8</f>
        <v>236.86645389752664</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6870</v>
      </c>
      <c r="C26" s="36"/>
      <c r="D26" s="227"/>
    </row>
    <row r="27" spans="1:5" s="15" customFormat="1">
      <c r="A27" s="229" t="s">
        <v>722</v>
      </c>
      <c r="B27" s="37">
        <f>SUM(HH_hh_gas_aantal,HH_rest_gas_aantal)</f>
        <v>5095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4840.25</v>
      </c>
      <c r="C31" s="34" t="s">
        <v>104</v>
      </c>
      <c r="D31" s="173"/>
    </row>
    <row r="32" spans="1:5">
      <c r="A32" s="170" t="s">
        <v>72</v>
      </c>
      <c r="B32" s="33">
        <f>IF((B21*($B$26-($B$27-0.05*$B$27)-$B$60))&lt;0,0,B21*($B$26-($B$27-0.05*$B$27)-$B$60))</f>
        <v>50.277196219152721</v>
      </c>
      <c r="C32" s="34" t="s">
        <v>104</v>
      </c>
      <c r="D32" s="173"/>
    </row>
    <row r="33" spans="1:6">
      <c r="A33" s="170" t="s">
        <v>73</v>
      </c>
      <c r="B33" s="33">
        <f>IF((B22*($B$26-($B$27-0.05*$B$27)-$B$60))&lt;0,0,B22*($B$26-($B$27-0.05*$B$27)-$B$60))</f>
        <v>338.4244976368833</v>
      </c>
      <c r="C33" s="34" t="s">
        <v>104</v>
      </c>
      <c r="D33" s="173"/>
    </row>
    <row r="34" spans="1:6">
      <c r="A34" s="170" t="s">
        <v>74</v>
      </c>
      <c r="B34" s="33">
        <f>IF((B24*($B$26-($B$27-0.05*$B$27)-$B$60))&lt;0,0,B24*($B$26-($B$27-0.05*$B$27)-$B$60))</f>
        <v>85.862882231365205</v>
      </c>
      <c r="C34" s="33">
        <f>B26*C24</f>
        <v>1405.3276646097108</v>
      </c>
      <c r="D34" s="232"/>
    </row>
    <row r="35" spans="1:6">
      <c r="A35" s="170" t="s">
        <v>76</v>
      </c>
      <c r="B35" s="33">
        <f>IF((B19*($B$26-($B$27-0.05*$B$27)-$B$60))&lt;0,0,B19*($B$26-($B$27-0.05*$B$27)-$B$60))</f>
        <v>31.909467435797648</v>
      </c>
      <c r="C35" s="33">
        <f>B35/2</f>
        <v>15.954733717898824</v>
      </c>
      <c r="D35" s="232"/>
    </row>
    <row r="36" spans="1:6">
      <c r="A36" s="170" t="s">
        <v>77</v>
      </c>
      <c r="B36" s="33">
        <f>IF((B18*($B$26-($B$27-0.05*$B$27)-$B$60))&lt;0,0,B18*($B$26-($B$27-0.05*$B$27)-$B$60))</f>
        <v>1501.2759564768012</v>
      </c>
      <c r="C36" s="34" t="s">
        <v>104</v>
      </c>
      <c r="D36" s="173"/>
    </row>
    <row r="37" spans="1:6">
      <c r="A37" s="170" t="s">
        <v>78</v>
      </c>
      <c r="B37" s="33">
        <f>B60</f>
        <v>22</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137</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22</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31924.740920277342</v>
      </c>
      <c r="C5" s="17">
        <f>IF(ISERROR('Eigen informatie GS &amp; warmtenet'!B58),0,'Eigen informatie GS &amp; warmtenet'!B58)</f>
        <v>0</v>
      </c>
      <c r="D5" s="30">
        <f>SUM(D6:D12)</f>
        <v>33215.62593456899</v>
      </c>
      <c r="E5" s="17">
        <f>SUM(E6:E12)</f>
        <v>380.98910870318656</v>
      </c>
      <c r="F5" s="17">
        <f>SUM(F6:F12)</f>
        <v>6255.7364902674581</v>
      </c>
      <c r="G5" s="18"/>
      <c r="H5" s="17"/>
      <c r="I5" s="17"/>
      <c r="J5" s="17">
        <f>SUM(J6:J12)</f>
        <v>0</v>
      </c>
      <c r="K5" s="17"/>
      <c r="L5" s="17"/>
      <c r="M5" s="17"/>
      <c r="N5" s="17">
        <f>SUM(N6:N12)</f>
        <v>2831.3656910566278</v>
      </c>
      <c r="O5" s="17">
        <f>B38*B39*B40</f>
        <v>1.5633333333333335</v>
      </c>
      <c r="P5" s="17">
        <f>B46*B47*B48/1000-B46*B47*B48/1000/B49</f>
        <v>57.2</v>
      </c>
      <c r="R5" s="32"/>
    </row>
    <row r="6" spans="1:18">
      <c r="A6" s="32" t="s">
        <v>53</v>
      </c>
      <c r="B6" s="37">
        <f>B26</f>
        <v>9684.4203316153598</v>
      </c>
      <c r="C6" s="33"/>
      <c r="D6" s="37">
        <f>IF(ISERROR(TER_kantoor_gas_kWh/1000),0,TER_kantoor_gas_kWh/1000)*0.902</f>
        <v>13030.806085376866</v>
      </c>
      <c r="E6" s="33">
        <f>$C$26*'E Balans VL '!I12/100/3.6*1000000</f>
        <v>37.626023299570932</v>
      </c>
      <c r="F6" s="33">
        <f>$C$26*('E Balans VL '!L12+'E Balans VL '!N12)/100/3.6*1000000</f>
        <v>1472.91221123931</v>
      </c>
      <c r="G6" s="34"/>
      <c r="H6" s="33"/>
      <c r="I6" s="33"/>
      <c r="J6" s="33">
        <f>$C$26*('E Balans VL '!D12+'E Balans VL '!E12)/100/3.6*1000000</f>
        <v>0</v>
      </c>
      <c r="K6" s="33"/>
      <c r="L6" s="33"/>
      <c r="M6" s="33"/>
      <c r="N6" s="33">
        <f>$C$26*'E Balans VL '!Y12/100/3.6*1000000</f>
        <v>5.3372757677044733</v>
      </c>
      <c r="O6" s="33"/>
      <c r="P6" s="33"/>
      <c r="R6" s="32"/>
    </row>
    <row r="7" spans="1:18">
      <c r="A7" s="32" t="s">
        <v>52</v>
      </c>
      <c r="B7" s="37">
        <f t="shared" ref="B7:B12" si="0">B27</f>
        <v>2366.05314801749</v>
      </c>
      <c r="C7" s="33"/>
      <c r="D7" s="37">
        <f>IF(ISERROR(TER_horeca_gas_kWh/1000),0,TER_horeca_gas_kWh/1000)*0.902</f>
        <v>2179.7905811791102</v>
      </c>
      <c r="E7" s="33">
        <f>$C$27*'E Balans VL '!I9/100/3.6*1000000</f>
        <v>133.28040640562992</v>
      </c>
      <c r="F7" s="33">
        <f>$C$27*('E Balans VL '!L9+'E Balans VL '!N9)/100/3.6*1000000</f>
        <v>682.22807517797025</v>
      </c>
      <c r="G7" s="34"/>
      <c r="H7" s="33"/>
      <c r="I7" s="33"/>
      <c r="J7" s="33">
        <f>$C$27*('E Balans VL '!D9+'E Balans VL '!E9)/100/3.6*1000000</f>
        <v>0</v>
      </c>
      <c r="K7" s="33"/>
      <c r="L7" s="33"/>
      <c r="M7" s="33"/>
      <c r="N7" s="33">
        <f>$C$27*'E Balans VL '!Y9/100/3.6*1000000</f>
        <v>0.65325497899865703</v>
      </c>
      <c r="O7" s="33"/>
      <c r="P7" s="33"/>
      <c r="R7" s="32"/>
    </row>
    <row r="8" spans="1:18">
      <c r="A8" s="6" t="s">
        <v>51</v>
      </c>
      <c r="B8" s="37">
        <f t="shared" si="0"/>
        <v>7043.5392044931505</v>
      </c>
      <c r="C8" s="33"/>
      <c r="D8" s="37">
        <f>IF(ISERROR(TER_handel_gas_kWh/1000),0,TER_handel_gas_kWh/1000)*0.902</f>
        <v>4696.4309277042412</v>
      </c>
      <c r="E8" s="33">
        <f>$C$28*'E Balans VL '!I13/100/3.6*1000000</f>
        <v>101.52129628816144</v>
      </c>
      <c r="F8" s="33">
        <f>$C$28*('E Balans VL '!L13+'E Balans VL '!N13)/100/3.6*1000000</f>
        <v>1223.6267927797771</v>
      </c>
      <c r="G8" s="34"/>
      <c r="H8" s="33"/>
      <c r="I8" s="33"/>
      <c r="J8" s="33">
        <f>$C$28*('E Balans VL '!D13+'E Balans VL '!E13)/100/3.6*1000000</f>
        <v>0</v>
      </c>
      <c r="K8" s="33"/>
      <c r="L8" s="33"/>
      <c r="M8" s="33"/>
      <c r="N8" s="33">
        <f>$C$28*'E Balans VL '!Y13/100/3.6*1000000</f>
        <v>21.103227559598366</v>
      </c>
      <c r="O8" s="33"/>
      <c r="P8" s="33"/>
      <c r="R8" s="32"/>
    </row>
    <row r="9" spans="1:18">
      <c r="A9" s="32" t="s">
        <v>50</v>
      </c>
      <c r="B9" s="37">
        <f t="shared" si="0"/>
        <v>1624.66437396174</v>
      </c>
      <c r="C9" s="33"/>
      <c r="D9" s="37">
        <f>IF(ISERROR(TER_gezond_gas_kWh/1000),0,TER_gezond_gas_kWh/1000)*0.902</f>
        <v>2406.575070212939</v>
      </c>
      <c r="E9" s="33">
        <f>$C$29*'E Balans VL '!I10/100/3.6*1000000</f>
        <v>1.7355626489325522</v>
      </c>
      <c r="F9" s="33">
        <f>$C$29*('E Balans VL '!L10+'E Balans VL '!N10)/100/3.6*1000000</f>
        <v>265.03213479630836</v>
      </c>
      <c r="G9" s="34"/>
      <c r="H9" s="33"/>
      <c r="I9" s="33"/>
      <c r="J9" s="33">
        <f>$C$29*('E Balans VL '!D10+'E Balans VL '!E10)/100/3.6*1000000</f>
        <v>0</v>
      </c>
      <c r="K9" s="33"/>
      <c r="L9" s="33"/>
      <c r="M9" s="33"/>
      <c r="N9" s="33">
        <f>$C$29*'E Balans VL '!Y10/100/3.6*1000000</f>
        <v>16.724992714938562</v>
      </c>
      <c r="O9" s="33"/>
      <c r="P9" s="33"/>
      <c r="R9" s="32"/>
    </row>
    <row r="10" spans="1:18">
      <c r="A10" s="32" t="s">
        <v>49</v>
      </c>
      <c r="B10" s="37">
        <f t="shared" si="0"/>
        <v>3140.3695783747999</v>
      </c>
      <c r="C10" s="33"/>
      <c r="D10" s="37">
        <f>IF(ISERROR(TER_ander_gas_kWh/1000),0,TER_ander_gas_kWh/1000)*0.902</f>
        <v>1881.8407095541963</v>
      </c>
      <c r="E10" s="33">
        <f>$C$30*'E Balans VL '!I14/100/3.6*1000000</f>
        <v>14.442082005272487</v>
      </c>
      <c r="F10" s="33">
        <f>$C$30*('E Balans VL '!L14+'E Balans VL '!N14)/100/3.6*1000000</f>
        <v>941.26781879842827</v>
      </c>
      <c r="G10" s="34"/>
      <c r="H10" s="33"/>
      <c r="I10" s="33"/>
      <c r="J10" s="33">
        <f>$C$30*('E Balans VL '!D14+'E Balans VL '!E14)/100/3.6*1000000</f>
        <v>0</v>
      </c>
      <c r="K10" s="33"/>
      <c r="L10" s="33"/>
      <c r="M10" s="33"/>
      <c r="N10" s="33">
        <f>$C$30*'E Balans VL '!Y14/100/3.6*1000000</f>
        <v>2185.904524758686</v>
      </c>
      <c r="O10" s="33"/>
      <c r="P10" s="33"/>
      <c r="R10" s="32"/>
    </row>
    <row r="11" spans="1:18">
      <c r="A11" s="32" t="s">
        <v>54</v>
      </c>
      <c r="B11" s="37">
        <f t="shared" si="0"/>
        <v>486.44763161542204</v>
      </c>
      <c r="C11" s="33"/>
      <c r="D11" s="37">
        <f>IF(ISERROR(TER_onderwijs_gas_kWh/1000),0,TER_onderwijs_gas_kWh/1000)*0.902</f>
        <v>2110.2617701738509</v>
      </c>
      <c r="E11" s="33">
        <f>$C$31*'E Balans VL '!I11/100/3.6*1000000</f>
        <v>0.4512441504570075</v>
      </c>
      <c r="F11" s="33">
        <f>$C$31*('E Balans VL '!L11+'E Balans VL '!N11)/100/3.6*1000000</f>
        <v>170.87787279149876</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7579.2466521993802</v>
      </c>
      <c r="C12" s="33"/>
      <c r="D12" s="37">
        <f>IF(ISERROR(TER_rest_gas_kWh/1000),0,TER_rest_gas_kWh/1000)*0.902</f>
        <v>6909.9207903677889</v>
      </c>
      <c r="E12" s="33">
        <f>$C$32*'E Balans VL '!I8/100/3.6*1000000</f>
        <v>91.932493905162247</v>
      </c>
      <c r="F12" s="33">
        <f>$C$32*('E Balans VL '!L8+'E Balans VL '!N8)/100/3.6*1000000</f>
        <v>1499.7915846841647</v>
      </c>
      <c r="G12" s="34"/>
      <c r="H12" s="33"/>
      <c r="I12" s="33"/>
      <c r="J12" s="33">
        <f>$C$32*('E Balans VL '!D8+'E Balans VL '!E8)/100/3.6*1000000</f>
        <v>0</v>
      </c>
      <c r="K12" s="33"/>
      <c r="L12" s="33"/>
      <c r="M12" s="33"/>
      <c r="N12" s="33">
        <f>$C$32*'E Balans VL '!Y8/100/3.6*1000000</f>
        <v>601.64241527670185</v>
      </c>
      <c r="O12" s="33"/>
      <c r="P12" s="33"/>
      <c r="R12" s="32"/>
    </row>
    <row r="13" spans="1:18">
      <c r="A13" s="16" t="s">
        <v>484</v>
      </c>
      <c r="B13" s="245">
        <f ca="1">'lokale energieproductie'!N40+'lokale energieproductie'!N33</f>
        <v>0</v>
      </c>
      <c r="C13" s="245">
        <f ca="1">'lokale energieproductie'!O40+'lokale energieproductie'!O33</f>
        <v>0</v>
      </c>
      <c r="D13" s="305">
        <f ca="1">('lokale energieproductie'!P33+'lokale energieproductie'!P40)*(-1)</f>
        <v>0</v>
      </c>
      <c r="E13" s="246"/>
      <c r="F13" s="305">
        <f ca="1">('lokale energieproductie'!S33+'lokale energieproductie'!S40)*(-1)</f>
        <v>0</v>
      </c>
      <c r="G13" s="247"/>
      <c r="H13" s="246"/>
      <c r="I13" s="246"/>
      <c r="J13" s="246"/>
      <c r="K13" s="246"/>
      <c r="L13" s="305">
        <f ca="1">('lokale energieproductie'!U33+'lokale energieproductie'!T33+'lokale energieproductie'!U40+'lokale energieproductie'!T40)*(-1)</f>
        <v>0</v>
      </c>
      <c r="M13" s="246"/>
      <c r="N13" s="305">
        <f ca="1">('lokale energieproductie'!Q33+'lokale energieproductie'!R33+'lokale energieproductie'!V33+'lokale energieproductie'!Q40+'lokale energieproductie'!R40+'lokale energieproductie'!V40)*(-1)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31924.740920277342</v>
      </c>
      <c r="C16" s="21">
        <f t="shared" ca="1" si="1"/>
        <v>0</v>
      </c>
      <c r="D16" s="21">
        <f t="shared" ca="1" si="1"/>
        <v>33215.62593456899</v>
      </c>
      <c r="E16" s="21">
        <f t="shared" si="1"/>
        <v>380.98910870318656</v>
      </c>
      <c r="F16" s="21">
        <f t="shared" ca="1" si="1"/>
        <v>6255.7364902674581</v>
      </c>
      <c r="G16" s="21">
        <f t="shared" si="1"/>
        <v>0</v>
      </c>
      <c r="H16" s="21">
        <f t="shared" si="1"/>
        <v>0</v>
      </c>
      <c r="I16" s="21">
        <f t="shared" si="1"/>
        <v>0</v>
      </c>
      <c r="J16" s="21">
        <f t="shared" si="1"/>
        <v>0</v>
      </c>
      <c r="K16" s="21">
        <f t="shared" si="1"/>
        <v>0</v>
      </c>
      <c r="L16" s="21">
        <f t="shared" ca="1" si="1"/>
        <v>0</v>
      </c>
      <c r="M16" s="21">
        <f t="shared" si="1"/>
        <v>0</v>
      </c>
      <c r="N16" s="21">
        <f t="shared" ca="1" si="1"/>
        <v>2831.3656910566278</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0.19774795839665887</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6313.0523393271169</v>
      </c>
      <c r="C20" s="23">
        <f t="shared" ref="C20:P20" ca="1" si="2">C16*C18</f>
        <v>0</v>
      </c>
      <c r="D20" s="23">
        <f t="shared" ca="1" si="2"/>
        <v>6709.5564387829363</v>
      </c>
      <c r="E20" s="23">
        <f t="shared" si="2"/>
        <v>86.484527675623355</v>
      </c>
      <c r="F20" s="23">
        <f t="shared" ca="1" si="2"/>
        <v>1670.2816429014115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9684.4203316153598</v>
      </c>
      <c r="C26" s="39">
        <f>IF(ISERROR(B26*3.6/1000000/'E Balans VL '!Z12*100),0,B26*3.6/1000000/'E Balans VL '!Z12*100)</f>
        <v>0.20570188488173605</v>
      </c>
      <c r="D26" s="235" t="s">
        <v>672</v>
      </c>
      <c r="F26" s="6"/>
    </row>
    <row r="27" spans="1:18">
      <c r="A27" s="230" t="s">
        <v>52</v>
      </c>
      <c r="B27" s="33">
        <f>IF(ISERROR(TER_horeca_ele_kWh/1000),0,TER_horeca_ele_kWh/1000)</f>
        <v>2366.05314801749</v>
      </c>
      <c r="C27" s="39">
        <f>IF(ISERROR(B27*3.6/1000000/'E Balans VL '!Z9*100),0,B27*3.6/1000000/'E Balans VL '!Z9*100)</f>
        <v>0.18397504170728324</v>
      </c>
      <c r="D27" s="235" t="s">
        <v>672</v>
      </c>
      <c r="F27" s="6"/>
    </row>
    <row r="28" spans="1:18">
      <c r="A28" s="170" t="s">
        <v>51</v>
      </c>
      <c r="B28" s="33">
        <f>IF(ISERROR(TER_handel_ele_kWh/1000),0,TER_handel_ele_kWh/1000)</f>
        <v>7043.5392044931505</v>
      </c>
      <c r="C28" s="39">
        <f>IF(ISERROR(B28*3.6/1000000/'E Balans VL '!Z13*100),0,B28*3.6/1000000/'E Balans VL '!Z13*100)</f>
        <v>0.20152394605696031</v>
      </c>
      <c r="D28" s="235" t="s">
        <v>672</v>
      </c>
      <c r="F28" s="6"/>
    </row>
    <row r="29" spans="1:18">
      <c r="A29" s="230" t="s">
        <v>50</v>
      </c>
      <c r="B29" s="33">
        <f>IF(ISERROR(TER_gezond_ele_kWh/1000),0,TER_gezond_ele_kWh/1000)</f>
        <v>1624.66437396174</v>
      </c>
      <c r="C29" s="39">
        <f>IF(ISERROR(B29*3.6/1000000/'E Balans VL '!Z10*100),0,B29*3.6/1000000/'E Balans VL '!Z10*100)</f>
        <v>0.17712616943413362</v>
      </c>
      <c r="D29" s="235" t="s">
        <v>672</v>
      </c>
      <c r="F29" s="6"/>
    </row>
    <row r="30" spans="1:18">
      <c r="A30" s="230" t="s">
        <v>49</v>
      </c>
      <c r="B30" s="33">
        <f>IF(ISERROR(TER_ander_ele_kWh/1000),0,TER_ander_ele_kWh/1000)</f>
        <v>3140.3695783747999</v>
      </c>
      <c r="C30" s="39">
        <f>IF(ISERROR(B30*3.6/1000000/'E Balans VL '!Z14*100),0,B30*3.6/1000000/'E Balans VL '!Z14*100)</f>
        <v>0.22980512198595118</v>
      </c>
      <c r="D30" s="235" t="s">
        <v>672</v>
      </c>
      <c r="F30" s="6"/>
    </row>
    <row r="31" spans="1:18">
      <c r="A31" s="230" t="s">
        <v>54</v>
      </c>
      <c r="B31" s="33">
        <f>IF(ISERROR(TER_onderwijs_ele_kWh/1000),0,TER_onderwijs_ele_kWh/1000)</f>
        <v>486.44763161542204</v>
      </c>
      <c r="C31" s="39">
        <f>IF(ISERROR(B31*3.6/1000000/'E Balans VL '!Z11*100),0,B31*3.6/1000000/'E Balans VL '!Z11*100)</f>
        <v>9.7703368036007987E-2</v>
      </c>
      <c r="D31" s="235" t="s">
        <v>672</v>
      </c>
    </row>
    <row r="32" spans="1:18">
      <c r="A32" s="230" t="s">
        <v>249</v>
      </c>
      <c r="B32" s="33">
        <f>IF(ISERROR(TER_rest_ele_kWh/1000),0,TER_rest_ele_kWh/1000)</f>
        <v>7579.2466521993802</v>
      </c>
      <c r="C32" s="39">
        <f>IF(ISERROR(B32*3.6/1000000/'E Balans VL '!Z8*100),0,B32*3.6/1000000/'E Balans VL '!Z8*100)</f>
        <v>6.1766260604334253E-2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3</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112779.34141813169</v>
      </c>
      <c r="C5" s="17">
        <f>IF(ISERROR('Eigen informatie GS &amp; warmtenet'!B59),0,'Eigen informatie GS &amp; warmtenet'!B59)</f>
        <v>0</v>
      </c>
      <c r="D5" s="30">
        <f>SUM(D6:D15)</f>
        <v>157737.12075943421</v>
      </c>
      <c r="E5" s="17">
        <f>SUM(E6:E15)</f>
        <v>6648.7405979873556</v>
      </c>
      <c r="F5" s="17">
        <f>SUM(F6:F15)</f>
        <v>39986.297217973944</v>
      </c>
      <c r="G5" s="18"/>
      <c r="H5" s="17"/>
      <c r="I5" s="17"/>
      <c r="J5" s="17">
        <f>SUM(J6:J15)</f>
        <v>108.41240741293363</v>
      </c>
      <c r="K5" s="17"/>
      <c r="L5" s="17"/>
      <c r="M5" s="17"/>
      <c r="N5" s="17">
        <f>SUM(N6:N15)</f>
        <v>8266.174504949664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1204.45400999916</v>
      </c>
      <c r="C8" s="33"/>
      <c r="D8" s="37">
        <f>IF( ISERROR(IND_metaal_Gas_kWH/1000),0,IND_metaal_Gas_kWH/1000)*0.902</f>
        <v>245.13712512506743</v>
      </c>
      <c r="E8" s="33">
        <f>C30*'E Balans VL '!I18/100/3.6*1000000</f>
        <v>34.596440132903858</v>
      </c>
      <c r="F8" s="33">
        <f>C30*'E Balans VL '!L18/100/3.6*1000000+C30*'E Balans VL '!N18/100/3.6*1000000</f>
        <v>308.91928858510329</v>
      </c>
      <c r="G8" s="34"/>
      <c r="H8" s="33"/>
      <c r="I8" s="33"/>
      <c r="J8" s="40">
        <f>C30*'E Balans VL '!D18/100/3.6*1000000+C30*'E Balans VL '!E18/100/3.6*1000000</f>
        <v>0</v>
      </c>
      <c r="K8" s="33"/>
      <c r="L8" s="33"/>
      <c r="M8" s="33"/>
      <c r="N8" s="33">
        <f>C30*'E Balans VL '!Y18/100/3.6*1000000</f>
        <v>32.70338501044597</v>
      </c>
      <c r="O8" s="33"/>
      <c r="P8" s="33"/>
      <c r="R8" s="32"/>
    </row>
    <row r="9" spans="1:18">
      <c r="A9" s="6" t="s">
        <v>32</v>
      </c>
      <c r="B9" s="37">
        <f t="shared" si="0"/>
        <v>10551.6640140333</v>
      </c>
      <c r="C9" s="33"/>
      <c r="D9" s="37">
        <f>IF( ISERROR(IND_andere_gas_kWh/1000),0,IND_andere_gas_kWh/1000)*0.902</f>
        <v>1671.938019032661</v>
      </c>
      <c r="E9" s="33">
        <f>C31*'E Balans VL '!I19/100/3.6*1000000</f>
        <v>2856.0760144089313</v>
      </c>
      <c r="F9" s="33">
        <f>C31*'E Balans VL '!L19/100/3.6*1000000+C31*'E Balans VL '!N19/100/3.6*1000000</f>
        <v>7028.5248326455703</v>
      </c>
      <c r="G9" s="34"/>
      <c r="H9" s="33"/>
      <c r="I9" s="33"/>
      <c r="J9" s="40">
        <f>C31*'E Balans VL '!D19/100/3.6*1000000+C31*'E Balans VL '!E19/100/3.6*1000000</f>
        <v>0</v>
      </c>
      <c r="K9" s="33"/>
      <c r="L9" s="33"/>
      <c r="M9" s="33"/>
      <c r="N9" s="33">
        <f>C31*'E Balans VL '!Y19/100/3.6*1000000</f>
        <v>892.07329559420134</v>
      </c>
      <c r="O9" s="33"/>
      <c r="P9" s="33"/>
      <c r="R9" s="32"/>
    </row>
    <row r="10" spans="1:18">
      <c r="A10" s="6" t="s">
        <v>40</v>
      </c>
      <c r="B10" s="37">
        <f t="shared" si="0"/>
        <v>14682.511723931599</v>
      </c>
      <c r="C10" s="33"/>
      <c r="D10" s="37">
        <f>IF( ISERROR(IND_voed_gas_kWh/1000),0,IND_voed_gas_kWh/1000)*0.902</f>
        <v>26834.294116014178</v>
      </c>
      <c r="E10" s="33">
        <f>C32*'E Balans VL '!I20/100/3.6*1000000</f>
        <v>1197.5393883967897</v>
      </c>
      <c r="F10" s="33">
        <f>C32*'E Balans VL '!L20/100/3.6*1000000+C32*'E Balans VL '!N20/100/3.6*1000000</f>
        <v>21892.957094567169</v>
      </c>
      <c r="G10" s="34"/>
      <c r="H10" s="33"/>
      <c r="I10" s="33"/>
      <c r="J10" s="40">
        <f>C32*'E Balans VL '!D20/100/3.6*1000000+C32*'E Balans VL '!E20/100/3.6*1000000</f>
        <v>0.1942318079292383</v>
      </c>
      <c r="K10" s="33"/>
      <c r="L10" s="33"/>
      <c r="M10" s="33"/>
      <c r="N10" s="33">
        <f>C32*'E Balans VL '!Y20/100/3.6*1000000</f>
        <v>4313.203854516898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33.137233693615002</v>
      </c>
      <c r="C12" s="33"/>
      <c r="D12" s="37">
        <f>IF( ISERROR(IND_min_gas_kWh/1000),0,IND_min_gas_kWh/1000)*0.902</f>
        <v>114.8861755910449</v>
      </c>
      <c r="E12" s="33">
        <f>C34*'E Balans VL '!I22/100/3.6*1000000</f>
        <v>0.25813183017737484</v>
      </c>
      <c r="F12" s="33">
        <f>C34*'E Balans VL '!L22/100/3.6*1000000+C34*'E Balans VL '!N22/100/3.6*1000000</f>
        <v>12.497328204026555</v>
      </c>
      <c r="G12" s="34"/>
      <c r="H12" s="33"/>
      <c r="I12" s="33"/>
      <c r="J12" s="40">
        <f>C34*'E Balans VL '!D22/100/3.6*1000000+C34*'E Balans VL '!E22/100/3.6*1000000</f>
        <v>0.18225188802953357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44156.472995513905</v>
      </c>
      <c r="C14" s="33"/>
      <c r="D14" s="37">
        <f>IF( ISERROR(IND_chemie_gas_kWh/1000),0,IND_chemie_gas_kWh/1000)*0.902</f>
        <v>100479.0809873828</v>
      </c>
      <c r="E14" s="33">
        <f>C36*'E Balans VL '!I24/100/3.6*1000000</f>
        <v>208.73801712443554</v>
      </c>
      <c r="F14" s="33">
        <f>C36*'E Balans VL '!L24/100/3.6*1000000+C36*'E Balans VL '!N24/100/3.6*1000000</f>
        <v>834.53363814021191</v>
      </c>
      <c r="G14" s="34"/>
      <c r="H14" s="33"/>
      <c r="I14" s="33"/>
      <c r="J14" s="40">
        <f>C36*'E Balans VL '!D24/100/3.6*1000000+C36*'E Balans VL '!E24/100/3.6*1000000</f>
        <v>0</v>
      </c>
      <c r="K14" s="33"/>
      <c r="L14" s="33"/>
      <c r="M14" s="33"/>
      <c r="N14" s="33">
        <f>C36*'E Balans VL '!Y24/100/3.6*1000000</f>
        <v>1071.9697816072</v>
      </c>
      <c r="O14" s="33"/>
      <c r="P14" s="33"/>
      <c r="R14" s="32"/>
    </row>
    <row r="15" spans="1:18">
      <c r="A15" s="6" t="s">
        <v>259</v>
      </c>
      <c r="B15" s="37">
        <f t="shared" si="0"/>
        <v>42151.101440960105</v>
      </c>
      <c r="C15" s="33"/>
      <c r="D15" s="37">
        <f>IF( ISERROR(IND_rest_gas_kWh/1000),0,IND_rest_gas_kWh/1000)*0.902</f>
        <v>28391.784336288471</v>
      </c>
      <c r="E15" s="33">
        <f>C37*'E Balans VL '!I15/100/3.6*1000000</f>
        <v>2351.5326060941179</v>
      </c>
      <c r="F15" s="33">
        <f>C37*'E Balans VL '!L15/100/3.6*1000000+C37*'E Balans VL '!N15/100/3.6*1000000</f>
        <v>9908.8650358318646</v>
      </c>
      <c r="G15" s="34"/>
      <c r="H15" s="33"/>
      <c r="I15" s="33"/>
      <c r="J15" s="40">
        <f>C37*'E Balans VL '!D15/100/3.6*1000000+C37*'E Balans VL '!E15/100/3.6*1000000</f>
        <v>108.03592371697486</v>
      </c>
      <c r="K15" s="33"/>
      <c r="L15" s="33"/>
      <c r="M15" s="33"/>
      <c r="N15" s="33">
        <f>C37*'E Balans VL '!Y15/100/3.6*1000000</f>
        <v>1956.2241882209187</v>
      </c>
      <c r="O15" s="33"/>
      <c r="P15" s="33"/>
      <c r="R15" s="32"/>
    </row>
    <row r="16" spans="1:18">
      <c r="A16" s="16" t="s">
        <v>484</v>
      </c>
      <c r="B16" s="245">
        <f>'lokale energieproductie'!N39+'lokale energieproductie'!N32</f>
        <v>14619.749999999998</v>
      </c>
      <c r="C16" s="245">
        <f>'lokale energieproductie'!O39+'lokale energieproductie'!O32</f>
        <v>20885.357142857141</v>
      </c>
      <c r="D16" s="305">
        <f>('lokale energieproductie'!P32+'lokale energieproductie'!P39)*(-1)</f>
        <v>-41770.714285714283</v>
      </c>
      <c r="E16" s="246"/>
      <c r="F16" s="305">
        <f>('lokale energieproductie'!S32+'lokale energieproductie'!S39)*(-1)</f>
        <v>0</v>
      </c>
      <c r="G16" s="247"/>
      <c r="H16" s="246"/>
      <c r="I16" s="246"/>
      <c r="J16" s="246"/>
      <c r="K16" s="246"/>
      <c r="L16" s="305">
        <f>('lokale energieproductie'!T32+'lokale energieproductie'!U32+'lokale energieproductie'!T39+'lokale energieproductie'!U39)*(-1)</f>
        <v>0</v>
      </c>
      <c r="M16" s="246"/>
      <c r="N16" s="305">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127399.09141813169</v>
      </c>
      <c r="C18" s="21">
        <f>C5+C16</f>
        <v>20885.357142857141</v>
      </c>
      <c r="D18" s="21">
        <f>MAX((D5+D16),0)</f>
        <v>115966.40647371992</v>
      </c>
      <c r="E18" s="21">
        <f>MAX((E5+E16),0)</f>
        <v>6648.7405979873556</v>
      </c>
      <c r="F18" s="21">
        <f>MAX((F5+F16),0)</f>
        <v>39986.297217973944</v>
      </c>
      <c r="G18" s="21"/>
      <c r="H18" s="21"/>
      <c r="I18" s="21"/>
      <c r="J18" s="21">
        <f>MAX((J5+J16),0)</f>
        <v>108.41240741293363</v>
      </c>
      <c r="K18" s="21"/>
      <c r="L18" s="21">
        <f>MAX((L5+L16),0)</f>
        <v>0</v>
      </c>
      <c r="M18" s="21"/>
      <c r="N18" s="21">
        <f>MAX((N5+N16),0)</f>
        <v>8266.174504949664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0.19774795839665887</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25192.910229524845</v>
      </c>
      <c r="C22" s="23">
        <f ca="1">C18*C20</f>
        <v>4963.3436974789911</v>
      </c>
      <c r="D22" s="23">
        <f>D18*D20</f>
        <v>23425.214107691427</v>
      </c>
      <c r="E22" s="23">
        <f>E18*E20</f>
        <v>1509.2641157431299</v>
      </c>
      <c r="F22" s="23">
        <f>F18*F20</f>
        <v>10676.341357199044</v>
      </c>
      <c r="G22" s="23"/>
      <c r="H22" s="23"/>
      <c r="I22" s="23"/>
      <c r="J22" s="23">
        <f>J18*J20</f>
        <v>38.377992224178506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1204.45400999916</v>
      </c>
      <c r="C30" s="39">
        <f>IF(ISERROR(B30*3.6/1000000/'E Balans VL '!Z18*100),0,B30*3.6/1000000/'E Balans VL '!Z18*100)</f>
        <v>0.11851519994035639</v>
      </c>
      <c r="D30" s="235" t="s">
        <v>672</v>
      </c>
    </row>
    <row r="31" spans="1:18">
      <c r="A31" s="6" t="s">
        <v>32</v>
      </c>
      <c r="B31" s="37">
        <f>IF( ISERROR(IND_ander_ele_kWh/1000),0,IND_ander_ele_kWh/1000)</f>
        <v>10551.6640140333</v>
      </c>
      <c r="C31" s="39">
        <f>IF(ISERROR(B31*3.6/1000000/'E Balans VL '!Z19*100),0,B31*3.6/1000000/'E Balans VL '!Z19*100)</f>
        <v>0.45951655083167897</v>
      </c>
      <c r="D31" s="235" t="s">
        <v>672</v>
      </c>
    </row>
    <row r="32" spans="1:18">
      <c r="A32" s="170" t="s">
        <v>40</v>
      </c>
      <c r="B32" s="37">
        <f>IF( ISERROR(IND_voed_ele_kWh/1000),0,IND_voed_ele_kWh/1000)</f>
        <v>14682.511723931599</v>
      </c>
      <c r="C32" s="39">
        <f>IF(ISERROR(B32*3.6/1000000/'E Balans VL '!Z20*100),0,B32*3.6/1000000/'E Balans VL '!Z20*100)</f>
        <v>2.7857948547618738</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33.137233693615002</v>
      </c>
      <c r="C34" s="39">
        <f>IF(ISERROR(B34*3.6/1000000/'E Balans VL '!Z22*100),0,B34*3.6/1000000/'E Balans VL '!Z22*100)</f>
        <v>4.6594278110512095E-3</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44156.472995513905</v>
      </c>
      <c r="C36" s="39">
        <f>IF(ISERROR(B36*3.6/1000000/'E Balans VL '!Z24*100),0,B36*3.6/1000000/'E Balans VL '!Z24*100)</f>
        <v>1.2868501029250408</v>
      </c>
      <c r="D36" s="235" t="s">
        <v>672</v>
      </c>
    </row>
    <row r="37" spans="1:5">
      <c r="A37" s="170" t="s">
        <v>259</v>
      </c>
      <c r="B37" s="37">
        <f>IF( ISERROR(IND_rest_ele_kWh/1000),0,IND_rest_ele_kWh/1000)</f>
        <v>42151.101440960105</v>
      </c>
      <c r="C37" s="39">
        <f>IF(ISERROR(B37*3.6/1000000/'E Balans VL '!Z15*100),0,B37*3.6/1000000/'E Balans VL '!Z15*100)</f>
        <v>0.32482600882690044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862.64568334326896</v>
      </c>
      <c r="C5" s="17">
        <f>'Eigen informatie GS &amp; warmtenet'!B60</f>
        <v>0</v>
      </c>
      <c r="D5" s="30">
        <f>IF(ISERROR(SUM(LB_lb_gas_kWh,LB_rest_gas_kWh)/1000),0,SUM(LB_lb_gas_kWh,LB_rest_gas_kWh)/1000)*0.902</f>
        <v>677.21355698737398</v>
      </c>
      <c r="E5" s="17">
        <f>B17*'E Balans VL '!I25/3.6*1000000/100</f>
        <v>10.870446923718255</v>
      </c>
      <c r="F5" s="17">
        <f>B17*('E Balans VL '!L25/3.6*1000000+'E Balans VL '!N25/3.6*1000000)/100</f>
        <v>2976.3437131907981</v>
      </c>
      <c r="G5" s="18"/>
      <c r="H5" s="17"/>
      <c r="I5" s="17"/>
      <c r="J5" s="17">
        <f>('E Balans VL '!D25+'E Balans VL '!E25)/3.6*1000000*landbouw!B17/100</f>
        <v>129.73210456479276</v>
      </c>
      <c r="K5" s="17"/>
      <c r="L5" s="17">
        <f>L6*(-1)</f>
        <v>0</v>
      </c>
      <c r="M5" s="17"/>
      <c r="N5" s="17">
        <f>N6*(-1)</f>
        <v>0</v>
      </c>
      <c r="O5" s="17"/>
      <c r="P5" s="17"/>
      <c r="R5" s="32"/>
    </row>
    <row r="6" spans="1:18">
      <c r="A6" s="16" t="s">
        <v>484</v>
      </c>
      <c r="B6" s="17" t="s">
        <v>204</v>
      </c>
      <c r="C6" s="17">
        <f>'lokale energieproductie'!O41+'lokale energieproductie'!O34</f>
        <v>0</v>
      </c>
      <c r="D6" s="305">
        <f>('lokale energieproductie'!P34+'lokale energieproductie'!P41)*(-1)</f>
        <v>0</v>
      </c>
      <c r="E6" s="246"/>
      <c r="F6" s="305">
        <f>('lokale energieproductie'!S34+'lokale energieproductie'!S41)*(-1)</f>
        <v>0</v>
      </c>
      <c r="G6" s="247"/>
      <c r="H6" s="246"/>
      <c r="I6" s="246"/>
      <c r="J6" s="246"/>
      <c r="K6" s="246"/>
      <c r="L6" s="305">
        <f>('lokale energieproductie'!T34+'lokale energieproductie'!U34+'lokale energieproductie'!T41+'lokale energieproductie'!U41)*(-1)</f>
        <v>0</v>
      </c>
      <c r="M6" s="246"/>
      <c r="N6" s="1016">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862.64568334326896</v>
      </c>
      <c r="C8" s="21">
        <f>C5+C6</f>
        <v>0</v>
      </c>
      <c r="D8" s="21">
        <f>MAX((D5+D6),0)</f>
        <v>677.21355698737398</v>
      </c>
      <c r="E8" s="21">
        <f>MAX((E5+E6),0)</f>
        <v>10.870446923718255</v>
      </c>
      <c r="F8" s="21">
        <f>MAX((F5+F6),0)</f>
        <v>2976.3437131907981</v>
      </c>
      <c r="G8" s="21"/>
      <c r="H8" s="21"/>
      <c r="I8" s="21"/>
      <c r="J8" s="21">
        <f>MAX((J5+J6),0)</f>
        <v>129.73210456479276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0.19774795839665887</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170.58642270082211</v>
      </c>
      <c r="C12" s="23">
        <f ca="1">C8*C10</f>
        <v>0</v>
      </c>
      <c r="D12" s="23">
        <f>D8*D10</f>
        <v>136.79713851144956</v>
      </c>
      <c r="E12" s="23">
        <f>E8*E10</f>
        <v>2.467591451684044</v>
      </c>
      <c r="F12" s="23">
        <f>F8*F10</f>
        <v>794.68377142194311</v>
      </c>
      <c r="G12" s="23"/>
      <c r="H12" s="23"/>
      <c r="I12" s="23"/>
      <c r="J12" s="23">
        <f>J8*J10</f>
        <v>45.925165015936635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0.12031188381266869</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82.783045060262737</v>
      </c>
      <c r="C26" s="245">
        <f>B26*'GWP N2O_CH4'!B5</f>
        <v>1738.4439462655175</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20.120771243258769</v>
      </c>
      <c r="C27" s="245">
        <f>B27*'GWP N2O_CH4'!B5</f>
        <v>422.53619610843413</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1.6767613877389074</v>
      </c>
      <c r="C28" s="245">
        <f>B28*'GWP N2O_CH4'!B4</f>
        <v>519.79603019906131</v>
      </c>
      <c r="D28" s="50"/>
    </row>
    <row r="29" spans="1:4">
      <c r="A29" s="41" t="s">
        <v>266</v>
      </c>
      <c r="B29" s="245">
        <f>B34*'ha_N2O bodem landbouw'!B4</f>
        <v>6.8382045307189046</v>
      </c>
      <c r="C29" s="245">
        <f>B29*'GWP N2O_CH4'!B4</f>
        <v>2119.8434045228605</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1.7074313420737557E-3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1.0877396291121013E-4</v>
      </c>
      <c r="C5" s="434" t="s">
        <v>204</v>
      </c>
      <c r="D5" s="419">
        <f>SUM(D6:D11)</f>
        <v>1.0220652364977844E-4</v>
      </c>
      <c r="E5" s="419">
        <f>SUM(E6:E11)</f>
        <v>3.7630400300619621E-3</v>
      </c>
      <c r="F5" s="432" t="s">
        <v>204</v>
      </c>
      <c r="G5" s="419">
        <f>SUM(G6:G11)</f>
        <v>1.2962917242879712</v>
      </c>
      <c r="H5" s="419">
        <f>SUM(H6:H11)</f>
        <v>0.17637886227001789</v>
      </c>
      <c r="I5" s="434" t="s">
        <v>204</v>
      </c>
      <c r="J5" s="434" t="s">
        <v>204</v>
      </c>
      <c r="K5" s="434" t="s">
        <v>204</v>
      </c>
      <c r="L5" s="434" t="s">
        <v>204</v>
      </c>
      <c r="M5" s="419">
        <f>SUM(M6:M11)</f>
        <v>6.6568914257159217E-2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6.7349375316044487E-5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6.0000301136675818E-5</v>
      </c>
      <c r="E6" s="873">
        <f>vkm_GW_PW*SUMIFS(TableVerdeelsleutelVkm[LPG],TableVerdeelsleutelVkm[Voertuigtype],"Lichte voertuigen")*SUMIFS(TableECFTransport[EnergieConsumptieFactor (PJ per km)],TableECFTransport[Index],CONCATENATE($A6,"_LPG_LPG"))</f>
        <v>2.1595508319024229E-3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0.42328362102436584</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0.10377152626953451</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2.3842164770460847E-2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2.4643903163257148E-6</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0.38564255232459299</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8.7906185130960636E-6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1.7412355446997218E-2</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1.8759090220040061E-5</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2.6350286841578383E-5</v>
      </c>
      <c r="E8" s="422">
        <f>vkm_NGW_PW*SUMIFS(TableVerdeelsleutelVkm[LPG],TableVerdeelsleutelVkm[Voertuigtype],"Lichte voertuigen")*SUMIFS(TableECFTransport[EnergieConsumptieFactor (PJ per km)],TableECFTransport[Index],CONCATENATE($A8,"_LPG_LPG"))</f>
        <v>9.0260816849148081E-4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0.16618679490085472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4.3748463150278583E-2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9.4978054853666269E-3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5.7648056526144871E-7</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0.11587778261623081</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2.4820530328749433E-6</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5.2320531686807711E-3</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1.9101657757131323E-5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1.5855935671524225E-5</v>
      </c>
      <c r="E10" s="422">
        <f>vkm_SW_PW*SUMIFS(TableVerdeelsleutelVkm[LPG],TableVerdeelsleutelVkm[Voertuigtype],"Lichte voertuigen")*SUMIFS(TableECFTransport[EnergieConsumptieFactor (PJ per km)],TableECFTransport[Index],CONCATENATE($A10,"_LPG_LPG"))</f>
        <v>7.0088102966805825E-4</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0.1273271773416309</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2.8845680112884738E-2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7.0638918441100346E-3</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5.2296873640710542E-7</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7.7973796080296004E-2</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1.9200657740591875E-6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3.5206435415437169E-3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30.214989697558369</v>
      </c>
      <c r="C14" s="21"/>
      <c r="D14" s="21">
        <f t="shared" ref="D14:M14" si="0">((D5)*10^9/3600)+D12</f>
        <v>28.390701013827343</v>
      </c>
      <c r="E14" s="21">
        <f t="shared" si="0"/>
        <v>1045.2888972394339</v>
      </c>
      <c r="F14" s="21"/>
      <c r="G14" s="21">
        <f t="shared" si="0"/>
        <v>360081.03452443646</v>
      </c>
      <c r="H14" s="21">
        <f t="shared" si="0"/>
        <v>48994.1284083383</v>
      </c>
      <c r="I14" s="21"/>
      <c r="J14" s="21"/>
      <c r="K14" s="21"/>
      <c r="L14" s="21"/>
      <c r="M14" s="21">
        <f t="shared" si="0"/>
        <v>18491.365071433116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0.19774795839665887</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5.9749525256682485</v>
      </c>
      <c r="C18" s="23"/>
      <c r="D18" s="23">
        <f t="shared" ref="D18:M18" si="1">D14*D16</f>
        <v>5.734921604793124</v>
      </c>
      <c r="E18" s="23">
        <f t="shared" si="1"/>
        <v>237.28057967335153</v>
      </c>
      <c r="F18" s="23"/>
      <c r="G18" s="23">
        <f t="shared" si="1"/>
        <v>96141.636218024534</v>
      </c>
      <c r="H18" s="23">
        <f t="shared" si="1"/>
        <v>12199.537973676237</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3.0001795550746902E-5</v>
      </c>
      <c r="C50" s="316">
        <f t="shared" ref="C50:P50" si="2">SUM(C51:C52)</f>
        <v>0</v>
      </c>
      <c r="D50" s="316">
        <f t="shared" si="2"/>
        <v>0</v>
      </c>
      <c r="E50" s="316">
        <f t="shared" si="2"/>
        <v>0</v>
      </c>
      <c r="F50" s="316">
        <f t="shared" si="2"/>
        <v>0</v>
      </c>
      <c r="G50" s="316">
        <f t="shared" si="2"/>
        <v>5.8396796006107022E-3</v>
      </c>
      <c r="H50" s="316">
        <f t="shared" si="2"/>
        <v>0</v>
      </c>
      <c r="I50" s="316">
        <f t="shared" si="2"/>
        <v>0</v>
      </c>
      <c r="J50" s="316">
        <f t="shared" si="2"/>
        <v>0</v>
      </c>
      <c r="K50" s="316">
        <f t="shared" si="2"/>
        <v>0</v>
      </c>
      <c r="L50" s="316">
        <f t="shared" si="2"/>
        <v>0</v>
      </c>
      <c r="M50" s="316">
        <f t="shared" si="2"/>
        <v>2.6185614008207494E-4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3.0001795550746902E-5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5.8396796006107022E-3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2.6185614008207494E-4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8.3338320974296956</v>
      </c>
      <c r="C54" s="21">
        <f t="shared" ref="C54:P54" si="3">(C50)*10^9/3600</f>
        <v>0</v>
      </c>
      <c r="D54" s="21">
        <f t="shared" si="3"/>
        <v>0</v>
      </c>
      <c r="E54" s="21">
        <f t="shared" si="3"/>
        <v>0</v>
      </c>
      <c r="F54" s="21">
        <f t="shared" si="3"/>
        <v>0</v>
      </c>
      <c r="G54" s="21">
        <f t="shared" si="3"/>
        <v>1622.1332223918616</v>
      </c>
      <c r="H54" s="21">
        <f t="shared" si="3"/>
        <v>0</v>
      </c>
      <c r="I54" s="21">
        <f t="shared" si="3"/>
        <v>0</v>
      </c>
      <c r="J54" s="21">
        <f t="shared" si="3"/>
        <v>0</v>
      </c>
      <c r="K54" s="21">
        <f t="shared" si="3"/>
        <v>0</v>
      </c>
      <c r="L54" s="21">
        <f t="shared" si="3"/>
        <v>0</v>
      </c>
      <c r="M54" s="21">
        <f t="shared" si="3"/>
        <v>72.737816689465262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0.19774795839665887</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1.6479982828872679</v>
      </c>
      <c r="C58" s="23">
        <f t="shared" ref="C58:P58" ca="1" si="4">C54*C56</f>
        <v>0</v>
      </c>
      <c r="D58" s="23">
        <f t="shared" si="4"/>
        <v>0</v>
      </c>
      <c r="E58" s="23">
        <f t="shared" si="4"/>
        <v>0</v>
      </c>
      <c r="F58" s="23">
        <f t="shared" si="4"/>
        <v>0</v>
      </c>
      <c r="G58" s="23">
        <f t="shared" si="4"/>
        <v>433.1095703786271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12697.066409999999</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8662.8484049328654</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N31</f>
        <v>14619.749999999998</v>
      </c>
      <c r="C8" s="546">
        <f>B50</f>
        <v>17199.705882352941</v>
      </c>
      <c r="D8" s="1001"/>
      <c r="E8" s="1001">
        <f>E50</f>
        <v>0</v>
      </c>
      <c r="F8" s="1002"/>
      <c r="G8" s="547"/>
      <c r="H8" s="1001">
        <f>I50</f>
        <v>0</v>
      </c>
      <c r="I8" s="1001">
        <f>G50+F50</f>
        <v>0</v>
      </c>
      <c r="J8" s="1001">
        <f>H50+D50+C50</f>
        <v>0</v>
      </c>
      <c r="K8" s="1001"/>
      <c r="L8" s="1001"/>
      <c r="M8" s="1001"/>
      <c r="N8" s="548"/>
      <c r="O8" s="549">
        <f>C8*$C$12+D8*$D$12+E8*$E$12+F8*$F$12+G8*$G$12+H8*$H$12+I8*$I$12+J8*$J$12</f>
        <v>3474.340588235294</v>
      </c>
      <c r="P8" s="1244"/>
      <c r="Q8" s="1245"/>
      <c r="S8" s="1013"/>
      <c r="T8" s="1265"/>
      <c r="U8" s="1265"/>
    </row>
    <row r="9" spans="1:21" s="534" customFormat="1" ht="17.45" customHeight="1" thickBot="1">
      <c r="A9" s="550" t="s">
        <v>237</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35979.664814932861</v>
      </c>
      <c r="C10" s="559">
        <f t="shared" ref="C10:L10" si="0">SUM(C8:C9)</f>
        <v>17199.705882352941</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3474.340588235294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O31</f>
        <v>20885.357142857141</v>
      </c>
      <c r="C17" s="571">
        <f>B51</f>
        <v>24571.008403361342</v>
      </c>
      <c r="D17" s="572"/>
      <c r="E17" s="572">
        <f>E51</f>
        <v>0</v>
      </c>
      <c r="F17" s="1007"/>
      <c r="G17" s="573"/>
      <c r="H17" s="571">
        <f>I51</f>
        <v>0</v>
      </c>
      <c r="I17" s="572">
        <f>G51+F51</f>
        <v>0</v>
      </c>
      <c r="J17" s="572">
        <f>H51+D51+C51</f>
        <v>0</v>
      </c>
      <c r="K17" s="572"/>
      <c r="L17" s="572"/>
      <c r="M17" s="572"/>
      <c r="N17" s="1008"/>
      <c r="O17" s="574">
        <f>C17*$C$22+E17*$E$22+H17*$H$22+I17*$I$22+J17*$J$22+D17*$D$22+F17*$F$22+G17*$G$22+K17*$K$22+L17*$L$22</f>
        <v>4963.3436974789911</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20885.357142857141</v>
      </c>
      <c r="C20" s="558">
        <f>SUM(C17:C19)</f>
        <v>24571.008403361342</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4963.3436974789911</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12030</v>
      </c>
      <c r="C28" s="777">
        <v>2870</v>
      </c>
      <c r="D28" s="630"/>
      <c r="E28" s="629"/>
      <c r="F28" s="629"/>
      <c r="G28" s="629" t="s">
        <v>926</v>
      </c>
      <c r="H28" s="629" t="s">
        <v>927</v>
      </c>
      <c r="I28" s="629"/>
      <c r="J28" s="776"/>
      <c r="K28" s="776"/>
      <c r="L28" s="629" t="s">
        <v>928</v>
      </c>
      <c r="M28" s="629">
        <v>2014</v>
      </c>
      <c r="N28" s="629">
        <v>9062.9999999999982</v>
      </c>
      <c r="O28" s="629">
        <v>12947.142857142855</v>
      </c>
      <c r="P28" s="629">
        <v>25894.28571428571</v>
      </c>
      <c r="Q28" s="629">
        <v>0</v>
      </c>
      <c r="R28" s="629">
        <v>0</v>
      </c>
      <c r="S28" s="629">
        <v>0</v>
      </c>
      <c r="T28" s="629">
        <v>0</v>
      </c>
      <c r="U28" s="629">
        <v>0</v>
      </c>
      <c r="V28" s="629">
        <v>0</v>
      </c>
      <c r="W28" s="629">
        <v>0</v>
      </c>
      <c r="X28" s="629">
        <v>300</v>
      </c>
      <c r="Y28" s="629" t="s">
        <v>33</v>
      </c>
      <c r="Z28" s="631" t="s">
        <v>377</v>
      </c>
    </row>
    <row r="29" spans="1:26" s="583" customFormat="1" ht="25.5" hidden="1">
      <c r="A29" s="582"/>
      <c r="B29" s="777">
        <v>12030</v>
      </c>
      <c r="C29" s="777">
        <v>2870</v>
      </c>
      <c r="D29" s="630"/>
      <c r="E29" s="629"/>
      <c r="F29" s="629"/>
      <c r="G29" s="629" t="s">
        <v>926</v>
      </c>
      <c r="H29" s="629" t="s">
        <v>927</v>
      </c>
      <c r="I29" s="629"/>
      <c r="J29" s="776"/>
      <c r="K29" s="776"/>
      <c r="L29" s="629" t="s">
        <v>928</v>
      </c>
      <c r="M29" s="629">
        <v>1189</v>
      </c>
      <c r="N29" s="629">
        <v>5350.5</v>
      </c>
      <c r="O29" s="629">
        <v>7643.5714285714284</v>
      </c>
      <c r="P29" s="629">
        <v>15287.142857142859</v>
      </c>
      <c r="Q29" s="629">
        <v>0</v>
      </c>
      <c r="R29" s="629">
        <v>0</v>
      </c>
      <c r="S29" s="629">
        <v>0</v>
      </c>
      <c r="T29" s="629">
        <v>0</v>
      </c>
      <c r="U29" s="629">
        <v>0</v>
      </c>
      <c r="V29" s="629">
        <v>0</v>
      </c>
      <c r="W29" s="629">
        <v>0</v>
      </c>
      <c r="X29" s="629">
        <v>300</v>
      </c>
      <c r="Y29" s="629" t="s">
        <v>929</v>
      </c>
      <c r="Z29" s="631" t="s">
        <v>377</v>
      </c>
    </row>
    <row r="30" spans="1:26" s="583" customFormat="1" ht="25.5" hidden="1">
      <c r="A30" s="582"/>
      <c r="B30" s="777">
        <v>12030</v>
      </c>
      <c r="C30" s="777">
        <v>2870</v>
      </c>
      <c r="D30" s="630"/>
      <c r="E30" s="629"/>
      <c r="F30" s="629"/>
      <c r="G30" s="629" t="s">
        <v>930</v>
      </c>
      <c r="H30" s="629" t="s">
        <v>927</v>
      </c>
      <c r="I30" s="629"/>
      <c r="J30" s="776"/>
      <c r="K30" s="776"/>
      <c r="L30" s="629" t="s">
        <v>928</v>
      </c>
      <c r="M30" s="629">
        <v>55</v>
      </c>
      <c r="N30" s="629">
        <v>206.25</v>
      </c>
      <c r="O30" s="629">
        <v>294.64285714285717</v>
      </c>
      <c r="P30" s="629">
        <v>589.28571428571433</v>
      </c>
      <c r="Q30" s="629">
        <v>0</v>
      </c>
      <c r="R30" s="629">
        <v>0</v>
      </c>
      <c r="S30" s="629">
        <v>0</v>
      </c>
      <c r="T30" s="629">
        <v>0</v>
      </c>
      <c r="U30" s="629">
        <v>0</v>
      </c>
      <c r="V30" s="629">
        <v>0</v>
      </c>
      <c r="W30" s="629">
        <v>0</v>
      </c>
      <c r="X30" s="629">
        <v>500</v>
      </c>
      <c r="Y30" s="629" t="s">
        <v>40</v>
      </c>
      <c r="Z30" s="631" t="s">
        <v>377</v>
      </c>
    </row>
    <row r="31" spans="1:26" s="566" customFormat="1" hidden="1">
      <c r="A31" s="585" t="s">
        <v>269</v>
      </c>
      <c r="B31" s="586"/>
      <c r="C31" s="586"/>
      <c r="D31" s="586"/>
      <c r="E31" s="586"/>
      <c r="F31" s="586"/>
      <c r="G31" s="586"/>
      <c r="H31" s="586"/>
      <c r="I31" s="586"/>
      <c r="J31" s="586"/>
      <c r="K31" s="586"/>
      <c r="L31" s="587"/>
      <c r="M31" s="587">
        <f>SUM(M28:M30)</f>
        <v>3258</v>
      </c>
      <c r="N31" s="587">
        <f>SUM(N28:N30)</f>
        <v>14619.749999999998</v>
      </c>
      <c r="O31" s="587">
        <f>SUM(O28:O30)</f>
        <v>20885.357142857141</v>
      </c>
      <c r="P31" s="587">
        <f>SUM(P28:P30)</f>
        <v>41770.714285714283</v>
      </c>
      <c r="Q31" s="587">
        <f>SUM(Q28:Q30)</f>
        <v>0</v>
      </c>
      <c r="R31" s="587">
        <f>SUM(R28:R30)</f>
        <v>0</v>
      </c>
      <c r="S31" s="587">
        <f>SUM(S28:S30)</f>
        <v>0</v>
      </c>
      <c r="T31" s="587">
        <f>SUM(T28:T30)</f>
        <v>0</v>
      </c>
      <c r="U31" s="587">
        <f>SUM(U28:U30)</f>
        <v>0</v>
      </c>
      <c r="V31" s="587">
        <f>SUM(V28:V30)</f>
        <v>0</v>
      </c>
      <c r="W31" s="587">
        <f>SUM(W28:W30)</f>
        <v>0</v>
      </c>
      <c r="X31" s="588"/>
      <c r="Y31" s="588"/>
      <c r="Z31" s="589"/>
    </row>
    <row r="32" spans="1:26" s="566" customFormat="1">
      <c r="A32" s="585" t="s">
        <v>276</v>
      </c>
      <c r="B32" s="586"/>
      <c r="C32" s="586"/>
      <c r="D32" s="586"/>
      <c r="E32" s="586"/>
      <c r="F32" s="586"/>
      <c r="G32" s="586"/>
      <c r="H32" s="586"/>
      <c r="I32" s="586"/>
      <c r="J32" s="586"/>
      <c r="K32" s="586"/>
      <c r="L32" s="587"/>
      <c r="M32" s="587">
        <f>SUMIF($Z$28:$Z$30,"industrie",M28:M30)</f>
        <v>3258</v>
      </c>
      <c r="N32" s="587">
        <f>SUMIF($Z$28:$Z$30,"industrie",N28:N30)</f>
        <v>14619.749999999998</v>
      </c>
      <c r="O32" s="587">
        <f>SUMIF($Z$28:$Z$30,"industrie",O28:O30)</f>
        <v>20885.357142857141</v>
      </c>
      <c r="P32" s="587">
        <f>SUMIF($Z$28:$Z$30,"industrie",P28:P30)</f>
        <v>41770.714285714283</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6" customFormat="1">
      <c r="A33" s="585" t="s">
        <v>277</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6" customFormat="1" ht="15.75" thickBot="1">
      <c r="A34" s="590" t="s">
        <v>278</v>
      </c>
      <c r="B34" s="591"/>
      <c r="C34" s="591"/>
      <c r="D34" s="591"/>
      <c r="E34" s="591"/>
      <c r="F34" s="591"/>
      <c r="G34" s="591"/>
      <c r="H34" s="591"/>
      <c r="I34" s="591"/>
      <c r="J34" s="591"/>
      <c r="K34" s="591"/>
      <c r="L34" s="592"/>
      <c r="M34" s="592">
        <f>SUMIF($Z$28:$Z$30,"landbouw",M28:M30)</f>
        <v>0</v>
      </c>
      <c r="N34" s="592">
        <f>SUMIF($Z$28:$Z$30,"landbouw",N28:N30)</f>
        <v>0</v>
      </c>
      <c r="O34" s="592">
        <f>SUMIF($Z$28:$Z$30,"landbouw",O28:O30)</f>
        <v>0</v>
      </c>
      <c r="P34" s="592">
        <f>SUMIF($Z$28:$Z$30,"landbouw",P28:P30)</f>
        <v>0</v>
      </c>
      <c r="Q34" s="592">
        <f>SUMIF($Z$28:$Z$30,"landbouw",Q28:Q30)</f>
        <v>0</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270</v>
      </c>
      <c r="B36" s="626" t="s">
        <v>89</v>
      </c>
      <c r="C36" s="626" t="s">
        <v>90</v>
      </c>
      <c r="D36" s="626"/>
      <c r="E36" s="626"/>
      <c r="F36" s="626"/>
      <c r="G36" s="626" t="s">
        <v>91</v>
      </c>
      <c r="H36" s="626" t="s">
        <v>92</v>
      </c>
      <c r="I36" s="626"/>
      <c r="J36" s="626"/>
      <c r="K36" s="626"/>
      <c r="L36" s="626" t="s">
        <v>93</v>
      </c>
      <c r="M36" s="627" t="s">
        <v>287</v>
      </c>
      <c r="N36" s="627" t="s">
        <v>94</v>
      </c>
      <c r="O36" s="627" t="s">
        <v>95</v>
      </c>
      <c r="P36" s="627" t="s">
        <v>530</v>
      </c>
      <c r="Q36" s="627" t="s">
        <v>96</v>
      </c>
      <c r="R36" s="627" t="s">
        <v>97</v>
      </c>
      <c r="S36" s="627" t="s">
        <v>98</v>
      </c>
      <c r="T36" s="627" t="s">
        <v>99</v>
      </c>
      <c r="U36" s="627" t="s">
        <v>100</v>
      </c>
      <c r="V36" s="627" t="s">
        <v>101</v>
      </c>
      <c r="W36" s="626" t="s">
        <v>102</v>
      </c>
      <c r="X36" s="626" t="s">
        <v>288</v>
      </c>
      <c r="Y36" s="626" t="s">
        <v>103</v>
      </c>
      <c r="Z36" s="628" t="s">
        <v>289</v>
      </c>
    </row>
    <row r="37" spans="1:27" s="598" customFormat="1" ht="12.75" hidden="1">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6" customFormat="1" hidden="1">
      <c r="A38" s="585" t="s">
        <v>269</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6" customFormat="1">
      <c r="A39" s="585" t="s">
        <v>276</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6" customFormat="1">
      <c r="A40" s="585" t="s">
        <v>277</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6" customFormat="1" ht="15.75" thickBot="1">
      <c r="A41" s="590" t="s">
        <v>278</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271</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272</v>
      </c>
      <c r="C46" s="609" t="s">
        <v>273</v>
      </c>
      <c r="D46" s="609"/>
      <c r="E46" s="609"/>
      <c r="F46" s="609"/>
      <c r="G46" s="609"/>
      <c r="H46" s="609"/>
      <c r="I46" s="610"/>
      <c r="J46" s="609"/>
      <c r="K46" s="609"/>
      <c r="L46" s="609"/>
      <c r="M46" s="609"/>
      <c r="N46" s="609"/>
      <c r="O46" s="609"/>
      <c r="P46" s="604"/>
    </row>
    <row r="47" spans="1:27">
      <c r="A47" s="606" t="s">
        <v>269</v>
      </c>
      <c r="B47" s="611">
        <f>IF(ISERROR(O31/(O31+N31)),0,O31/(O31+N31))</f>
        <v>0.58823529411764708</v>
      </c>
      <c r="C47" s="612">
        <f>IF(ISERROR(N31/(O31+N31)),0,N31/(N31+O31))</f>
        <v>0.41176470588235298</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530</v>
      </c>
      <c r="C49" s="619" t="s">
        <v>96</v>
      </c>
      <c r="D49" s="619" t="s">
        <v>97</v>
      </c>
      <c r="E49" s="619" t="s">
        <v>98</v>
      </c>
      <c r="F49" s="619" t="s">
        <v>99</v>
      </c>
      <c r="G49" s="619" t="s">
        <v>100</v>
      </c>
      <c r="H49" s="619" t="s">
        <v>101</v>
      </c>
      <c r="I49" s="620" t="s">
        <v>102</v>
      </c>
      <c r="J49" s="609"/>
      <c r="K49" s="609"/>
      <c r="L49" s="617"/>
      <c r="M49" s="617"/>
      <c r="N49" s="617"/>
      <c r="O49" s="604"/>
      <c r="P49" s="604"/>
    </row>
    <row r="50" spans="1:16">
      <c r="A50" s="608" t="s">
        <v>274</v>
      </c>
      <c r="B50" s="621">
        <f t="shared" ref="B50:I50" si="2">$C$47*P31</f>
        <v>17199.705882352941</v>
      </c>
      <c r="C50" s="621">
        <f t="shared" si="2"/>
        <v>0</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275</v>
      </c>
      <c r="B51" s="624">
        <f t="shared" ref="B51:I51" si="3">$B$47*P31</f>
        <v>24571.008403361342</v>
      </c>
      <c r="C51" s="624">
        <f t="shared" si="3"/>
        <v>0</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4"/>
      <c r="K52" s="564"/>
      <c r="L52" s="564"/>
      <c r="M52" s="564"/>
      <c r="N52" s="564"/>
    </row>
    <row r="53" spans="1:16">
      <c r="J53" s="564"/>
      <c r="K53" s="564"/>
      <c r="L53" s="564"/>
      <c r="M53" s="564"/>
      <c r="N53"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2021-11-11T13:19:07Z</dcterms:modified>
</cp:coreProperties>
</file>