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C649187-53E9-4EC0-9A31-64CEE79E861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17" i="18" s="1"/>
  <c r="I20" i="18" s="1"/>
  <c r="I9" i="18"/>
  <c r="O9" i="18" s="1"/>
  <c r="F49" i="18"/>
  <c r="C49" i="18"/>
  <c r="B20" i="18"/>
  <c r="C45" i="18"/>
  <c r="O18" i="18"/>
  <c r="G20" i="18"/>
  <c r="K20" i="18"/>
  <c r="B10" i="18"/>
  <c r="O19" i="18"/>
  <c r="D49" i="18"/>
  <c r="H49" i="18"/>
  <c r="E48" i="18"/>
  <c r="E8" i="18" s="1"/>
  <c r="E10" i="18" s="1"/>
  <c r="E49" i="18"/>
  <c r="E17" i="18" s="1"/>
  <c r="E20" i="18" s="1"/>
  <c r="N6" i="17"/>
  <c r="B49" i="18" l="1"/>
  <c r="C17" i="18" s="1"/>
  <c r="C20" i="18" s="1"/>
  <c r="I49" i="18"/>
  <c r="H17" i="18" s="1"/>
  <c r="H20" i="18" s="1"/>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P16" i="14" s="1"/>
  <c r="P27" i="14" s="1"/>
  <c r="O8" i="48"/>
  <c r="O26" i="48"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15" i="48"/>
  <c r="O33" i="48"/>
  <c r="H22" i="14"/>
  <c r="H27" i="14" s="1"/>
  <c r="M9" i="48"/>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<sst xmlns="http://schemas.openxmlformats.org/spreadsheetml/2006/main" count="2516" uniqueCount="928">
  <si>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</si>
  <si>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</si>
  <si>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</si>
  <si>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</si>
  <si>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</si>
  <si>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</si>
  <si>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</si>
  <si>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</si>
  <si>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</si>
  <si>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</si>
  <si>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</si>
  <si>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</si>
  <si>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</si>
  <si>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</si>
  <si>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</si>
  <si>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</si>
  <si>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</si>
  <si>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</si>
  <si>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</si>
  <si>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</si>
  <si>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</si>
  <si>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</si>
  <si>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</si>
  <si>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</si>
  <si>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</si>
  <si>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</si>
  <si>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</si>
  <si>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</si>
  <si>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</si>
  <si>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</si>
  <si>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</si>
  <si>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</si>
  <si>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</si>
  <si>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</si>
  <si>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</si>
  <si>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</si>
  <si>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</si>
  <si>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</si>
  <si>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</si>
  <si>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</si>
  <si>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</si>
  <si>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</si>
  <si>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</si>
  <si>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</si>
  <si>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</si>
  <si>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</si>
  <si>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</si>
  <si>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</si>
  <si>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</si>
  <si>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</si>
  <si>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</si>
  <si>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</si>
  <si>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</si>
  <si>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</si>
  <si>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</si>
  <si>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</si>
  <si>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</si>
  <si>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</si>
  <si>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</si>
  <si>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</si>
  <si>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</si>
  <si>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</si>
  <si>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</si>
  <si>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</si>
  <si>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</si>
  <si>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</si>
  <si>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</si>
  <si>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</si>
  <si>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</si>
  <si>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</si>
  <si>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</si>
  <si>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</si>
  <si>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</si>
  <si>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</si>
  <si>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</si>
  <si>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</si>
  <si>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</si>
  <si>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</si>
  <si>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</si>
  <si>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</si>
  <si>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</si>
  <si>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</si>
  <si>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</si>
  <si>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</si>
  <si>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</si>
  <si>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</si>
  <si>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</si>
  <si>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</si>
  <si>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</si>
  <si>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</si>
  <si>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</si>
  <si>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</si>
  <si>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</si>
  <si>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</si>
  <si>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</si>
  <si>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</si>
  <si>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</si>
  <si>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</si>
  <si>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</si>
  <si>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</si>
  <si>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</si>
  <si>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</si>
  <si>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</si>
  <si>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</si>
  <si>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</si>
  <si>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</si>
  <si>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</si>
  <si>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</si>
  <si>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</si>
  <si>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</si>
  <si>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</si>
  <si>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</si>
  <si>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</si>
  <si>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</si>
  <si>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</si>
  <si>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</si>
  <si>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</si>
  <si>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</si>
  <si>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</si>
  <si>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</si>
  <si>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</si>
  <si>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</si>
  <si>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</si>
  <si>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</si>
  <si>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</si>
  <si>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</si>
  <si>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</si>
  <si>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</si>
  <si>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</si>
  <si>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</si>
  <si>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</si>
  <si>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</si>
  <si>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</si>
  <si>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</si>
  <si>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</si>
  <si>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</si>
  <si>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</si>
  <si>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</si>
  <si>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</si>
  <si>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</si>
  <si>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</si>
  <si>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</si>
  <si>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</si>
  <si>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</si>
  <si>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</si>
  <si>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</si>
  <si>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</si>
  <si>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</si>
  <si>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</si>
  <si>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</si>
  <si>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</si>
  <si>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</si>
  <si>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</si>
  <si>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</si>
  <si>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</si>
  <si>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</si>
  <si>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</si>
  <si>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</si>
  <si>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</si>
  <si>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</si>
  <si>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</si>
  <si>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</si>
  <si>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</si>
  <si>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</si>
  <si>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</si>
  <si>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</si>
  <si>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</si>
  <si>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</si>
  <si>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</si>
  <si>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</si>
  <si>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</si>
  <si>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</si>
  <si>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</si>
  <si>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</si>
  <si>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</si>
  <si>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</si>
  <si>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</si>
  <si>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</si>
  <si>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</si>
  <si>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</si>
  <si>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</si>
  <si>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</si>
  <si>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</si>
  <si>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</si>
  <si>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</si>
  <si>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</si>
  <si>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</si>
  <si>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</si>
  <si>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</si>
  <si>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</si>
  <si>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</si>
  <si>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</si>
  <si>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</si>
  <si>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</si>
  <si>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</si>
  <si>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</si>
  <si>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</si>
  <si>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</si>
  <si>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</si>
  <si>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</si>
  <si>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</si>
  <si>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</si>
  <si>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</si>
  <si>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</si>
  <si>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</si>
  <si>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</si>
  <si>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</si>
  <si>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</si>
  <si>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</si>
  <si>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</si>
  <si>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</si>
  <si>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</si>
  <si>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</si>
  <si>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</si>
  <si>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</si>
  <si>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</si>
  <si>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</si>
  <si>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</si>
  <si>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</si>
  <si>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</si>
  <si>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</si>
  <si>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</si>
  <si>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</si>
  <si>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</si>
  <si>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</si>
  <si>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</si>
  <si>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</si>
  <si>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</si>
  <si>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</si>
  <si>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</si>
  <si>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</si>
  <si>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</si>
  <si>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</si>
  <si>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</si>
  <si>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</si>
  <si>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</si>
  <si>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</si>
  <si>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</si>
  <si>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</si>
  <si>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</si>
  <si>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</si>
  <si>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</si>
  <si>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</si>
  <si>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</si>
  <si>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</si>
  <si>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</si>
  <si>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</si>
  <si>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</si>
  <si>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</si>
  <si>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</si>
  <si>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</si>
  <si>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</si>
  <si>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</si>
  <si>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</si>
  <si>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</si>
  <si>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</si>
  <si>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</si>
  <si>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</si>
  <si>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</si>
  <si>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</si>
  <si>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</si>
  <si>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</si>
  <si>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</si>
  <si>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</si>
  <si>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</si>
  <si>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</si>
  <si>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</si>
  <si>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</si>
  <si>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</si>
  <si>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</si>
  <si>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</si>
  <si>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</si>
  <si>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</si>
  <si>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</si>
  <si>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</si>
  <si>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</si>
  <si>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</si>
  <si>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</si>
  <si>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</si>
  <si>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</si>
  <si>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</si>
  <si>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</si>
  <si>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</si>
  <si>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</si>
  <si>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</si>
  <si>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</si>
  <si>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</si>
  <si>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</si>
  <si>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</si>
  <si>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</si>
  <si>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</si>
  <si>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</si>
  <si>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</si>
  <si>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</si>
  <si>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</si>
  <si>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</si>
  <si>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</si>
  <si>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</si>
  <si>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</si>
  <si>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</si>
  <si>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</si>
  <si>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</si>
  <si>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</si>
  <si>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</si>
  <si>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</si>
  <si>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</si>
  <si>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</si>
  <si>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</si>
  <si>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</si>
  <si>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</si>
  <si>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</si>
  <si>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</si>
  <si>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</si>
  <si>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</si>
  <si>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</si>
  <si>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</si>
  <si>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</si>
  <si>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</si>
  <si>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</si>
  <si>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</si>
  <si>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</si>
  <si>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</si>
  <si>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</si>
  <si>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</si>
  <si>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</si>
  <si>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</si>
  <si>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</si>
  <si>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</si>
  <si>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</si>
  <si>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</si>
  <si>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</si>
  <si>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</si>
  <si>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</si>
  <si>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</si>
  <si>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</si>
  <si>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</si>
  <si>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</si>
  <si>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</si>
  <si>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</si>
  <si>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</si>
  <si>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</si>
  <si>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</si>
  <si>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</si>
  <si>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</si>
  <si>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</si>
  <si>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</si>
  <si>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</si>
  <si>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</si>
  <si>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</si>
  <si>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</si>
  <si>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</si>
  <si>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</si>
  <si>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</si>
  <si>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</si>
  <si>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</si>
  <si>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</si>
  <si>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</si>
  <si>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</si>
  <si>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</si>
  <si>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</si>
  <si>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</si>
  <si>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</si>
  <si>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</si>
  <si>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</si>
  <si>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</si>
  <si>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</si>
  <si>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</si>
  <si>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</si>
  <si>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</si>
  <si>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</si>
  <si>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</si>
  <si>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</si>
  <si>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</si>
  <si>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</si>
  <si>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</si>
  <si>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</si>
  <si>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</si>
  <si>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</si>
  <si>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</si>
  <si>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</si>
  <si>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</si>
  <si>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</si>
  <si>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</si>
  <si>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</si>
  <si>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</si>
  <si>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</si>
  <si>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</si>
  <si>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</si>
  <si>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</si>
  <si>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</si>
  <si>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</si>
  <si>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</si>
  <si>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</si>
  <si>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</si>
  <si>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</si>
  <si>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</si>
  <si>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</si>
  <si>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</si>
  <si>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</si>
  <si>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</si>
  <si>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</si>
  <si>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</si>
  <si>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</si>
  <si>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</si>
  <si>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</si>
  <si>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</si>
  <si>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</si>
  <si>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</si>
  <si>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</si>
  <si>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</si>
  <si>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</si>
  <si>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</si>
  <si>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</si>
  <si>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</si>
  <si>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</si>
  <si>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</si>
  <si>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</si>
  <si>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</si>
  <si>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</si>
  <si>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</si>
  <si>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</si>
  <si>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</si>
  <si>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</si>
  <si>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</si>
  <si>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</si>
  <si>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</si>
  <si>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</si>
  <si>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</si>
  <si>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</si>
  <si>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</si>
  <si>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</si>
  <si>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</si>
  <si>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</si>
  <si>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</si>
  <si>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</si>
  <si>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</si>
  <si>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</si>
  <si>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</si>
  <si>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</si>
  <si>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</si>
  <si>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</si>
  <si>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</si>
  <si>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</si>
  <si>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</si>
  <si>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</si>
  <si>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</si>
  <si>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</si>
  <si>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</si>
  <si>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</si>
  <si>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</si>
  <si>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</si>
  <si>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</si>
  <si>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</si>
  <si>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</si>
  <si>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</si>
  <si>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</si>
  <si>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</si>
  <si>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</si>
  <si>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</si>
  <si>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</si>
  <si>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</si>
  <si>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</si>
  <si>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</si>
  <si>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</si>
  <si>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</si>
  <si>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</si>
  <si>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</si>
  <si>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</si>
  <si>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</si>
  <si>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</si>
  <si>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</si>
  <si>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</si>
  <si>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</si>
  <si>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</si>
  <si>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</si>
  <si>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</si>
  <si>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</si>
  <si>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</si>
  <si>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</si>
  <si>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</si>
  <si>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</si>
  <si>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</si>
  <si>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</si>
  <si>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</si>
  <si>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</si>
  <si>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</si>
  <si>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</si>
  <si>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</si>
  <si>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</si>
  <si>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</si>
  <si>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</si>
  <si>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</si>
  <si>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</si>
  <si>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</si>
  <si>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</si>
  <si>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</si>
  <si>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</si>
  <si>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</si>
  <si>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</si>
  <si>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</si>
  <si>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</si>
  <si>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</si>
  <si>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</si>
  <si>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</si>
  <si>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</si>
  <si>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</si>
  <si>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</si>
  <si>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</si>
  <si>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</si>
  <si>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</si>
  <si>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</si>
  <si>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</si>
  <si>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</si>
  <si>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</si>
  <si>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</si>
  <si>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</si>
  <si>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</si>
  <si>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</si>
  <si>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</si>
  <si>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</si>
  <si>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</si>
  <si>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</si>
  <si>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</si>
  <si>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</si>
  <si>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</si>
  <si>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</si>
  <si>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</si>
  <si>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</si>
  <si>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</si>
  <si>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</si>
  <si>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</si>
  <si>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</si>
  <si>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</si>
  <si>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</si>
  <si>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</si>
  <si>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</si>
  <si>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</si>
  <si>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</si>
  <si>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</si>
  <si>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</si>
  <si>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</si>
  <si>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</si>
  <si>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</si>
  <si>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</si>
  <si>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</si>
  <si>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</si>
  <si>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</si>
  <si>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</si>
  <si>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</si>
  <si>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</si>
  <si>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</si>
  <si>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</si>
  <si>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</si>
  <si>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</si>
  <si>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</si>
  <si>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</si>
  <si>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</si>
  <si>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</si>
  <si>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</si>
  <si>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</si>
  <si>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</si>
  <si>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</si>
  <si>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</si>
  <si>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</si>
  <si>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</si>
  <si>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</si>
  <si>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</si>
  <si>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</si>
  <si>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</si>
  <si>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</si>
  <si>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</si>
  <si>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</si>
  <si>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</si>
  <si>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</si>
  <si>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</si>
  <si>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</si>
  <si>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</si>
  <si>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</si>
  <si>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</si>
  <si>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</si>
  <si>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</si>
  <si>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</si>
  <si>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</si>
  <si>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</si>
  <si>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</si>
  <si>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</si>
  <si>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</si>
  <si>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</si>
  <si>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</si>
  <si>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</si>
  <si>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</si>
  <si>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</si>
  <si>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</si>
  <si>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</si>
  <si>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</si>
  <si>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</si>
  <si>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</si>
  <si>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</si>
  <si>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</si>
  <si>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</si>
  <si>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</si>
  <si>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</si>
  <si>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</si>
  <si>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</si>
  <si>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</si>
  <si>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</si>
  <si>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</si>
  <si>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</si>
  <si>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</si>
  <si>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</si>
  <si>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</si>
  <si>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</si>
  <si>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</si>
  <si>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</si>
  <si>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</si>
  <si>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</si>
  <si>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</si>
  <si>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</si>
  <si>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</si>
  <si>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</si>
  <si>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</si>
  <si>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</si>
  <si>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</si>
  <si>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</si>
  <si>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</si>
  <si>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</si>
  <si>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</si>
  <si>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</si>
  <si>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</si>
  <si>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</si>
  <si>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</si>
  <si>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</si>
  <si>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</si>
  <si>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</si>
  <si>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</si>
  <si>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</si>
  <si>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</si>
  <si>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</si>
  <si>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</si>
  <si>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</si>
  <si>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</si>
  <si>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</si>
  <si>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</si>
  <si>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</si>
  <si>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</si>
  <si>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</si>
  <si>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</si>
  <si>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</si>
  <si>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</si>
  <si>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</si>
  <si>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</si>
  <si>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</si>
  <si>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</si>
  <si>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</si>
  <si>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</si>
  <si>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</si>
  <si>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</si>
  <si>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</si>
  <si>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</si>
  <si>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</si>
  <si>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</si>
  <si>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</si>
  <si>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</si>
  <si>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</si>
  <si>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</si>
  <si>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</si>
  <si>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</si>
  <si>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</si>
  <si>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</si>
  <si>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</si>
  <si>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</si>
  <si>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</si>
  <si>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</si>
  <si>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</si>
  <si>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</si>
  <si>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</si>
  <si>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</si>
  <si>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</si>
  <si>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</si>
  <si>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</si>
  <si>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</si>
  <si>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</si>
  <si>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</si>
  <si>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</si>
  <si>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</si>
  <si>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</si>
  <si>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</si>
  <si>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</si>
  <si>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</si>
  <si>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</si>
  <si>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</si>
  <si>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</si>
  <si>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</si>
  <si>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</si>
  <si>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</si>
  <si>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</si>
  <si>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</si>
  <si>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</si>
  <si>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</si>
  <si>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</si>
  <si>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</si>
  <si>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</si>
  <si>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</si>
  <si>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</si>
  <si>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</si>
  <si>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</si>
  <si>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</si>
  <si>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</si>
  <si>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</si>
  <si>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</si>
  <si>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</si>
  <si>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</si>
  <si>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</si>
  <si>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</si>
  <si>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</si>
  <si>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</si>
  <si>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</si>
  <si>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</si>
  <si>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</si>
  <si>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</si>
  <si>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</si>
  <si>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</si>
  <si>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</si>
  <si>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</si>
  <si>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</si>
  <si>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</si>
  <si>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</si>
  <si>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</si>
  <si>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</si>
  <si>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</si>
  <si>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</si>
  <si>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</si>
  <si>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</si>
  <si>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</si>
  <si>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</si>
  <si>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</si>
  <si>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</si>
  <si>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</si>
  <si>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</si>
  <si>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</si>
  <si>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</si>
  <si>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</si>
  <si>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</si>
  <si>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</si>
  <si>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</si>
  <si>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</si>
  <si>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</si>
  <si>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</si>
  <si>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</si>
  <si>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</si>
  <si>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</si>
  <si>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</si>
  <si>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</si>
  <si>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</si>
  <si>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</si>
  <si>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</si>
  <si>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</si>
  <si>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</si>
  <si>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</si>
  <si>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</si>
  <si>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</si>
  <si>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</si>
  <si>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</si>
  <si>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</si>
  <si>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</si>
  <si>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</si>
  <si>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</si>
  <si>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</si>
  <si>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</si>
  <si>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</si>
  <si>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</si>
  <si>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</si>
  <si>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</si>
  <si>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</si>
  <si>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</si>
  <si>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</si>
  <si>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</si>
  <si>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</si>
  <si>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</si>
  <si>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</si>
  <si>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</si>
  <si>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</si>
  <si>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</si>
  <si>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</si>
  <si>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</si>
  <si>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</si>
  <si>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</si>
  <si>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</si>
  <si>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</si>
  <si>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</si>
  <si>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</si>
  <si>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</si>
  <si>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</si>
  <si>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</si>
  <si>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</si>
  <si>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</si>
  <si>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</si>
  <si>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</si>
  <si>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</si>
  <si>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</si>
  <si>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</si>
  <si>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</si>
  <si>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</si>
  <si>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</si>
  <si>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</si>
  <si>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</si>
  <si>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</si>
  <si>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</si>
  <si>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</si>
  <si>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</si>
  <si>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</si>
  <si>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</si>
  <si>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</si>
  <si>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</si>
  <si>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</si>
  <si>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</si>
  <si>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</si>
  <si>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</si>
  <si>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</si>
  <si>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</si>
  <si>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</si>
  <si>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</si>
  <si>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</si>
  <si>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</si>
  <si>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</si>
  <si>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</si>
  <si>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</si>
  <si>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</si>
  <si>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</si>
  <si>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</si>
  <si>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</si>
  <si>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</si>
  <si>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</si>
  <si>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</si>
  <si>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</si>
  <si>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</si>
  <si>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</si>
  <si>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</si>
  <si>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</si>
  <si>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</si>
  <si>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</si>
  <si>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</si>
  <si>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</si>
  <si>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</si>
  <si>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</si>
  <si>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</si>
  <si>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</si>
  <si>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</si>
  <si>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</si>
  <si>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</si>
  <si>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</si>
  <si>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</si>
  <si>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</si>
  <si>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</si>
  <si>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</si>
  <si>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</si>
  <si>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</si>
  <si>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</si>
  <si>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</si>
  <si>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</si>
  <si>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</si>
  <si>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</si>
  <si>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</si>
  <si>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</si>
  <si>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</si>
  <si>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</si>
  <si>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</si>
  <si>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</si>
  <si>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</si>
  <si>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</si>
  <si>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</si>
  <si>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</si>
  <si>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</si>
  <si>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</si>
  <si>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</si>
  <si>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</si>
  <si>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</si>
  <si>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</si>
  <si>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</si>
  <si>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</si>
  <si>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</si>
  <si>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</si>
  <si>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</si>
  <si>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</si>
  <si>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</si>
  <si>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</si>
  <si>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</si>
  <si>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</si>
  <si>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</si>
  <si>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</si>
  <si>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</si>
  <si>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</si>
  <si>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</si>
  <si>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</si>
  <si>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</si>
  <si>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</si>
  <si>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</si>
  <si>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</si>
  <si>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</si>
  <si>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</si>
  <si>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</si>
  <si>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</si>
  <si>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</si>
  <si>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</si>
  <si>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</si>
  <si>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</si>
  <si>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</si>
  <si>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</si>
  <si>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</si>
  <si>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</si>
  <si>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</si>
  <si>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</si>
  <si>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</si>
  <si>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</si>
  <si>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</si>
  <si>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</si>
  <si>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</si>
  <si>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</si>
  <si>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</si>
  <si>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12025</t>
  </si>
  <si>
    <t>MECHELEN</t>
  </si>
  <si>
    <t>Cultuurgrond (ha)</t>
  </si>
  <si>
    <t>Paarden&amp;pony's 200 - 600 kg</t>
  </si>
  <si>
    <t>Paarden&amp;pony's &lt; 200 kg</t>
  </si>
  <si>
    <t>Fluvius</t>
  </si>
  <si>
    <t>referentietaak LNE (2017); Jaarverslag De Lijn</t>
  </si>
  <si>
    <t>stirlingmotor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</si>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</sst>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0AF3DD5-A6B0-4B0F-A8EF-1588DE4D6DB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737852.60167935141</c:v>
                </c:pt>
                <c:pt idx="1">
                  <c:v>506505.29642874131</c:v>
                </c:pt>
                <c:pt idx="2">
                  <c:v>4309.0150000000003</c:v>
                </c:pt>
                <c:pt idx="3">
                  <c:v>6624.1213879586639</c:v>
                </c:pt>
                <c:pt idx="4">
                  <c:v>573653.66353750892</c:v>
                </c:pt>
                <c:pt idx="5">
                  <c:v>653416.40908541635</c:v>
                </c:pt>
                <c:pt idx="6">
                  <c:v>11470.34460682323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737852.60167935141</c:v>
                </c:pt>
                <c:pt idx="1">
                  <c:v>506505.29642874131</c:v>
                </c:pt>
                <c:pt idx="2">
                  <c:v>4309.0150000000003</c:v>
                </c:pt>
                <c:pt idx="3">
                  <c:v>6624.1213879586639</c:v>
                </c:pt>
                <c:pt idx="4">
                  <c:v>573653.66353750892</c:v>
                </c:pt>
                <c:pt idx="5">
                  <c:v>653416.40908541635</c:v>
                </c:pt>
                <c:pt idx="6">
                  <c:v>11470.34460682323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149359.02696292824</c:v>
                </c:pt>
                <c:pt idx="2">
                  <c:v>105148.13665725359</c:v>
                </c:pt>
                <c:pt idx="3">
                  <c:v>931.00184012046748</c:v>
                </c:pt>
                <c:pt idx="4">
                  <c:v>1619.3677677329458</c:v>
                </c:pt>
                <c:pt idx="5">
                  <c:v>120612.78631747831</c:v>
                </c:pt>
                <c:pt idx="6">
                  <c:v>165263.90919978108</c:v>
                </c:pt>
                <c:pt idx="7">
                  <c:v>2928.9309896252125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149359.02696292824</c:v>
                </c:pt>
                <c:pt idx="2">
                  <c:v>105148.13665725359</c:v>
                </c:pt>
                <c:pt idx="3">
                  <c:v>931.00184012046748</c:v>
                </c:pt>
                <c:pt idx="4">
                  <c:v>1619.3677677329458</c:v>
                </c:pt>
                <c:pt idx="5">
                  <c:v>120612.78631747831</c:v>
                </c:pt>
                <c:pt idx="6">
                  <c:v>165263.90919978108</c:v>
                </c:pt>
                <c:pt idx="7">
                  <c:v>2928.9309896252125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12025</v>
      </c>
      <c r="B6" s="385"/>
      <c r="C6" s="386"/>
    </row>
    <row r="7" spans="1:7" s="383" customFormat="1" ht="15.75" customHeight="1">
      <c r="A7" s="387" t="str">
        <f>txtMunicipality</f>
        <v>MECHELEN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213292.74306947456</v>
      </c>
      <c r="D10" s="676">
        <f ca="1">tertiair!C16</f>
        <v>0</v>
      </c>
      <c r="E10" s="676">
        <f ca="1">tertiair!D16</f>
        <v>243009.75939423556</v>
      </c>
      <c r="F10" s="676">
        <f>tertiair!E16</f>
        <v>2034.1227777089944</v>
      </c>
      <c r="G10" s="676">
        <f ca="1">tertiair!F16</f>
        <v>39122.045793986268</v>
      </c>
      <c r="H10" s="676">
        <f>tertiair!G16</f>
        <v>0</v>
      </c>
      <c r="I10" s="676">
        <f>tertiair!H16</f>
        <v>0</v>
      </c>
      <c r="J10" s="676">
        <f>tertiair!I16</f>
        <v>0</v>
      </c>
      <c r="K10" s="676">
        <f>tertiair!J16</f>
        <v>0</v>
      </c>
      <c r="L10" s="676">
        <f>tertiair!K16</f>
        <v>0</v>
      </c>
      <c r="M10" s="676">
        <f ca="1">tertiair!L16</f>
        <v>0</v>
      </c>
      <c r="N10" s="676">
        <f>tertiair!M16</f>
        <v>0</v>
      </c>
      <c r="O10" s="676">
        <f ca="1">tertiair!N16</f>
        <v>13199.980393335982</v>
      </c>
      <c r="P10" s="676">
        <f>tertiair!O16</f>
        <v>3.1266666666666669</v>
      </c>
      <c r="Q10" s="677">
        <f>tertiair!P16</f>
        <v>152.53333333333333</v>
      </c>
      <c r="R10" s="679">
        <f ca="1">SUM(C10:Q10)</f>
        <v>510814.31142874132</v>
      </c>
      <c r="S10" s="67"/>
    </row>
    <row r="11" spans="1:19" s="444" customFormat="1">
      <c r="A11" s="791" t="s">
        <v>214</v>
      </c>
      <c r="B11" s="796"/>
      <c r="C11" s="676">
        <f>huishoudens!B8</f>
        <v>117317.22042534911</v>
      </c>
      <c r="D11" s="676">
        <f>huishoudens!C8</f>
        <v>0</v>
      </c>
      <c r="E11" s="676">
        <f>huishoudens!D8</f>
        <v>424718.66344241321</v>
      </c>
      <c r="F11" s="676">
        <f>huishoudens!E8</f>
        <v>4436.3710390530105</v>
      </c>
      <c r="G11" s="676">
        <f>huishoudens!F8</f>
        <v>135954.68781543479</v>
      </c>
      <c r="H11" s="676">
        <f>huishoudens!G8</f>
        <v>0</v>
      </c>
      <c r="I11" s="676">
        <f>huishoudens!H8</f>
        <v>0</v>
      </c>
      <c r="J11" s="676">
        <f>huishoudens!I8</f>
        <v>0</v>
      </c>
      <c r="K11" s="676">
        <f>huishoudens!J8</f>
        <v>2574.7110777321523</v>
      </c>
      <c r="L11" s="676">
        <f>huishoudens!K8</f>
        <v>0</v>
      </c>
      <c r="M11" s="676">
        <f>huishoudens!L8</f>
        <v>0</v>
      </c>
      <c r="N11" s="676">
        <f>huishoudens!M8</f>
        <v>0</v>
      </c>
      <c r="O11" s="676">
        <f>huishoudens!N8</f>
        <v>51739.657879369297</v>
      </c>
      <c r="P11" s="676">
        <f>huishoudens!O8</f>
        <v>348.62333333333333</v>
      </c>
      <c r="Q11" s="677">
        <f>huishoudens!P8</f>
        <v>762.66666666666674</v>
      </c>
      <c r="R11" s="679">
        <f>SUM(C11:Q11)</f>
        <v>737852.60167935141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205682.36515352674</v>
      </c>
      <c r="D13" s="676">
        <f>industrie!C18</f>
        <v>0</v>
      </c>
      <c r="E13" s="676">
        <f>industrie!D18</f>
        <v>288834.6238207767</v>
      </c>
      <c r="F13" s="676">
        <f>industrie!E18</f>
        <v>12370.881779504702</v>
      </c>
      <c r="G13" s="676">
        <f>industrie!F18</f>
        <v>55725.049457993431</v>
      </c>
      <c r="H13" s="676">
        <f>industrie!G18</f>
        <v>0</v>
      </c>
      <c r="I13" s="676">
        <f>industrie!H18</f>
        <v>0</v>
      </c>
      <c r="J13" s="676">
        <f>industrie!I18</f>
        <v>0</v>
      </c>
      <c r="K13" s="676">
        <f>industrie!J18</f>
        <v>400.76335239316569</v>
      </c>
      <c r="L13" s="676">
        <f>industrie!K18</f>
        <v>0</v>
      </c>
      <c r="M13" s="676">
        <f>industrie!L18</f>
        <v>0</v>
      </c>
      <c r="N13" s="676">
        <f>industrie!M18</f>
        <v>0</v>
      </c>
      <c r="O13" s="676">
        <f>industrie!N18</f>
        <v>10639.979973314126</v>
      </c>
      <c r="P13" s="676">
        <f>industrie!O18</f>
        <v>0</v>
      </c>
      <c r="Q13" s="677">
        <f>industrie!P18</f>
        <v>0</v>
      </c>
      <c r="R13" s="679">
        <f>SUM(C13:Q13)</f>
        <v>573653.66353750892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536292.32864835043</v>
      </c>
      <c r="D16" s="711">
        <f t="shared" ref="D16:R16" ca="1" si="0">SUM(D9:D15)</f>
        <v>0</v>
      </c>
      <c r="E16" s="711">
        <f t="shared" ca="1" si="0"/>
        <v>956563.04665742547</v>
      </c>
      <c r="F16" s="711">
        <f t="shared" si="0"/>
        <v>18841.375596266706</v>
      </c>
      <c r="G16" s="711">
        <f t="shared" ca="1" si="0"/>
        <v>230801.78306741448</v>
      </c>
      <c r="H16" s="711">
        <f t="shared" si="0"/>
        <v>0</v>
      </c>
      <c r="I16" s="711">
        <f t="shared" si="0"/>
        <v>0</v>
      </c>
      <c r="J16" s="711">
        <f t="shared" si="0"/>
        <v>0</v>
      </c>
      <c r="K16" s="711">
        <f t="shared" si="0"/>
        <v>2975.4744301253181</v>
      </c>
      <c r="L16" s="711">
        <f t="shared" si="0"/>
        <v>0</v>
      </c>
      <c r="M16" s="711">
        <f t="shared" ca="1" si="0"/>
        <v>0</v>
      </c>
      <c r="N16" s="711">
        <f t="shared" si="0"/>
        <v>0</v>
      </c>
      <c r="O16" s="711">
        <f t="shared" ca="1" si="0"/>
        <v>75579.61824601941</v>
      </c>
      <c r="P16" s="711">
        <f t="shared" si="0"/>
        <v>351.75</v>
      </c>
      <c r="Q16" s="711">
        <f t="shared" si="0"/>
        <v>915.2</v>
      </c>
      <c r="R16" s="711">
        <f t="shared" ca="1" si="0"/>
        <v>1822320.5766456015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56.124737352803365</v>
      </c>
      <c r="D19" s="676">
        <f>transport!C54</f>
        <v>0</v>
      </c>
      <c r="E19" s="676">
        <f>transport!D54</f>
        <v>0</v>
      </c>
      <c r="F19" s="676">
        <f>transport!E54</f>
        <v>0</v>
      </c>
      <c r="G19" s="676">
        <f>transport!F54</f>
        <v>0</v>
      </c>
      <c r="H19" s="676">
        <f>transport!G54</f>
        <v>10924.362285397947</v>
      </c>
      <c r="I19" s="676">
        <f>transport!H54</f>
        <v>0</v>
      </c>
      <c r="J19" s="676">
        <f>transport!I54</f>
        <v>0</v>
      </c>
      <c r="K19" s="676">
        <f>transport!J54</f>
        <v>0</v>
      </c>
      <c r="L19" s="676">
        <f>transport!K54</f>
        <v>0</v>
      </c>
      <c r="M19" s="676">
        <f>transport!L54</f>
        <v>0</v>
      </c>
      <c r="N19" s="676">
        <f>transport!M54</f>
        <v>489.85758407247943</v>
      </c>
      <c r="O19" s="676">
        <f>transport!N54</f>
        <v>0</v>
      </c>
      <c r="P19" s="676">
        <f>transport!O54</f>
        <v>0</v>
      </c>
      <c r="Q19" s="677">
        <f>transport!P54</f>
        <v>0</v>
      </c>
      <c r="R19" s="679">
        <f>SUM(C19:Q19)</f>
        <v>11470.34460682323</v>
      </c>
      <c r="S19" s="67"/>
    </row>
    <row r="20" spans="1:19" s="444" customFormat="1">
      <c r="A20" s="791" t="s">
        <v>296</v>
      </c>
      <c r="B20" s="796"/>
      <c r="C20" s="676">
        <f>transport!B14</f>
        <v>55.896327745541612</v>
      </c>
      <c r="D20" s="676">
        <f>transport!C14</f>
        <v>0</v>
      </c>
      <c r="E20" s="676">
        <f>transport!D14</f>
        <v>50.257932866502287</v>
      </c>
      <c r="F20" s="676">
        <f>transport!E14</f>
        <v>1978.4029009972166</v>
      </c>
      <c r="G20" s="676">
        <f>transport!F14</f>
        <v>0</v>
      </c>
      <c r="H20" s="676">
        <f>transport!G14</f>
        <v>534799.98051966191</v>
      </c>
      <c r="I20" s="676">
        <f>transport!H14</f>
        <v>88357.381247440964</v>
      </c>
      <c r="J20" s="676">
        <f>transport!I14</f>
        <v>0</v>
      </c>
      <c r="K20" s="676">
        <f>transport!J14</f>
        <v>0</v>
      </c>
      <c r="L20" s="676">
        <f>transport!K14</f>
        <v>0</v>
      </c>
      <c r="M20" s="676">
        <f>transport!L14</f>
        <v>0</v>
      </c>
      <c r="N20" s="676">
        <f>transport!M14</f>
        <v>28174.490156704218</v>
      </c>
      <c r="O20" s="676">
        <f>transport!N14</f>
        <v>0</v>
      </c>
      <c r="P20" s="676">
        <f>transport!O14</f>
        <v>0</v>
      </c>
      <c r="Q20" s="677">
        <f>transport!P14</f>
        <v>0</v>
      </c>
      <c r="R20" s="679">
        <f>SUM(C20:Q20)</f>
        <v>653416.40908541635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112.02106509834498</v>
      </c>
      <c r="D22" s="794">
        <f t="shared" ref="D22:R22" si="1">SUM(D18:D21)</f>
        <v>0</v>
      </c>
      <c r="E22" s="794">
        <f t="shared" si="1"/>
        <v>50.257932866502287</v>
      </c>
      <c r="F22" s="794">
        <f t="shared" si="1"/>
        <v>1978.4029009972166</v>
      </c>
      <c r="G22" s="794">
        <f t="shared" si="1"/>
        <v>0</v>
      </c>
      <c r="H22" s="794">
        <f t="shared" si="1"/>
        <v>545724.34280505986</v>
      </c>
      <c r="I22" s="794">
        <f t="shared" si="1"/>
        <v>88357.381247440964</v>
      </c>
      <c r="J22" s="794">
        <f t="shared" si="1"/>
        <v>0</v>
      </c>
      <c r="K22" s="794">
        <f t="shared" si="1"/>
        <v>0</v>
      </c>
      <c r="L22" s="794">
        <f t="shared" si="1"/>
        <v>0</v>
      </c>
      <c r="M22" s="794">
        <f t="shared" si="1"/>
        <v>0</v>
      </c>
      <c r="N22" s="794">
        <f t="shared" si="1"/>
        <v>28664.347740776699</v>
      </c>
      <c r="O22" s="794">
        <f t="shared" si="1"/>
        <v>0</v>
      </c>
      <c r="P22" s="794">
        <f t="shared" si="1"/>
        <v>0</v>
      </c>
      <c r="Q22" s="794">
        <f t="shared" si="1"/>
        <v>0</v>
      </c>
      <c r="R22" s="794">
        <f t="shared" si="1"/>
        <v>664886.75369223952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1073.7698392398031</v>
      </c>
      <c r="D24" s="676">
        <f>+landbouw!C8</f>
        <v>22.5</v>
      </c>
      <c r="E24" s="676">
        <f>+landbouw!D8</f>
        <v>1648.062947015517</v>
      </c>
      <c r="F24" s="676">
        <f>+landbouw!E8</f>
        <v>13.530883271227163</v>
      </c>
      <c r="G24" s="676">
        <f>+landbouw!F8</f>
        <v>3704.774940795186</v>
      </c>
      <c r="H24" s="676">
        <f>+landbouw!G8</f>
        <v>0</v>
      </c>
      <c r="I24" s="676">
        <f>+landbouw!H8</f>
        <v>0</v>
      </c>
      <c r="J24" s="676">
        <f>+landbouw!I8</f>
        <v>0</v>
      </c>
      <c r="K24" s="676">
        <f>+landbouw!J8</f>
        <v>161.48277763693028</v>
      </c>
      <c r="L24" s="676">
        <f>+landbouw!K8</f>
        <v>0</v>
      </c>
      <c r="M24" s="676">
        <f>+landbouw!L8</f>
        <v>0</v>
      </c>
      <c r="N24" s="676">
        <f>+landbouw!M8</f>
        <v>0</v>
      </c>
      <c r="O24" s="676">
        <f>+landbouw!N8</f>
        <v>0</v>
      </c>
      <c r="P24" s="676">
        <f>+landbouw!O8</f>
        <v>0</v>
      </c>
      <c r="Q24" s="677">
        <f>+landbouw!P8</f>
        <v>0</v>
      </c>
      <c r="R24" s="679">
        <f>SUM(C24:Q24)</f>
        <v>6624.1213879586639</v>
      </c>
      <c r="S24" s="67"/>
    </row>
    <row r="25" spans="1:19" s="444" customFormat="1" ht="15" thickBot="1">
      <c r="A25" s="813" t="s">
        <v>833</v>
      </c>
      <c r="B25" s="977"/>
      <c r="C25" s="978">
        <f>IF(Onbekend_ele_kWh="---",0,Onbekend_ele_kWh)/1000+IF(REST_rest_ele_kWh="---",0,REST_rest_ele_kWh)/1000</f>
        <v>5492.3258050143195</v>
      </c>
      <c r="D25" s="978"/>
      <c r="E25" s="978">
        <f>IF(onbekend_gas_kWh="---",0,onbekend_gas_kWh)/1000+IF(REST_rest_gas_kWh="---",0,REST_rest_gas_kWh)/1000</f>
        <v>30627.1977430527</v>
      </c>
      <c r="F25" s="978"/>
      <c r="G25" s="978"/>
      <c r="H25" s="978"/>
      <c r="I25" s="978"/>
      <c r="J25" s="978"/>
      <c r="K25" s="978"/>
      <c r="L25" s="978"/>
      <c r="M25" s="978"/>
      <c r="N25" s="978"/>
      <c r="O25" s="978"/>
      <c r="P25" s="978"/>
      <c r="Q25" s="979"/>
      <c r="R25" s="679">
        <f>SUM(C25:Q25)</f>
        <v>36119.523548067024</v>
      </c>
      <c r="S25" s="67"/>
    </row>
    <row r="26" spans="1:19" s="444" customFormat="1" ht="15.75" thickBot="1">
      <c r="A26" s="684" t="s">
        <v>834</v>
      </c>
      <c r="B26" s="799"/>
      <c r="C26" s="794">
        <f>SUM(C24:C25)</f>
        <v>6566.0956442541228</v>
      </c>
      <c r="D26" s="794">
        <f t="shared" ref="D26:R26" si="2">SUM(D24:D25)</f>
        <v>22.5</v>
      </c>
      <c r="E26" s="794">
        <f t="shared" si="2"/>
        <v>32275.260690068219</v>
      </c>
      <c r="F26" s="794">
        <f t="shared" si="2"/>
        <v>13.530883271227163</v>
      </c>
      <c r="G26" s="794">
        <f t="shared" si="2"/>
        <v>3704.774940795186</v>
      </c>
      <c r="H26" s="794">
        <f t="shared" si="2"/>
        <v>0</v>
      </c>
      <c r="I26" s="794">
        <f t="shared" si="2"/>
        <v>0</v>
      </c>
      <c r="J26" s="794">
        <f t="shared" si="2"/>
        <v>0</v>
      </c>
      <c r="K26" s="794">
        <f t="shared" si="2"/>
        <v>161.48277763693028</v>
      </c>
      <c r="L26" s="794">
        <f t="shared" si="2"/>
        <v>0</v>
      </c>
      <c r="M26" s="794">
        <f t="shared" si="2"/>
        <v>0</v>
      </c>
      <c r="N26" s="794">
        <f t="shared" si="2"/>
        <v>0</v>
      </c>
      <c r="O26" s="794">
        <f t="shared" si="2"/>
        <v>0</v>
      </c>
      <c r="P26" s="794">
        <f t="shared" si="2"/>
        <v>0</v>
      </c>
      <c r="Q26" s="794">
        <f t="shared" si="2"/>
        <v>0</v>
      </c>
      <c r="R26" s="794">
        <f t="shared" si="2"/>
        <v>42743.644936025688</v>
      </c>
      <c r="S26" s="67"/>
    </row>
    <row r="27" spans="1:19" s="444" customFormat="1" ht="17.25" thickTop="1" thickBot="1">
      <c r="A27" s="685" t="s">
        <v>109</v>
      </c>
      <c r="B27" s="786"/>
      <c r="C27" s="686">
        <f ca="1">C22+C16+C26</f>
        <v>542970.44535770291</v>
      </c>
      <c r="D27" s="686">
        <f t="shared" ref="D27:R27" ca="1" si="3">D22+D16+D26</f>
        <v>22.5</v>
      </c>
      <c r="E27" s="686">
        <f t="shared" ca="1" si="3"/>
        <v>988888.56528036017</v>
      </c>
      <c r="F27" s="686">
        <f t="shared" si="3"/>
        <v>20833.309380535153</v>
      </c>
      <c r="G27" s="686">
        <f t="shared" ca="1" si="3"/>
        <v>234506.55800820966</v>
      </c>
      <c r="H27" s="686">
        <f t="shared" si="3"/>
        <v>545724.34280505986</v>
      </c>
      <c r="I27" s="686">
        <f t="shared" si="3"/>
        <v>88357.381247440964</v>
      </c>
      <c r="J27" s="686">
        <f t="shared" si="3"/>
        <v>0</v>
      </c>
      <c r="K27" s="686">
        <f t="shared" si="3"/>
        <v>3136.9572077622483</v>
      </c>
      <c r="L27" s="686">
        <f t="shared" si="3"/>
        <v>0</v>
      </c>
      <c r="M27" s="686">
        <f t="shared" ca="1" si="3"/>
        <v>0</v>
      </c>
      <c r="N27" s="686">
        <f t="shared" si="3"/>
        <v>28664.347740776699</v>
      </c>
      <c r="O27" s="686">
        <f t="shared" ca="1" si="3"/>
        <v>75579.61824601941</v>
      </c>
      <c r="P27" s="686">
        <f t="shared" si="3"/>
        <v>351.75</v>
      </c>
      <c r="Q27" s="686">
        <f t="shared" si="3"/>
        <v>915.2</v>
      </c>
      <c r="R27" s="686">
        <f t="shared" ca="1" si="3"/>
        <v>2529950.9752738667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46083.835002204185</v>
      </c>
      <c r="D40" s="676">
        <f ca="1">tertiair!C20</f>
        <v>0</v>
      </c>
      <c r="E40" s="676">
        <f ca="1">tertiair!D20</f>
        <v>49087.971397635585</v>
      </c>
      <c r="F40" s="676">
        <f>tertiair!E20</f>
        <v>461.74587053994173</v>
      </c>
      <c r="G40" s="676">
        <f ca="1">tertiair!F20</f>
        <v>10445.586226994334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106079.13849737405</v>
      </c>
    </row>
    <row r="41" spans="1:18">
      <c r="A41" s="804" t="s">
        <v>214</v>
      </c>
      <c r="B41" s="811"/>
      <c r="C41" s="676">
        <f ca="1">huishoudens!B12</f>
        <v>25347.451353457462</v>
      </c>
      <c r="D41" s="676">
        <f ca="1">huishoudens!C12</f>
        <v>0</v>
      </c>
      <c r="E41" s="676">
        <f>huishoudens!D12</f>
        <v>85793.170015367476</v>
      </c>
      <c r="F41" s="676">
        <f>huishoudens!E12</f>
        <v>1007.0562258650334</v>
      </c>
      <c r="G41" s="676">
        <f>huishoudens!F12</f>
        <v>36299.901646721089</v>
      </c>
      <c r="H41" s="676">
        <f>huishoudens!G12</f>
        <v>0</v>
      </c>
      <c r="I41" s="676">
        <f>huishoudens!H12</f>
        <v>0</v>
      </c>
      <c r="J41" s="676">
        <f>huishoudens!I12</f>
        <v>0</v>
      </c>
      <c r="K41" s="676">
        <f>huishoudens!J12</f>
        <v>911.44772151718189</v>
      </c>
      <c r="L41" s="676">
        <f>huishoudens!K12</f>
        <v>0</v>
      </c>
      <c r="M41" s="676">
        <f>huishoudens!L12</f>
        <v>0</v>
      </c>
      <c r="N41" s="676">
        <f>huishoudens!M12</f>
        <v>0</v>
      </c>
      <c r="O41" s="676">
        <f>huishoudens!N12</f>
        <v>0</v>
      </c>
      <c r="P41" s="676">
        <f>huishoudens!O12</f>
        <v>0</v>
      </c>
      <c r="Q41" s="753">
        <f>huishoudens!P12</f>
        <v>0</v>
      </c>
      <c r="R41" s="832">
        <f t="shared" ca="1" si="4"/>
        <v>149359.02696292824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44439.543709702404</v>
      </c>
      <c r="D43" s="676">
        <f ca="1">industrie!C22</f>
        <v>0</v>
      </c>
      <c r="E43" s="676">
        <f>industrie!D22</f>
        <v>58344.5940117969</v>
      </c>
      <c r="F43" s="676">
        <f>industrie!E22</f>
        <v>2808.1901639475673</v>
      </c>
      <c r="G43" s="676">
        <f>industrie!F22</f>
        <v>14878.588205284246</v>
      </c>
      <c r="H43" s="676">
        <f>industrie!G22</f>
        <v>0</v>
      </c>
      <c r="I43" s="676">
        <f>industrie!H22</f>
        <v>0</v>
      </c>
      <c r="J43" s="676">
        <f>industrie!I22</f>
        <v>0</v>
      </c>
      <c r="K43" s="676">
        <f>industrie!J22</f>
        <v>141.87022674718065</v>
      </c>
      <c r="L43" s="676">
        <f>industrie!K22</f>
        <v>0</v>
      </c>
      <c r="M43" s="676">
        <f>industrie!L22</f>
        <v>0</v>
      </c>
      <c r="N43" s="676">
        <f>industrie!M22</f>
        <v>0</v>
      </c>
      <c r="O43" s="676">
        <f>industrie!N22</f>
        <v>0</v>
      </c>
      <c r="P43" s="676">
        <f>industrie!O22</f>
        <v>0</v>
      </c>
      <c r="Q43" s="753">
        <f>industrie!P22</f>
        <v>0</v>
      </c>
      <c r="R43" s="831">
        <f t="shared" ca="1" si="4"/>
        <v>120612.78631747831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115870.83006536405</v>
      </c>
      <c r="D46" s="711">
        <f t="shared" ref="D46:Q46" ca="1" si="5">SUM(D39:D45)</f>
        <v>0</v>
      </c>
      <c r="E46" s="711">
        <f t="shared" ca="1" si="5"/>
        <v>193225.73542479996</v>
      </c>
      <c r="F46" s="711">
        <f t="shared" si="5"/>
        <v>4276.9922603525429</v>
      </c>
      <c r="G46" s="711">
        <f t="shared" ca="1" si="5"/>
        <v>61624.076078999671</v>
      </c>
      <c r="H46" s="711">
        <f t="shared" si="5"/>
        <v>0</v>
      </c>
      <c r="I46" s="711">
        <f t="shared" si="5"/>
        <v>0</v>
      </c>
      <c r="J46" s="711">
        <f t="shared" si="5"/>
        <v>0</v>
      </c>
      <c r="K46" s="711">
        <f t="shared" si="5"/>
        <v>1053.3179482643625</v>
      </c>
      <c r="L46" s="711">
        <f t="shared" si="5"/>
        <v>0</v>
      </c>
      <c r="M46" s="711">
        <f t="shared" ca="1" si="5"/>
        <v>0</v>
      </c>
      <c r="N46" s="711">
        <f t="shared" si="5"/>
        <v>0</v>
      </c>
      <c r="O46" s="711">
        <f t="shared" ca="1" si="5"/>
        <v>0</v>
      </c>
      <c r="P46" s="711">
        <f t="shared" si="5"/>
        <v>0</v>
      </c>
      <c r="Q46" s="711">
        <f t="shared" si="5"/>
        <v>0</v>
      </c>
      <c r="R46" s="711">
        <f ca="1">SUM(R39:R45)</f>
        <v>376050.9517777806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12.126259423960665</v>
      </c>
      <c r="D49" s="676">
        <f ca="1">transport!C58</f>
        <v>0</v>
      </c>
      <c r="E49" s="676">
        <f>transport!D58</f>
        <v>0</v>
      </c>
      <c r="F49" s="676">
        <f>transport!E58</f>
        <v>0</v>
      </c>
      <c r="G49" s="676">
        <f>transport!F58</f>
        <v>0</v>
      </c>
      <c r="H49" s="676">
        <f>transport!G58</f>
        <v>2916.8047302012519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2928.9309896252125</v>
      </c>
    </row>
    <row r="50" spans="1:18">
      <c r="A50" s="807" t="s">
        <v>296</v>
      </c>
      <c r="B50" s="817"/>
      <c r="C50" s="682">
        <f ca="1">transport!B18</f>
        <v>12.076909453106099</v>
      </c>
      <c r="D50" s="682">
        <f>transport!C18</f>
        <v>0</v>
      </c>
      <c r="E50" s="682">
        <f>transport!D18</f>
        <v>10.152102439033463</v>
      </c>
      <c r="F50" s="682">
        <f>transport!E18</f>
        <v>449.0974585263682</v>
      </c>
      <c r="G50" s="682">
        <f>transport!F18</f>
        <v>0</v>
      </c>
      <c r="H50" s="682">
        <f>transport!G18</f>
        <v>142791.59479874975</v>
      </c>
      <c r="I50" s="682">
        <f>transport!H18</f>
        <v>22000.987930612799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165263.90919978108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24.203168877066766</v>
      </c>
      <c r="D52" s="711">
        <f t="shared" ref="D52:Q52" ca="1" si="6">SUM(D48:D51)</f>
        <v>0</v>
      </c>
      <c r="E52" s="711">
        <f t="shared" si="6"/>
        <v>10.152102439033463</v>
      </c>
      <c r="F52" s="711">
        <f t="shared" si="6"/>
        <v>449.0974585263682</v>
      </c>
      <c r="G52" s="711">
        <f t="shared" si="6"/>
        <v>0</v>
      </c>
      <c r="H52" s="711">
        <f t="shared" si="6"/>
        <v>145708.39952895101</v>
      </c>
      <c r="I52" s="711">
        <f t="shared" si="6"/>
        <v>22000.987930612799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168192.8401894063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231.99772945745491</v>
      </c>
      <c r="D54" s="682">
        <f ca="1">+landbouw!C12</f>
        <v>5.0500000000000007</v>
      </c>
      <c r="E54" s="682">
        <f>+landbouw!D12</f>
        <v>332.90871529713445</v>
      </c>
      <c r="F54" s="682">
        <f>+landbouw!E12</f>
        <v>3.0715105025685658</v>
      </c>
      <c r="G54" s="682">
        <f>+landbouw!F12</f>
        <v>989.17490919231477</v>
      </c>
      <c r="H54" s="682">
        <f>+landbouw!G12</f>
        <v>0</v>
      </c>
      <c r="I54" s="682">
        <f>+landbouw!H12</f>
        <v>0</v>
      </c>
      <c r="J54" s="682">
        <f>+landbouw!I12</f>
        <v>0</v>
      </c>
      <c r="K54" s="682">
        <f>+landbouw!J12</f>
        <v>57.164903283473315</v>
      </c>
      <c r="L54" s="682">
        <f>+landbouw!K12</f>
        <v>0</v>
      </c>
      <c r="M54" s="682">
        <f>+landbouw!L12</f>
        <v>0</v>
      </c>
      <c r="N54" s="682">
        <f>+landbouw!M12</f>
        <v>0</v>
      </c>
      <c r="O54" s="682">
        <f>+landbouw!N12</f>
        <v>0</v>
      </c>
      <c r="P54" s="682">
        <f>+landbouw!O12</f>
        <v>0</v>
      </c>
      <c r="Q54" s="683">
        <f>+landbouw!P12</f>
        <v>0</v>
      </c>
      <c r="R54" s="710">
        <f ca="1">SUM(C54:Q54)</f>
        <v>1619.3677677329458</v>
      </c>
    </row>
    <row r="55" spans="1:18" ht="15" thickBot="1">
      <c r="A55" s="807" t="s">
        <v>833</v>
      </c>
      <c r="B55" s="817"/>
      <c r="C55" s="682">
        <f ca="1">C25*'EF ele_warmte'!B12</f>
        <v>1186.6668904632402</v>
      </c>
      <c r="D55" s="682"/>
      <c r="E55" s="682">
        <f>E25*EF_CO2_aardgas</f>
        <v>6186.6939440966462</v>
      </c>
      <c r="F55" s="682"/>
      <c r="G55" s="682"/>
      <c r="H55" s="682"/>
      <c r="I55" s="682"/>
      <c r="J55" s="682"/>
      <c r="K55" s="682"/>
      <c r="L55" s="682"/>
      <c r="M55" s="682"/>
      <c r="N55" s="682"/>
      <c r="O55" s="682"/>
      <c r="P55" s="682"/>
      <c r="Q55" s="683"/>
      <c r="R55" s="710">
        <f ca="1">SUM(C55:Q55)</f>
        <v>7373.3608345598859</v>
      </c>
    </row>
    <row r="56" spans="1:18" ht="15.75" thickBot="1">
      <c r="A56" s="805" t="s">
        <v>834</v>
      </c>
      <c r="B56" s="818"/>
      <c r="C56" s="711">
        <f ca="1">SUM(C54:C55)</f>
        <v>1418.664619920695</v>
      </c>
      <c r="D56" s="711">
        <f t="shared" ref="D56:Q56" ca="1" si="7">SUM(D54:D55)</f>
        <v>5.0500000000000007</v>
      </c>
      <c r="E56" s="711">
        <f t="shared" si="7"/>
        <v>6519.6026593937804</v>
      </c>
      <c r="F56" s="711">
        <f t="shared" si="7"/>
        <v>3.0715105025685658</v>
      </c>
      <c r="G56" s="711">
        <f t="shared" si="7"/>
        <v>989.17490919231477</v>
      </c>
      <c r="H56" s="711">
        <f t="shared" si="7"/>
        <v>0</v>
      </c>
      <c r="I56" s="711">
        <f t="shared" si="7"/>
        <v>0</v>
      </c>
      <c r="J56" s="711">
        <f t="shared" si="7"/>
        <v>0</v>
      </c>
      <c r="K56" s="711">
        <f t="shared" si="7"/>
        <v>57.164903283473315</v>
      </c>
      <c r="L56" s="711">
        <f t="shared" si="7"/>
        <v>0</v>
      </c>
      <c r="M56" s="711">
        <f t="shared" si="7"/>
        <v>0</v>
      </c>
      <c r="N56" s="711">
        <f t="shared" si="7"/>
        <v>0</v>
      </c>
      <c r="O56" s="711">
        <f t="shared" si="7"/>
        <v>0</v>
      </c>
      <c r="P56" s="711">
        <f t="shared" si="7"/>
        <v>0</v>
      </c>
      <c r="Q56" s="712">
        <f t="shared" si="7"/>
        <v>0</v>
      </c>
      <c r="R56" s="713">
        <f ca="1">SUM(R54:R55)</f>
        <v>8992.7286022928311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117313.6978541618</v>
      </c>
      <c r="D61" s="719">
        <f t="shared" ref="D61:Q61" ca="1" si="8">D46+D52+D56</f>
        <v>5.0500000000000007</v>
      </c>
      <c r="E61" s="719">
        <f t="shared" ca="1" si="8"/>
        <v>199755.49018663276</v>
      </c>
      <c r="F61" s="719">
        <f t="shared" si="8"/>
        <v>4729.1612293814796</v>
      </c>
      <c r="G61" s="719">
        <f t="shared" ca="1" si="8"/>
        <v>62613.250988191983</v>
      </c>
      <c r="H61" s="719">
        <f t="shared" si="8"/>
        <v>145708.39952895101</v>
      </c>
      <c r="I61" s="719">
        <f t="shared" si="8"/>
        <v>22000.987930612799</v>
      </c>
      <c r="J61" s="719">
        <f t="shared" si="8"/>
        <v>0</v>
      </c>
      <c r="K61" s="719">
        <f t="shared" si="8"/>
        <v>1110.4828515478357</v>
      </c>
      <c r="L61" s="719">
        <f t="shared" si="8"/>
        <v>0</v>
      </c>
      <c r="M61" s="719">
        <f t="shared" ca="1" si="8"/>
        <v>0</v>
      </c>
      <c r="N61" s="719">
        <f t="shared" si="8"/>
        <v>0</v>
      </c>
      <c r="O61" s="719">
        <f t="shared" ca="1" si="8"/>
        <v>0</v>
      </c>
      <c r="P61" s="719">
        <f t="shared" si="8"/>
        <v>0</v>
      </c>
      <c r="Q61" s="719">
        <f t="shared" si="8"/>
        <v>0</v>
      </c>
      <c r="R61" s="719">
        <f ca="1">R46+R52+R56</f>
        <v>553236.52056947968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0.21605908545699359</v>
      </c>
      <c r="D63" s="762">
        <f t="shared" ca="1" si="9"/>
        <v>0.22444444444444447</v>
      </c>
      <c r="E63" s="984">
        <f t="shared" ca="1" si="9"/>
        <v>0.20200000000000001</v>
      </c>
      <c r="F63" s="762">
        <f t="shared" si="9"/>
        <v>0.22700000000000001</v>
      </c>
      <c r="G63" s="762">
        <f t="shared" ca="1" si="9"/>
        <v>0.26700000000000002</v>
      </c>
      <c r="H63" s="762">
        <f t="shared" si="9"/>
        <v>0.26700000000000002</v>
      </c>
      <c r="I63" s="762">
        <f t="shared" si="9"/>
        <v>0.24899999999999997</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377.58295964125563</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11761.720524026294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4.5</v>
      </c>
      <c r="D76" s="994">
        <f>'lokale energieproductie'!C8</f>
        <v>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1.01</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12139.303483667549</v>
      </c>
      <c r="C78" s="734">
        <f>SUM(C72:C77)</f>
        <v>4.5</v>
      </c>
      <c r="D78" s="735">
        <f t="shared" ref="D78:H78" si="10">SUM(D76:D77)</f>
        <v>5</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1.01</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22.5</v>
      </c>
      <c r="D87" s="756">
        <f>'lokale energieproductie'!C17</f>
        <v>25</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5.0500000000000007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22.5</v>
      </c>
      <c r="D90" s="734">
        <f t="shared" ref="D90:H90" si="12">SUM(D87:D89)</f>
        <v>25</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5.0500000000000007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117317.22042534911</v>
      </c>
      <c r="C4" s="448">
        <f>huishoudens!C8</f>
        <v>0</v>
      </c>
      <c r="D4" s="448">
        <f>huishoudens!D8</f>
        <v>424718.66344241321</v>
      </c>
      <c r="E4" s="448">
        <f>huishoudens!E8</f>
        <v>4436.3710390530105</v>
      </c>
      <c r="F4" s="448">
        <f>huishoudens!F8</f>
        <v>135954.68781543479</v>
      </c>
      <c r="G4" s="448">
        <f>huishoudens!G8</f>
        <v>0</v>
      </c>
      <c r="H4" s="448">
        <f>huishoudens!H8</f>
        <v>0</v>
      </c>
      <c r="I4" s="448">
        <f>huishoudens!I8</f>
        <v>0</v>
      </c>
      <c r="J4" s="448">
        <f>huishoudens!J8</f>
        <v>2574.7110777321523</v>
      </c>
      <c r="K4" s="448">
        <f>huishoudens!K8</f>
        <v>0</v>
      </c>
      <c r="L4" s="448">
        <f>huishoudens!L8</f>
        <v>0</v>
      </c>
      <c r="M4" s="448">
        <f>huishoudens!M8</f>
        <v>0</v>
      </c>
      <c r="N4" s="448">
        <f>huishoudens!N8</f>
        <v>51739.657879369297</v>
      </c>
      <c r="O4" s="448">
        <f>huishoudens!O8</f>
        <v>348.62333333333333</v>
      </c>
      <c r="P4" s="449">
        <f>huishoudens!P8</f>
        <v>762.66666666666674</v>
      </c>
      <c r="Q4" s="450">
        <f>SUM(B4:P4)</f>
        <v>737852.60167935141</v>
      </c>
    </row>
    <row r="5" spans="1:17">
      <c r="A5" s="447" t="s">
        <v>149</v>
      </c>
      <c r="B5" s="448">
        <f ca="1">tertiair!B16</f>
        <v>208983.72806947454</v>
      </c>
      <c r="C5" s="448">
        <f ca="1">tertiair!C16</f>
        <v>0</v>
      </c>
      <c r="D5" s="448">
        <f ca="1">tertiair!D16</f>
        <v>243009.75939423556</v>
      </c>
      <c r="E5" s="448">
        <f>tertiair!E16</f>
        <v>2034.1227777089944</v>
      </c>
      <c r="F5" s="448">
        <f ca="1">tertiair!F16</f>
        <v>39122.045793986268</v>
      </c>
      <c r="G5" s="448">
        <f>tertiair!G16</f>
        <v>0</v>
      </c>
      <c r="H5" s="448">
        <f>tertiair!H16</f>
        <v>0</v>
      </c>
      <c r="I5" s="448">
        <f>tertiair!I16</f>
        <v>0</v>
      </c>
      <c r="J5" s="448">
        <f>tertiair!J16</f>
        <v>0</v>
      </c>
      <c r="K5" s="448">
        <f>tertiair!K16</f>
        <v>0</v>
      </c>
      <c r="L5" s="448">
        <f ca="1">tertiair!L16</f>
        <v>0</v>
      </c>
      <c r="M5" s="448">
        <f>tertiair!M16</f>
        <v>0</v>
      </c>
      <c r="N5" s="448">
        <f ca="1">tertiair!N16</f>
        <v>13199.980393335982</v>
      </c>
      <c r="O5" s="448">
        <f>tertiair!O16</f>
        <v>3.1266666666666669</v>
      </c>
      <c r="P5" s="449">
        <f>tertiair!P16</f>
        <v>152.53333333333333</v>
      </c>
      <c r="Q5" s="447">
        <f t="shared" ref="Q5:Q14" ca="1" si="0">SUM(B5:P5)</f>
        <v>506505.29642874131</v>
      </c>
    </row>
    <row r="6" spans="1:17">
      <c r="A6" s="447" t="s">
        <v>187</v>
      </c>
      <c r="B6" s="448">
        <f>'openbare verlichting'!B8</f>
        <v>4309.0150000000003</v>
      </c>
      <c r="C6" s="448"/>
      <c r="D6" s="448"/>
      <c r="E6" s="448"/>
      <c r="F6" s="448"/>
      <c r="G6" s="448"/>
      <c r="H6" s="448"/>
      <c r="I6" s="448"/>
      <c r="J6" s="448"/>
      <c r="K6" s="448"/>
      <c r="L6" s="448"/>
      <c r="M6" s="448"/>
      <c r="N6" s="448"/>
      <c r="O6" s="448"/>
      <c r="P6" s="449"/>
      <c r="Q6" s="447">
        <f t="shared" si="0"/>
        <v>4309.0150000000003</v>
      </c>
    </row>
    <row r="7" spans="1:17">
      <c r="A7" s="447" t="s">
        <v>105</v>
      </c>
      <c r="B7" s="448">
        <f>landbouw!B8</f>
        <v>1073.7698392398031</v>
      </c>
      <c r="C7" s="448">
        <f>landbouw!C8</f>
        <v>22.5</v>
      </c>
      <c r="D7" s="448">
        <f>landbouw!D8</f>
        <v>1648.062947015517</v>
      </c>
      <c r="E7" s="448">
        <f>landbouw!E8</f>
        <v>13.530883271227163</v>
      </c>
      <c r="F7" s="448">
        <f>landbouw!F8</f>
        <v>3704.774940795186</v>
      </c>
      <c r="G7" s="448">
        <f>landbouw!G8</f>
        <v>0</v>
      </c>
      <c r="H7" s="448">
        <f>landbouw!H8</f>
        <v>0</v>
      </c>
      <c r="I7" s="448">
        <f>landbouw!I8</f>
        <v>0</v>
      </c>
      <c r="J7" s="448">
        <f>landbouw!J8</f>
        <v>161.48277763693028</v>
      </c>
      <c r="K7" s="448">
        <f>landbouw!K8</f>
        <v>0</v>
      </c>
      <c r="L7" s="448">
        <f>landbouw!L8</f>
        <v>0</v>
      </c>
      <c r="M7" s="448">
        <f>landbouw!M8</f>
        <v>0</v>
      </c>
      <c r="N7" s="448">
        <f>landbouw!N8</f>
        <v>0</v>
      </c>
      <c r="O7" s="448">
        <f>landbouw!O8</f>
        <v>0</v>
      </c>
      <c r="P7" s="449">
        <f>landbouw!P8</f>
        <v>0</v>
      </c>
      <c r="Q7" s="447">
        <f t="shared" si="0"/>
        <v>6624.1213879586639</v>
      </c>
    </row>
    <row r="8" spans="1:17">
      <c r="A8" s="447" t="s">
        <v>639</v>
      </c>
      <c r="B8" s="448">
        <f>industrie!B18</f>
        <v>205682.36515352674</v>
      </c>
      <c r="C8" s="448">
        <f>industrie!C18</f>
        <v>0</v>
      </c>
      <c r="D8" s="448">
        <f>industrie!D18</f>
        <v>288834.6238207767</v>
      </c>
      <c r="E8" s="448">
        <f>industrie!E18</f>
        <v>12370.881779504702</v>
      </c>
      <c r="F8" s="448">
        <f>industrie!F18</f>
        <v>55725.049457993431</v>
      </c>
      <c r="G8" s="448">
        <f>industrie!G18</f>
        <v>0</v>
      </c>
      <c r="H8" s="448">
        <f>industrie!H18</f>
        <v>0</v>
      </c>
      <c r="I8" s="448">
        <f>industrie!I18</f>
        <v>0</v>
      </c>
      <c r="J8" s="448">
        <f>industrie!J18</f>
        <v>400.76335239316569</v>
      </c>
      <c r="K8" s="448">
        <f>industrie!K18</f>
        <v>0</v>
      </c>
      <c r="L8" s="448">
        <f>industrie!L18</f>
        <v>0</v>
      </c>
      <c r="M8" s="448">
        <f>industrie!M18</f>
        <v>0</v>
      </c>
      <c r="N8" s="448">
        <f>industrie!N18</f>
        <v>10639.979973314126</v>
      </c>
      <c r="O8" s="448">
        <f>industrie!O18</f>
        <v>0</v>
      </c>
      <c r="P8" s="449">
        <f>industrie!P18</f>
        <v>0</v>
      </c>
      <c r="Q8" s="447">
        <f t="shared" si="0"/>
        <v>573653.66353750892</v>
      </c>
    </row>
    <row r="9" spans="1:17" s="453" customFormat="1">
      <c r="A9" s="451" t="s">
        <v>557</v>
      </c>
      <c r="B9" s="452">
        <f>transport!B14</f>
        <v>55.896327745541612</v>
      </c>
      <c r="C9" s="452">
        <f>transport!C14</f>
        <v>0</v>
      </c>
      <c r="D9" s="452">
        <f>transport!D14</f>
        <v>50.257932866502287</v>
      </c>
      <c r="E9" s="452">
        <f>transport!E14</f>
        <v>1978.4029009972166</v>
      </c>
      <c r="F9" s="452">
        <f>transport!F14</f>
        <v>0</v>
      </c>
      <c r="G9" s="452">
        <f>transport!G14</f>
        <v>534799.98051966191</v>
      </c>
      <c r="H9" s="452">
        <f>transport!H14</f>
        <v>88357.381247440964</v>
      </c>
      <c r="I9" s="452">
        <f>transport!I14</f>
        <v>0</v>
      </c>
      <c r="J9" s="452">
        <f>transport!J14</f>
        <v>0</v>
      </c>
      <c r="K9" s="452">
        <f>transport!K14</f>
        <v>0</v>
      </c>
      <c r="L9" s="452">
        <f>transport!L14</f>
        <v>0</v>
      </c>
      <c r="M9" s="452">
        <f>transport!M14</f>
        <v>28174.490156704218</v>
      </c>
      <c r="N9" s="452">
        <f>transport!N14</f>
        <v>0</v>
      </c>
      <c r="O9" s="452">
        <f>transport!O14</f>
        <v>0</v>
      </c>
      <c r="P9" s="452">
        <f>transport!P14</f>
        <v>0</v>
      </c>
      <c r="Q9" s="451">
        <f>SUM(B9:P9)</f>
        <v>653416.40908541635</v>
      </c>
    </row>
    <row r="10" spans="1:17">
      <c r="A10" s="447" t="s">
        <v>547</v>
      </c>
      <c r="B10" s="448">
        <f>transport!B54</f>
        <v>56.124737352803365</v>
      </c>
      <c r="C10" s="448">
        <f>transport!C54</f>
        <v>0</v>
      </c>
      <c r="D10" s="448">
        <f>transport!D54</f>
        <v>0</v>
      </c>
      <c r="E10" s="448">
        <f>transport!E54</f>
        <v>0</v>
      </c>
      <c r="F10" s="448">
        <f>transport!F54</f>
        <v>0</v>
      </c>
      <c r="G10" s="448">
        <f>transport!G54</f>
        <v>10924.362285397947</v>
      </c>
      <c r="H10" s="448">
        <f>transport!H54</f>
        <v>0</v>
      </c>
      <c r="I10" s="448">
        <f>transport!I54</f>
        <v>0</v>
      </c>
      <c r="J10" s="448">
        <f>transport!J54</f>
        <v>0</v>
      </c>
      <c r="K10" s="448">
        <f>transport!K54</f>
        <v>0</v>
      </c>
      <c r="L10" s="448">
        <f>transport!L54</f>
        <v>0</v>
      </c>
      <c r="M10" s="448">
        <f>transport!M54</f>
        <v>489.85758407247943</v>
      </c>
      <c r="N10" s="448">
        <f>transport!N54</f>
        <v>0</v>
      </c>
      <c r="O10" s="448">
        <f>transport!O54</f>
        <v>0</v>
      </c>
      <c r="P10" s="449">
        <f>transport!P54</f>
        <v>0</v>
      </c>
      <c r="Q10" s="447">
        <f t="shared" si="0"/>
        <v>11470.34460682323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5492.3258050143195</v>
      </c>
      <c r="C14" s="455"/>
      <c r="D14" s="455">
        <f>'SEAP template'!E25</f>
        <v>30627.1977430527</v>
      </c>
      <c r="E14" s="455"/>
      <c r="F14" s="455"/>
      <c r="G14" s="455"/>
      <c r="H14" s="455"/>
      <c r="I14" s="455"/>
      <c r="J14" s="455"/>
      <c r="K14" s="455"/>
      <c r="L14" s="455"/>
      <c r="M14" s="455"/>
      <c r="N14" s="455"/>
      <c r="O14" s="455"/>
      <c r="P14" s="456"/>
      <c r="Q14" s="447">
        <f t="shared" si="0"/>
        <v>36119.523548067024</v>
      </c>
    </row>
    <row r="15" spans="1:17" s="460" customFormat="1">
      <c r="A15" s="457" t="s">
        <v>551</v>
      </c>
      <c r="B15" s="458">
        <f ca="1">SUM(B4:B14)</f>
        <v>542970.44535770291</v>
      </c>
      <c r="C15" s="458">
        <f t="shared" ref="C15:Q15" ca="1" si="1">SUM(C4:C14)</f>
        <v>22.5</v>
      </c>
      <c r="D15" s="458">
        <f t="shared" ca="1" si="1"/>
        <v>988888.56528036017</v>
      </c>
      <c r="E15" s="458">
        <f t="shared" si="1"/>
        <v>20833.309380535153</v>
      </c>
      <c r="F15" s="458">
        <f t="shared" ca="1" si="1"/>
        <v>234506.55800820969</v>
      </c>
      <c r="G15" s="458">
        <f t="shared" si="1"/>
        <v>545724.34280505986</v>
      </c>
      <c r="H15" s="458">
        <f t="shared" si="1"/>
        <v>88357.381247440964</v>
      </c>
      <c r="I15" s="458">
        <f t="shared" si="1"/>
        <v>0</v>
      </c>
      <c r="J15" s="458">
        <f t="shared" si="1"/>
        <v>3136.9572077622483</v>
      </c>
      <c r="K15" s="458">
        <f t="shared" si="1"/>
        <v>0</v>
      </c>
      <c r="L15" s="458">
        <f t="shared" ca="1" si="1"/>
        <v>0</v>
      </c>
      <c r="M15" s="458">
        <f t="shared" si="1"/>
        <v>28664.347740776699</v>
      </c>
      <c r="N15" s="458">
        <f t="shared" ca="1" si="1"/>
        <v>75579.61824601941</v>
      </c>
      <c r="O15" s="458">
        <f t="shared" si="1"/>
        <v>351.75</v>
      </c>
      <c r="P15" s="458">
        <f t="shared" si="1"/>
        <v>915.2</v>
      </c>
      <c r="Q15" s="458">
        <f t="shared" ca="1" si="1"/>
        <v>2529950.9752738667</v>
      </c>
    </row>
    <row r="17" spans="1:17">
      <c r="A17" s="461" t="s">
        <v>552</v>
      </c>
      <c r="B17" s="767">
        <f ca="1">huishoudens!B10</f>
        <v>0.21605908545699362</v>
      </c>
      <c r="C17" s="767">
        <f ca="1">huishoudens!C10</f>
        <v>0.22444444444444447</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25347.451353457462</v>
      </c>
      <c r="C22" s="448">
        <f t="shared" ref="C22:C32" ca="1" si="3">C4*$C$17</f>
        <v>0</v>
      </c>
      <c r="D22" s="448">
        <f t="shared" ref="D22:D32" si="4">D4*$D$17</f>
        <v>85793.170015367476</v>
      </c>
      <c r="E22" s="448">
        <f t="shared" ref="E22:E32" si="5">E4*$E$17</f>
        <v>1007.0562258650334</v>
      </c>
      <c r="F22" s="448">
        <f t="shared" ref="F22:F32" si="6">F4*$F$17</f>
        <v>36299.901646721089</v>
      </c>
      <c r="G22" s="448">
        <f t="shared" ref="G22:G32" si="7">G4*$G$17</f>
        <v>0</v>
      </c>
      <c r="H22" s="448">
        <f t="shared" ref="H22:H32" si="8">H4*$H$17</f>
        <v>0</v>
      </c>
      <c r="I22" s="448">
        <f t="shared" ref="I22:I32" si="9">I4*$I$17</f>
        <v>0</v>
      </c>
      <c r="J22" s="448">
        <f t="shared" ref="J22:J32" si="10">J4*$J$17</f>
        <v>911.44772151718189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149359.02696292824</v>
      </c>
    </row>
    <row r="23" spans="1:17">
      <c r="A23" s="447" t="s">
        <v>149</v>
      </c>
      <c r="B23" s="448">
        <f t="shared" ca="1" si="2"/>
        <v>45152.83316208372</v>
      </c>
      <c r="C23" s="448">
        <f t="shared" ca="1" si="3"/>
        <v>0</v>
      </c>
      <c r="D23" s="448">
        <f t="shared" ca="1" si="4"/>
        <v>49087.971397635585</v>
      </c>
      <c r="E23" s="448">
        <f t="shared" si="5"/>
        <v>461.74587053994173</v>
      </c>
      <c r="F23" s="448">
        <f t="shared" ca="1" si="6"/>
        <v>10445.586226994334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105148.13665725359</v>
      </c>
    </row>
    <row r="24" spans="1:17">
      <c r="A24" s="447" t="s">
        <v>187</v>
      </c>
      <c r="B24" s="448">
        <f t="shared" ca="1" si="2"/>
        <v>931.00184012046748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931.00184012046748</v>
      </c>
    </row>
    <row r="25" spans="1:17">
      <c r="A25" s="447" t="s">
        <v>105</v>
      </c>
      <c r="B25" s="448">
        <f t="shared" ca="1" si="2"/>
        <v>231.99772945745491</v>
      </c>
      <c r="C25" s="448">
        <f t="shared" ca="1" si="3"/>
        <v>5.0500000000000007</v>
      </c>
      <c r="D25" s="448">
        <f t="shared" si="4"/>
        <v>332.90871529713445</v>
      </c>
      <c r="E25" s="448">
        <f t="shared" si="5"/>
        <v>3.0715105025685658</v>
      </c>
      <c r="F25" s="448">
        <f t="shared" si="6"/>
        <v>989.17490919231477</v>
      </c>
      <c r="G25" s="448">
        <f t="shared" si="7"/>
        <v>0</v>
      </c>
      <c r="H25" s="448">
        <f t="shared" si="8"/>
        <v>0</v>
      </c>
      <c r="I25" s="448">
        <f t="shared" si="9"/>
        <v>0</v>
      </c>
      <c r="J25" s="448">
        <f t="shared" si="10"/>
        <v>57.164903283473315</v>
      </c>
      <c r="K25" s="448">
        <f t="shared" si="11"/>
        <v>0</v>
      </c>
      <c r="L25" s="448">
        <f t="shared" si="12"/>
        <v>0</v>
      </c>
      <c r="M25" s="448">
        <f t="shared" si="13"/>
        <v>0</v>
      </c>
      <c r="N25" s="448">
        <f t="shared" si="14"/>
        <v>0</v>
      </c>
      <c r="O25" s="448">
        <f t="shared" si="15"/>
        <v>0</v>
      </c>
      <c r="P25" s="449">
        <f t="shared" si="16"/>
        <v>0</v>
      </c>
      <c r="Q25" s="447">
        <f t="shared" ca="1" si="17"/>
        <v>1619.3677677329458</v>
      </c>
    </row>
    <row r="26" spans="1:17">
      <c r="A26" s="447" t="s">
        <v>639</v>
      </c>
      <c r="B26" s="448">
        <f t="shared" ca="1" si="2"/>
        <v>44439.543709702404</v>
      </c>
      <c r="C26" s="448">
        <f t="shared" ca="1" si="3"/>
        <v>0</v>
      </c>
      <c r="D26" s="448">
        <f t="shared" si="4"/>
        <v>58344.5940117969</v>
      </c>
      <c r="E26" s="448">
        <f t="shared" si="5"/>
        <v>2808.1901639475673</v>
      </c>
      <c r="F26" s="448">
        <f t="shared" si="6"/>
        <v>14878.588205284246</v>
      </c>
      <c r="G26" s="448">
        <f t="shared" si="7"/>
        <v>0</v>
      </c>
      <c r="H26" s="448">
        <f t="shared" si="8"/>
        <v>0</v>
      </c>
      <c r="I26" s="448">
        <f t="shared" si="9"/>
        <v>0</v>
      </c>
      <c r="J26" s="448">
        <f t="shared" si="10"/>
        <v>141.87022674718065</v>
      </c>
      <c r="K26" s="448">
        <f t="shared" si="11"/>
        <v>0</v>
      </c>
      <c r="L26" s="448">
        <f t="shared" si="12"/>
        <v>0</v>
      </c>
      <c r="M26" s="448">
        <f t="shared" si="13"/>
        <v>0</v>
      </c>
      <c r="N26" s="448">
        <f t="shared" si="14"/>
        <v>0</v>
      </c>
      <c r="O26" s="448">
        <f t="shared" si="15"/>
        <v>0</v>
      </c>
      <c r="P26" s="449">
        <f t="shared" si="16"/>
        <v>0</v>
      </c>
      <c r="Q26" s="447">
        <f t="shared" ca="1" si="17"/>
        <v>120612.78631747831</v>
      </c>
    </row>
    <row r="27" spans="1:17" s="453" customFormat="1">
      <c r="A27" s="451" t="s">
        <v>557</v>
      </c>
      <c r="B27" s="761">
        <f t="shared" ca="1" si="2"/>
        <v>12.076909453106099</v>
      </c>
      <c r="C27" s="452">
        <f t="shared" ca="1" si="3"/>
        <v>0</v>
      </c>
      <c r="D27" s="452">
        <f t="shared" si="4"/>
        <v>10.152102439033463</v>
      </c>
      <c r="E27" s="452">
        <f t="shared" si="5"/>
        <v>449.0974585263682</v>
      </c>
      <c r="F27" s="452">
        <f t="shared" si="6"/>
        <v>0</v>
      </c>
      <c r="G27" s="452">
        <f t="shared" si="7"/>
        <v>142791.59479874975</v>
      </c>
      <c r="H27" s="452">
        <f t="shared" si="8"/>
        <v>22000.987930612799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165263.90919978108</v>
      </c>
    </row>
    <row r="28" spans="1:17">
      <c r="A28" s="447" t="s">
        <v>547</v>
      </c>
      <c r="B28" s="448">
        <f t="shared" ca="1" si="2"/>
        <v>12.126259423960665</v>
      </c>
      <c r="C28" s="448">
        <f t="shared" ca="1" si="3"/>
        <v>0</v>
      </c>
      <c r="D28" s="448">
        <f t="shared" si="4"/>
        <v>0</v>
      </c>
      <c r="E28" s="448">
        <f t="shared" si="5"/>
        <v>0</v>
      </c>
      <c r="F28" s="448">
        <f t="shared" si="6"/>
        <v>0</v>
      </c>
      <c r="G28" s="448">
        <f t="shared" si="7"/>
        <v>2916.8047302012519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2928.9309896252125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1186.6668904632402</v>
      </c>
      <c r="C32" s="448">
        <f t="shared" ca="1" si="3"/>
        <v>0</v>
      </c>
      <c r="D32" s="448">
        <f t="shared" si="4"/>
        <v>6186.6939440966462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7373.3608345598859</v>
      </c>
    </row>
    <row r="33" spans="1:17" s="460" customFormat="1">
      <c r="A33" s="457" t="s">
        <v>551</v>
      </c>
      <c r="B33" s="458">
        <f ca="1">SUM(B22:B32)</f>
        <v>117313.69785416182</v>
      </c>
      <c r="C33" s="458">
        <f t="shared" ref="C33:Q33" ca="1" si="18">SUM(C22:C32)</f>
        <v>5.0500000000000007</v>
      </c>
      <c r="D33" s="458">
        <f t="shared" ca="1" si="18"/>
        <v>199755.49018663279</v>
      </c>
      <c r="E33" s="458">
        <f t="shared" si="18"/>
        <v>4729.1612293814796</v>
      </c>
      <c r="F33" s="458">
        <f t="shared" ca="1" si="18"/>
        <v>62613.250988191983</v>
      </c>
      <c r="G33" s="458">
        <f t="shared" si="18"/>
        <v>145708.39952895101</v>
      </c>
      <c r="H33" s="458">
        <f t="shared" si="18"/>
        <v>22000.987930612799</v>
      </c>
      <c r="I33" s="458">
        <f t="shared" si="18"/>
        <v>0</v>
      </c>
      <c r="J33" s="458">
        <f t="shared" si="18"/>
        <v>1110.4828515478359</v>
      </c>
      <c r="K33" s="458">
        <f t="shared" si="18"/>
        <v>0</v>
      </c>
      <c r="L33" s="458">
        <f t="shared" ca="1" si="18"/>
        <v>0</v>
      </c>
      <c r="M33" s="458">
        <f t="shared" si="18"/>
        <v>0</v>
      </c>
      <c r="N33" s="458">
        <f t="shared" ca="1" si="18"/>
        <v>0</v>
      </c>
      <c r="O33" s="458">
        <f t="shared" si="18"/>
        <v>0</v>
      </c>
      <c r="P33" s="458">
        <f t="shared" si="18"/>
        <v>0</v>
      </c>
      <c r="Q33" s="458">
        <f t="shared" ca="1" si="18"/>
        <v>553236.52056947979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377.58295964125563</v>
      </c>
      <c r="C5" s="1020"/>
      <c r="D5" s="1020"/>
      <c r="E5" s="1020"/>
      <c r="F5" s="1020"/>
      <c r="G5" s="1020"/>
      <c r="H5" s="1020"/>
      <c r="I5" s="1020"/>
      <c r="J5" s="1020"/>
      <c r="K5" s="1020"/>
      <c r="L5" s="1020"/>
      <c r="M5" s="1020"/>
      <c r="N5" s="1020"/>
      <c r="O5" s="1020"/>
      <c r="P5" s="1021">
        <f>'SEAP template'!Q73</f>
        <v>0</v>
      </c>
    </row>
    <row r="6" spans="1:16">
      <c r="A6" s="1022" t="s">
        <v>240</v>
      </c>
      <c r="B6" s="1020">
        <f>'SEAP template'!B74</f>
        <v>11761.720524026294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4.5</v>
      </c>
      <c r="D8" s="1020">
        <f>'SEAP template'!D76</f>
        <v>5</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1.01</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12139.303483667549</v>
      </c>
      <c r="C10" s="1024">
        <f>SUM(C4:C9)</f>
        <v>4.5</v>
      </c>
      <c r="D10" s="1024">
        <f t="shared" ref="D10:H10" si="0">SUM(D8:D9)</f>
        <v>5</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1.01</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0.21605908545699362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22.5</v>
      </c>
      <c r="D17" s="1021">
        <f>'SEAP template'!D87</f>
        <v>25</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5.0500000000000007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22.5</v>
      </c>
      <c r="D20" s="1024">
        <f t="shared" ref="D20:H20" si="2">SUM(D17:D19)</f>
        <v>25</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5.0500000000000007</v>
      </c>
    </row>
    <row r="22" spans="1:16">
      <c r="A22" s="461" t="s">
        <v>856</v>
      </c>
      <c r="B22" s="767" t="s">
        <v>850</v>
      </c>
      <c r="C22" s="76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0.21605908545699362</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0.21605908545699362</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0.21605908545699362</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34930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1896</v>
      </c>
      <c r="C14" s="327"/>
      <c r="D14" s="327"/>
      <c r="E14" s="327"/>
      <c r="F14" s="327"/>
    </row>
    <row r="15" spans="1:6">
      <c r="A15" s="1296" t="s">
        <v>177</v>
      </c>
      <c r="B15" s="1297">
        <v>6</v>
      </c>
      <c r="C15" s="327"/>
      <c r="D15" s="327"/>
      <c r="E15" s="327"/>
      <c r="F15" s="327"/>
    </row>
    <row r="16" spans="1:6">
      <c r="A16" s="1296" t="s">
        <v>6</v>
      </c>
      <c r="B16" s="1297">
        <v>253</v>
      </c>
      <c r="C16" s="327"/>
      <c r="D16" s="327"/>
      <c r="E16" s="327"/>
      <c r="F16" s="327"/>
    </row>
    <row r="17" spans="1:6">
      <c r="A17" s="1296" t="s">
        <v>7</v>
      </c>
      <c r="B17" s="1297">
        <v>242</v>
      </c>
      <c r="C17" s="327"/>
      <c r="D17" s="327"/>
      <c r="E17" s="327"/>
      <c r="F17" s="327"/>
    </row>
    <row r="18" spans="1:6">
      <c r="A18" s="1296" t="s">
        <v>8</v>
      </c>
      <c r="B18" s="1297">
        <v>401</v>
      </c>
      <c r="C18" s="327"/>
      <c r="D18" s="327"/>
      <c r="E18" s="327"/>
      <c r="F18" s="327"/>
    </row>
    <row r="19" spans="1:6">
      <c r="A19" s="1296" t="s">
        <v>9</v>
      </c>
      <c r="B19" s="1297">
        <v>365</v>
      </c>
      <c r="C19" s="327"/>
      <c r="D19" s="327"/>
      <c r="E19" s="327"/>
      <c r="F19" s="327"/>
    </row>
    <row r="20" spans="1:6">
      <c r="A20" s="1296" t="s">
        <v>10</v>
      </c>
      <c r="B20" s="1297">
        <v>458</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227</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291</v>
      </c>
      <c r="C29" s="327"/>
      <c r="D29" s="327"/>
      <c r="E29" s="327"/>
      <c r="F29" s="327"/>
    </row>
    <row r="30" spans="1:6">
      <c r="A30" s="1291" t="s">
        <v>923</v>
      </c>
      <c r="B30" s="1299">
        <v>115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18</v>
      </c>
      <c r="D36" s="1297">
        <v>5033316.5740756802</v>
      </c>
      <c r="E36" s="1297">
        <v>22</v>
      </c>
      <c r="F36" s="1297">
        <v>1851673.65301891</v>
      </c>
    </row>
    <row r="37" spans="1:6">
      <c r="A37" s="1296" t="s">
        <v>24</v>
      </c>
      <c r="B37" s="1296" t="s">
        <v>27</v>
      </c>
      <c r="C37" s="1297">
        <v>0</v>
      </c>
      <c r="D37" s="1297">
        <v>0</v>
      </c>
      <c r="E37" s="1297">
        <v>0</v>
      </c>
      <c r="F37" s="1297">
        <v>0</v>
      </c>
    </row>
    <row r="38" spans="1:6">
      <c r="A38" s="1296" t="s">
        <v>24</v>
      </c>
      <c r="B38" s="1296" t="s">
        <v>28</v>
      </c>
      <c r="C38" s="1297">
        <v>0</v>
      </c>
      <c r="D38" s="1297">
        <v>0</v>
      </c>
      <c r="E38" s="1297">
        <v>6</v>
      </c>
      <c r="F38" s="1297">
        <v>101322.088360594</v>
      </c>
    </row>
    <row r="39" spans="1:6">
      <c r="A39" s="1296" t="s">
        <v>29</v>
      </c>
      <c r="B39" s="1296" t="s">
        <v>30</v>
      </c>
      <c r="C39" s="1297">
        <v>28594</v>
      </c>
      <c r="D39" s="1297">
        <v>470863263.23992598</v>
      </c>
      <c r="E39" s="1297">
        <v>35649</v>
      </c>
      <c r="F39" s="1297">
        <v>111371153.396617</v>
      </c>
    </row>
    <row r="40" spans="1:6">
      <c r="A40" s="1296" t="s">
        <v>29</v>
      </c>
      <c r="B40" s="1296" t="s">
        <v>28</v>
      </c>
      <c r="C40" s="1297">
        <v>0</v>
      </c>
      <c r="D40" s="1297">
        <v>0</v>
      </c>
      <c r="E40" s="1297">
        <v>0</v>
      </c>
      <c r="F40" s="1297">
        <v>0</v>
      </c>
    </row>
    <row r="41" spans="1:6">
      <c r="A41" s="1296" t="s">
        <v>31</v>
      </c>
      <c r="B41" s="1296" t="s">
        <v>32</v>
      </c>
      <c r="C41" s="1297">
        <v>225</v>
      </c>
      <c r="D41" s="1297">
        <v>9409265.7576193009</v>
      </c>
      <c r="E41" s="1297">
        <v>450</v>
      </c>
      <c r="F41" s="1297">
        <v>9023564.52964711</v>
      </c>
    </row>
    <row r="42" spans="1:6">
      <c r="A42" s="1296" t="s">
        <v>31</v>
      </c>
      <c r="B42" s="1296" t="s">
        <v>33</v>
      </c>
      <c r="C42" s="1297">
        <v>3</v>
      </c>
      <c r="D42" s="1297">
        <v>42487584.715329297</v>
      </c>
      <c r="E42" s="1297">
        <v>0</v>
      </c>
      <c r="F42" s="1297">
        <v>0</v>
      </c>
    </row>
    <row r="43" spans="1:6">
      <c r="A43" s="1296" t="s">
        <v>31</v>
      </c>
      <c r="B43" s="1296" t="s">
        <v>34</v>
      </c>
      <c r="C43" s="1297">
        <v>0</v>
      </c>
      <c r="D43" s="1297">
        <v>0</v>
      </c>
      <c r="E43" s="1297">
        <v>0</v>
      </c>
      <c r="F43" s="1297">
        <v>0</v>
      </c>
    </row>
    <row r="44" spans="1:6">
      <c r="A44" s="1296" t="s">
        <v>31</v>
      </c>
      <c r="B44" s="1296" t="s">
        <v>35</v>
      </c>
      <c r="C44" s="1297">
        <v>14</v>
      </c>
      <c r="D44" s="1297">
        <v>14802680.7868657</v>
      </c>
      <c r="E44" s="1297">
        <v>52</v>
      </c>
      <c r="F44" s="1297">
        <v>32618105.8501091</v>
      </c>
    </row>
    <row r="45" spans="1:6">
      <c r="A45" s="1296" t="s">
        <v>31</v>
      </c>
      <c r="B45" s="1296" t="s">
        <v>36</v>
      </c>
      <c r="C45" s="1297">
        <v>0</v>
      </c>
      <c r="D45" s="1297">
        <v>0</v>
      </c>
      <c r="E45" s="1297">
        <v>7</v>
      </c>
      <c r="F45" s="1297">
        <v>129997.67546376299</v>
      </c>
    </row>
    <row r="46" spans="1:6">
      <c r="A46" s="1296" t="s">
        <v>31</v>
      </c>
      <c r="B46" s="1296" t="s">
        <v>37</v>
      </c>
      <c r="C46" s="1297">
        <v>0</v>
      </c>
      <c r="D46" s="1297">
        <v>0</v>
      </c>
      <c r="E46" s="1297">
        <v>0</v>
      </c>
      <c r="F46" s="1297">
        <v>0</v>
      </c>
    </row>
    <row r="47" spans="1:6">
      <c r="A47" s="1296" t="s">
        <v>31</v>
      </c>
      <c r="B47" s="1296" t="s">
        <v>38</v>
      </c>
      <c r="C47" s="1297">
        <v>22</v>
      </c>
      <c r="D47" s="1297">
        <v>6312057.0541136004</v>
      </c>
      <c r="E47" s="1297">
        <v>34</v>
      </c>
      <c r="F47" s="1297">
        <v>4948019.2561461003</v>
      </c>
    </row>
    <row r="48" spans="1:6">
      <c r="A48" s="1296" t="s">
        <v>31</v>
      </c>
      <c r="B48" s="1296" t="s">
        <v>28</v>
      </c>
      <c r="C48" s="1297">
        <v>96</v>
      </c>
      <c r="D48" s="1297">
        <v>244041787.717641</v>
      </c>
      <c r="E48" s="1297">
        <v>108</v>
      </c>
      <c r="F48" s="1297">
        <v>156067477.49201</v>
      </c>
    </row>
    <row r="49" spans="1:6">
      <c r="A49" s="1296" t="s">
        <v>31</v>
      </c>
      <c r="B49" s="1296" t="s">
        <v>39</v>
      </c>
      <c r="C49" s="1297">
        <v>3</v>
      </c>
      <c r="D49" s="1297">
        <v>96996.141113299993</v>
      </c>
      <c r="E49" s="1297">
        <v>4</v>
      </c>
      <c r="F49" s="1297">
        <v>51610.872896671703</v>
      </c>
    </row>
    <row r="50" spans="1:6">
      <c r="A50" s="1296" t="s">
        <v>31</v>
      </c>
      <c r="B50" s="1296" t="s">
        <v>40</v>
      </c>
      <c r="C50" s="1297">
        <v>35</v>
      </c>
      <c r="D50" s="1297">
        <v>3065397.0299527599</v>
      </c>
      <c r="E50" s="1297">
        <v>71</v>
      </c>
      <c r="F50" s="1297">
        <v>2843589.4772540201</v>
      </c>
    </row>
    <row r="51" spans="1:6">
      <c r="A51" s="1296" t="s">
        <v>41</v>
      </c>
      <c r="B51" s="1296" t="s">
        <v>42</v>
      </c>
      <c r="C51" s="1297">
        <v>8</v>
      </c>
      <c r="D51" s="1297">
        <v>222966.44248257601</v>
      </c>
      <c r="E51" s="1297">
        <v>83</v>
      </c>
      <c r="F51" s="1297">
        <v>764465.42832807102</v>
      </c>
    </row>
    <row r="52" spans="1:6">
      <c r="A52" s="1296" t="s">
        <v>41</v>
      </c>
      <c r="B52" s="1296" t="s">
        <v>28</v>
      </c>
      <c r="C52" s="1297">
        <v>13</v>
      </c>
      <c r="D52" s="1297">
        <v>1637413.7648517</v>
      </c>
      <c r="E52" s="1297">
        <v>17</v>
      </c>
      <c r="F52" s="1297">
        <v>309304.410911732</v>
      </c>
    </row>
    <row r="53" spans="1:6">
      <c r="A53" s="1296" t="s">
        <v>43</v>
      </c>
      <c r="B53" s="1296" t="s">
        <v>44</v>
      </c>
      <c r="C53" s="1297">
        <v>828</v>
      </c>
      <c r="D53" s="1297">
        <v>30627197.743052699</v>
      </c>
      <c r="E53" s="1297">
        <v>1395</v>
      </c>
      <c r="F53" s="1297">
        <v>5492325.8050143197</v>
      </c>
    </row>
    <row r="54" spans="1:6">
      <c r="A54" s="1296" t="s">
        <v>45</v>
      </c>
      <c r="B54" s="1296" t="s">
        <v>46</v>
      </c>
      <c r="C54" s="1297">
        <v>0</v>
      </c>
      <c r="D54" s="1297">
        <v>0</v>
      </c>
      <c r="E54" s="1297">
        <v>1</v>
      </c>
      <c r="F54" s="1297">
        <v>4309015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328</v>
      </c>
      <c r="D57" s="1297">
        <v>34857977.374723703</v>
      </c>
      <c r="E57" s="1297">
        <v>600</v>
      </c>
      <c r="F57" s="1297">
        <v>16887047.069656398</v>
      </c>
    </row>
    <row r="58" spans="1:6">
      <c r="A58" s="1296" t="s">
        <v>48</v>
      </c>
      <c r="B58" s="1296" t="s">
        <v>50</v>
      </c>
      <c r="C58" s="1297">
        <v>210</v>
      </c>
      <c r="D58" s="1297">
        <v>25622464.186336301</v>
      </c>
      <c r="E58" s="1297">
        <v>296</v>
      </c>
      <c r="F58" s="1297">
        <v>10551974.817753101</v>
      </c>
    </row>
    <row r="59" spans="1:6">
      <c r="A59" s="1296" t="s">
        <v>48</v>
      </c>
      <c r="B59" s="1296" t="s">
        <v>51</v>
      </c>
      <c r="C59" s="1297">
        <v>690</v>
      </c>
      <c r="D59" s="1297">
        <v>42337936.864706501</v>
      </c>
      <c r="E59" s="1297">
        <v>1085</v>
      </c>
      <c r="F59" s="1297">
        <v>43274947.812341802</v>
      </c>
    </row>
    <row r="60" spans="1:6">
      <c r="A60" s="1296" t="s">
        <v>48</v>
      </c>
      <c r="B60" s="1296" t="s">
        <v>52</v>
      </c>
      <c r="C60" s="1297">
        <v>358</v>
      </c>
      <c r="D60" s="1297">
        <v>25987359.557436101</v>
      </c>
      <c r="E60" s="1297">
        <v>428</v>
      </c>
      <c r="F60" s="1297">
        <v>13065888.8027512</v>
      </c>
    </row>
    <row r="61" spans="1:6">
      <c r="A61" s="1296" t="s">
        <v>48</v>
      </c>
      <c r="B61" s="1296" t="s">
        <v>53</v>
      </c>
      <c r="C61" s="1297">
        <v>1225</v>
      </c>
      <c r="D61" s="1297">
        <v>99965863.744188696</v>
      </c>
      <c r="E61" s="1297">
        <v>2339</v>
      </c>
      <c r="F61" s="1297">
        <v>103984738.711741</v>
      </c>
    </row>
    <row r="62" spans="1:6">
      <c r="A62" s="1296" t="s">
        <v>48</v>
      </c>
      <c r="B62" s="1296" t="s">
        <v>54</v>
      </c>
      <c r="C62" s="1297">
        <v>75</v>
      </c>
      <c r="D62" s="1297">
        <v>20982461.249165501</v>
      </c>
      <c r="E62" s="1297">
        <v>107</v>
      </c>
      <c r="F62" s="1297">
        <v>6778732.1051053703</v>
      </c>
    </row>
    <row r="63" spans="1:6">
      <c r="A63" s="1296" t="s">
        <v>48</v>
      </c>
      <c r="B63" s="1296" t="s">
        <v>28</v>
      </c>
      <c r="C63" s="1297">
        <v>239</v>
      </c>
      <c r="D63" s="1297">
        <v>19658087.1279172</v>
      </c>
      <c r="E63" s="1297">
        <v>277</v>
      </c>
      <c r="F63" s="1297">
        <v>14440398.750125701</v>
      </c>
    </row>
    <row r="64" spans="1:6">
      <c r="A64" s="1296" t="s">
        <v>55</v>
      </c>
      <c r="B64" s="1296" t="s">
        <v>56</v>
      </c>
      <c r="C64" s="1297">
        <v>0</v>
      </c>
      <c r="D64" s="1297">
        <v>0</v>
      </c>
      <c r="E64" s="1297">
        <v>0</v>
      </c>
      <c r="F64" s="1297">
        <v>0</v>
      </c>
    </row>
    <row r="65" spans="1:6">
      <c r="A65" s="1296" t="s">
        <v>55</v>
      </c>
      <c r="B65" s="1296" t="s">
        <v>28</v>
      </c>
      <c r="C65" s="1297">
        <v>4</v>
      </c>
      <c r="D65" s="1297">
        <v>107125.757863932</v>
      </c>
      <c r="E65" s="1297">
        <v>7</v>
      </c>
      <c r="F65" s="1297">
        <v>45902.132168848002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14</v>
      </c>
      <c r="D68" s="1299">
        <v>940015.17924405297</v>
      </c>
      <c r="E68" s="1299">
        <v>21</v>
      </c>
      <c r="F68" s="1299">
        <v>898949.71689270204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301811544</v>
      </c>
      <c r="E73" s="446"/>
      <c r="F73" s="327"/>
    </row>
    <row r="74" spans="1:6">
      <c r="A74" s="1296" t="s">
        <v>63</v>
      </c>
      <c r="B74" s="1296" t="s">
        <v>706</v>
      </c>
      <c r="C74" s="1309" t="s">
        <v>707</v>
      </c>
      <c r="D74" s="1297">
        <v>18531550.536806159</v>
      </c>
      <c r="E74" s="446"/>
      <c r="F74" s="327"/>
    </row>
    <row r="75" spans="1:6">
      <c r="A75" s="1296" t="s">
        <v>64</v>
      </c>
      <c r="B75" s="1296" t="s">
        <v>704</v>
      </c>
      <c r="C75" s="1309" t="s">
        <v>708</v>
      </c>
      <c r="D75" s="1297">
        <v>76077047</v>
      </c>
      <c r="E75" s="446"/>
      <c r="F75" s="327"/>
    </row>
    <row r="76" spans="1:6">
      <c r="A76" s="1296" t="s">
        <v>64</v>
      </c>
      <c r="B76" s="1296" t="s">
        <v>706</v>
      </c>
      <c r="C76" s="1309" t="s">
        <v>709</v>
      </c>
      <c r="D76" s="1297">
        <v>2187299.5368061578</v>
      </c>
      <c r="E76" s="446"/>
      <c r="F76" s="327"/>
    </row>
    <row r="77" spans="1:6">
      <c r="A77" s="1296" t="s">
        <v>65</v>
      </c>
      <c r="B77" s="1296" t="s">
        <v>704</v>
      </c>
      <c r="C77" s="1309" t="s">
        <v>710</v>
      </c>
      <c r="D77" s="1297">
        <v>350073113</v>
      </c>
      <c r="E77" s="446"/>
      <c r="F77" s="327"/>
    </row>
    <row r="78" spans="1:6">
      <c r="A78" s="1291" t="s">
        <v>65</v>
      </c>
      <c r="B78" s="1291" t="s">
        <v>706</v>
      </c>
      <c r="C78" s="1291" t="s">
        <v>711</v>
      </c>
      <c r="D78" s="1299">
        <v>43325654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3035860.926387684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377.58295964125563</v>
      </c>
      <c r="C89" s="327"/>
      <c r="D89" s="327"/>
      <c r="E89" s="327"/>
      <c r="F89" s="327"/>
    </row>
    <row r="90" spans="1:6">
      <c r="A90" s="1296" t="s">
        <v>545</v>
      </c>
      <c r="B90" s="1297">
        <v>0</v>
      </c>
      <c r="C90" s="327"/>
      <c r="D90" s="327"/>
      <c r="E90" s="327"/>
      <c r="F90" s="327"/>
    </row>
    <row r="91" spans="1:6">
      <c r="A91" s="1296" t="s">
        <v>67</v>
      </c>
      <c r="B91" s="1297">
        <v>5946.0670287321173</v>
      </c>
      <c r="C91" s="327"/>
      <c r="D91" s="327"/>
      <c r="E91" s="327"/>
      <c r="F91" s="327"/>
    </row>
    <row r="92" spans="1:6">
      <c r="A92" s="1291" t="s">
        <v>68</v>
      </c>
      <c r="B92" s="1292">
        <v>5815.6534952941765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22345</v>
      </c>
      <c r="C97" s="327"/>
      <c r="D97" s="327"/>
      <c r="E97" s="327"/>
      <c r="F97" s="327"/>
    </row>
    <row r="98" spans="1:6">
      <c r="A98" s="1296" t="s">
        <v>71</v>
      </c>
      <c r="B98" s="1297">
        <v>44</v>
      </c>
      <c r="C98" s="327"/>
      <c r="D98" s="327"/>
      <c r="E98" s="327"/>
      <c r="F98" s="327"/>
    </row>
    <row r="99" spans="1:6">
      <c r="A99" s="1296" t="s">
        <v>72</v>
      </c>
      <c r="B99" s="1297">
        <v>106</v>
      </c>
      <c r="C99" s="327"/>
      <c r="D99" s="327"/>
      <c r="E99" s="327"/>
      <c r="F99" s="327"/>
    </row>
    <row r="100" spans="1:6">
      <c r="A100" s="1296" t="s">
        <v>73</v>
      </c>
      <c r="B100" s="1297">
        <v>1577</v>
      </c>
      <c r="C100" s="327"/>
      <c r="D100" s="327"/>
      <c r="E100" s="327"/>
      <c r="F100" s="327"/>
    </row>
    <row r="101" spans="1:6">
      <c r="A101" s="1296" t="s">
        <v>74</v>
      </c>
      <c r="B101" s="1297">
        <v>147</v>
      </c>
      <c r="C101" s="327"/>
      <c r="D101" s="327"/>
      <c r="E101" s="327"/>
      <c r="F101" s="327"/>
    </row>
    <row r="102" spans="1:6">
      <c r="A102" s="1296" t="s">
        <v>75</v>
      </c>
      <c r="B102" s="1297">
        <v>648</v>
      </c>
      <c r="C102" s="327"/>
      <c r="D102" s="327"/>
      <c r="E102" s="327"/>
      <c r="F102" s="327"/>
    </row>
    <row r="103" spans="1:6">
      <c r="A103" s="1296" t="s">
        <v>76</v>
      </c>
      <c r="B103" s="1297">
        <v>662</v>
      </c>
      <c r="C103" s="327"/>
      <c r="D103" s="327"/>
      <c r="E103" s="327"/>
      <c r="F103" s="327"/>
    </row>
    <row r="104" spans="1:6">
      <c r="A104" s="1296" t="s">
        <v>77</v>
      </c>
      <c r="B104" s="1297">
        <v>5761</v>
      </c>
      <c r="C104" s="327"/>
      <c r="D104" s="327"/>
      <c r="E104" s="327"/>
      <c r="F104" s="327"/>
    </row>
    <row r="105" spans="1:6">
      <c r="A105" s="1291" t="s">
        <v>78</v>
      </c>
      <c r="B105" s="1299">
        <v>35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23</v>
      </c>
      <c r="C123" s="1297">
        <v>32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191</v>
      </c>
      <c r="C129" s="327"/>
      <c r="D129" s="327"/>
      <c r="E129" s="327"/>
      <c r="F129" s="327"/>
    </row>
    <row r="130" spans="1:6">
      <c r="A130" s="1296" t="s">
        <v>284</v>
      </c>
      <c r="B130" s="1297">
        <v>2</v>
      </c>
      <c r="C130" s="327"/>
      <c r="D130" s="327"/>
      <c r="E130" s="327"/>
      <c r="F130" s="327"/>
    </row>
    <row r="131" spans="1:6">
      <c r="A131" s="1296" t="s">
        <v>285</v>
      </c>
      <c r="B131" s="1297">
        <v>8</v>
      </c>
      <c r="C131" s="327"/>
      <c r="D131" s="327"/>
      <c r="E131" s="327"/>
      <c r="F131" s="327"/>
    </row>
    <row r="132" spans="1:6">
      <c r="A132" s="1291" t="s">
        <v>286</v>
      </c>
      <c r="B132" s="1292">
        <v>17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542970.44535770291</v>
      </c>
      <c r="C3" s="43" t="s">
        <v>163</v>
      </c>
      <c r="D3" s="43"/>
      <c r="E3" s="156"/>
      <c r="F3" s="43"/>
      <c r="G3" s="43"/>
      <c r="H3" s="43"/>
      <c r="I3" s="43"/>
      <c r="J3" s="43"/>
      <c r="K3" s="96"/>
    </row>
    <row r="4" spans="1:11">
      <c r="A4" s="353" t="s">
        <v>164</v>
      </c>
      <c r="B4" s="49">
        <f>IF(ISERROR('SEAP template'!B78+'SEAP template'!C78),0,'SEAP template'!B78+'SEAP template'!C78)</f>
        <v>12143.803483667549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1.01</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0.21605908545699362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5.0500000000000007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22.5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0.22444444444444447</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4309.0150000000003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4309.0150000000003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0.21605908545699362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931.00184012046748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111371.153396617</v>
      </c>
      <c r="C5" s="17">
        <f>IF(ISERROR('Eigen informatie GS &amp; warmtenet'!B57),0,'Eigen informatie GS &amp; warmtenet'!B57)</f>
        <v>0</v>
      </c>
      <c r="D5" s="30">
        <f>(SUM(HH_hh_gas_kWh,HH_rest_gas_kWh)/1000)*0.902</f>
        <v>424718.66344241321</v>
      </c>
      <c r="E5" s="17">
        <f>B32*B41</f>
        <v>4436.3710390530105</v>
      </c>
      <c r="F5" s="17">
        <f>B36*B45</f>
        <v>135954.68781543479</v>
      </c>
      <c r="G5" s="18"/>
      <c r="H5" s="17"/>
      <c r="I5" s="17"/>
      <c r="J5" s="17">
        <f>B35*B44+C35*C44</f>
        <v>2574.7110777321523</v>
      </c>
      <c r="K5" s="17"/>
      <c r="L5" s="17"/>
      <c r="M5" s="17"/>
      <c r="N5" s="17">
        <f>B34*B43+C34*C43</f>
        <v>51739.657879369297</v>
      </c>
      <c r="O5" s="17">
        <f>B52*B53*B54</f>
        <v>348.62333333333333</v>
      </c>
      <c r="P5" s="17">
        <f>B60*B61*B62/1000-B60*B61*B62/1000/B63</f>
        <v>762.66666666666674</v>
      </c>
    </row>
    <row r="6" spans="1:16">
      <c r="A6" s="16" t="s">
        <v>617</v>
      </c>
      <c r="B6" s="769">
        <f>kWh_PV_kleiner_dan_10kW</f>
        <v>5946.0670287321173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117317.22042534911</v>
      </c>
      <c r="C8" s="21">
        <f>C5</f>
        <v>0</v>
      </c>
      <c r="D8" s="21">
        <f>D5</f>
        <v>424718.66344241321</v>
      </c>
      <c r="E8" s="21">
        <f>E5</f>
        <v>4436.3710390530105</v>
      </c>
      <c r="F8" s="21">
        <f>F5</f>
        <v>135954.68781543479</v>
      </c>
      <c r="G8" s="21"/>
      <c r="H8" s="21"/>
      <c r="I8" s="21"/>
      <c r="J8" s="21">
        <f>J5</f>
        <v>2574.7110777321523</v>
      </c>
      <c r="K8" s="21"/>
      <c r="L8" s="21">
        <f>L5</f>
        <v>0</v>
      </c>
      <c r="M8" s="21">
        <f>M5</f>
        <v>0</v>
      </c>
      <c r="N8" s="21">
        <f>N5</f>
        <v>51739.657879369297</v>
      </c>
      <c r="O8" s="21">
        <f>O5</f>
        <v>348.62333333333333</v>
      </c>
      <c r="P8" s="21">
        <f>P5</f>
        <v>762.66666666666674</v>
      </c>
    </row>
    <row r="9" spans="1:16">
      <c r="B9" s="19"/>
      <c r="C9" s="19"/>
      <c r="D9" s="257"/>
      <c r="E9" s="19"/>
      <c r="F9" s="19"/>
      <c r="G9" s="19"/>
      <c r="H9" s="19"/>
      <c r="I9" s="19"/>
      <c r="J9" s="19"/>
      <c r="K9" s="19"/>
      <c r="L9" s="19"/>
      <c r="M9" s="19"/>
      <c r="N9" s="19"/>
      <c r="O9" s="19"/>
      <c r="P9" s="19"/>
    </row>
    <row r="10" spans="1:16">
      <c r="A10" s="24" t="s">
        <v>207</v>
      </c>
      <c r="B10" s="25">
        <f ca="1">'EF ele_warmte'!B12</f>
        <v>0.21605908545699362</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25347.451353457462</v>
      </c>
      <c r="C12" s="23">
        <f ca="1">C10*C8</f>
        <v>0</v>
      </c>
      <c r="D12" s="23">
        <f>D8*D10</f>
        <v>85793.170015367476</v>
      </c>
      <c r="E12" s="23">
        <f>E10*E8</f>
        <v>1007.0562258650334</v>
      </c>
      <c r="F12" s="23">
        <f>F10*F8</f>
        <v>36299.901646721089</v>
      </c>
      <c r="G12" s="23"/>
      <c r="H12" s="23"/>
      <c r="I12" s="23"/>
      <c r="J12" s="23">
        <f>J10*J8</f>
        <v>911.44772151718189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34930</v>
      </c>
      <c r="C26" s="36"/>
      <c r="D26" s="227"/>
    </row>
    <row r="27" spans="1:5" s="15" customFormat="1">
      <c r="A27" s="229" t="s">
        <v>722</v>
      </c>
      <c r="B27" s="37">
        <f>SUM(HH_hh_gas_aantal,HH_rest_gas_aantal)</f>
        <v>28594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27164.3</v>
      </c>
      <c r="C31" s="34" t="s">
        <v>104</v>
      </c>
      <c r="D31" s="173"/>
    </row>
    <row r="32" spans="1:5">
      <c r="A32" s="170" t="s">
        <v>72</v>
      </c>
      <c r="B32" s="33">
        <f>IF((B21*($B$26-($B$27-0.05*$B$27)-$B$60))&lt;0,0,B21*($B$26-($B$27-0.05*$B$27)-$B$60))</f>
        <v>193.46359598072877</v>
      </c>
      <c r="C32" s="34" t="s">
        <v>104</v>
      </c>
      <c r="D32" s="173"/>
    </row>
    <row r="33" spans="1:6">
      <c r="A33" s="170" t="s">
        <v>73</v>
      </c>
      <c r="B33" s="33">
        <f>IF((B22*($B$26-($B$27-0.05*$B$27)-$B$60))&lt;0,0,B22*($B$26-($B$27-0.05*$B$27)-$B$60))</f>
        <v>1302.2369026986773</v>
      </c>
      <c r="C33" s="34" t="s">
        <v>104</v>
      </c>
      <c r="D33" s="173"/>
    </row>
    <row r="34" spans="1:6">
      <c r="A34" s="170" t="s">
        <v>74</v>
      </c>
      <c r="B34" s="33">
        <f>IF((B24*($B$26-($B$27-0.05*$B$27)-$B$60))&lt;0,0,B24*($B$26-($B$27-0.05*$B$27)-$B$60))</f>
        <v>330.39515340797323</v>
      </c>
      <c r="C34" s="33">
        <f>B26*C24</f>
        <v>7145.2831622732465</v>
      </c>
      <c r="D34" s="232"/>
    </row>
    <row r="35" spans="1:6">
      <c r="A35" s="170" t="s">
        <v>76</v>
      </c>
      <c r="B35" s="33">
        <f>IF((B19*($B$26-($B$27-0.05*$B$27)-$B$60))&lt;0,0,B19*($B$26-($B$27-0.05*$B$27)-$B$60))</f>
        <v>122.78569172892138</v>
      </c>
      <c r="C35" s="33">
        <f>B35/2</f>
        <v>61.392845864460689</v>
      </c>
      <c r="D35" s="232"/>
    </row>
    <row r="36" spans="1:6">
      <c r="A36" s="170" t="s">
        <v>77</v>
      </c>
      <c r="B36" s="33">
        <f>IF((B18*($B$26-($B$27-0.05*$B$27)-$B$60))&lt;0,0,B18*($B$26-($B$27-0.05*$B$27)-$B$60))</f>
        <v>5776.8186561837001</v>
      </c>
      <c r="C36" s="34" t="s">
        <v>104</v>
      </c>
      <c r="D36" s="173"/>
    </row>
    <row r="37" spans="1:6">
      <c r="A37" s="170" t="s">
        <v>78</v>
      </c>
      <c r="B37" s="33">
        <f>B60</f>
        <v>40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223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208983.72806947454</v>
      </c>
      <c r="C5" s="17">
        <f>IF(ISERROR('Eigen informatie GS &amp; warmtenet'!B58),0,'Eigen informatie GS &amp; warmtenet'!B58)</f>
        <v>0</v>
      </c>
      <c r="D5" s="30">
        <f>SUM(D6:D12)</f>
        <v>243009.75939423556</v>
      </c>
      <c r="E5" s="17">
        <f>SUM(E6:E12)</f>
        <v>2034.1227777089944</v>
      </c>
      <c r="F5" s="17">
        <f>SUM(F6:F12)</f>
        <v>39122.045793986268</v>
      </c>
      <c r="G5" s="18"/>
      <c r="H5" s="17"/>
      <c r="I5" s="17"/>
      <c r="J5" s="17">
        <f>SUM(J6:J12)</f>
        <v>0</v>
      </c>
      <c r="K5" s="17"/>
      <c r="L5" s="17"/>
      <c r="M5" s="17"/>
      <c r="N5" s="17">
        <f>SUM(N6:N12)</f>
        <v>13199.980393335982</v>
      </c>
      <c r="O5" s="17">
        <f>B38*B39*B40</f>
        <v>3.1266666666666669</v>
      </c>
      <c r="P5" s="17">
        <f>B46*B47*B48/1000-B46*B47*B48/1000/B49</f>
        <v>152.53333333333333</v>
      </c>
      <c r="R5" s="32"/>
    </row>
    <row r="6" spans="1:18">
      <c r="A6" s="32" t="s">
        <v>53</v>
      </c>
      <c r="B6" s="37">
        <f>B26</f>
        <v>103984.738711741</v>
      </c>
      <c r="C6" s="33"/>
      <c r="D6" s="37">
        <f>IF(ISERROR(TER_kantoor_gas_kWh/1000),0,TER_kantoor_gas_kWh/1000)*0.902</f>
        <v>90169.209097258208</v>
      </c>
      <c r="E6" s="33">
        <f>$C$26*'E Balans VL '!I12/100/3.6*1000000</f>
        <v>404.00272474699085</v>
      </c>
      <c r="F6" s="33">
        <f>$C$26*('E Balans VL '!L12+'E Balans VL '!N12)/100/3.6*1000000</f>
        <v>15815.132572369994</v>
      </c>
      <c r="G6" s="34"/>
      <c r="H6" s="33"/>
      <c r="I6" s="33"/>
      <c r="J6" s="33">
        <f>$C$26*('E Balans VL '!D12+'E Balans VL '!E12)/100/3.6*1000000</f>
        <v>0</v>
      </c>
      <c r="K6" s="33"/>
      <c r="L6" s="33"/>
      <c r="M6" s="33"/>
      <c r="N6" s="33">
        <f>$C$26*'E Balans VL '!Y12/100/3.6*1000000</f>
        <v>57.308048095087514</v>
      </c>
      <c r="O6" s="33"/>
      <c r="P6" s="33"/>
      <c r="R6" s="32"/>
    </row>
    <row r="7" spans="1:18">
      <c r="A7" s="32" t="s">
        <v>52</v>
      </c>
      <c r="B7" s="37">
        <f t="shared" ref="B7:B12" si="0">B27</f>
        <v>13065.8888027512</v>
      </c>
      <c r="C7" s="33"/>
      <c r="D7" s="37">
        <f>IF(ISERROR(TER_horeca_gas_kWh/1000),0,TER_horeca_gas_kWh/1000)*0.902</f>
        <v>23440.598320807367</v>
      </c>
      <c r="E7" s="33">
        <f>$C$27*'E Balans VL '!I9/100/3.6*1000000</f>
        <v>736.00500949887225</v>
      </c>
      <c r="F7" s="33">
        <f>$C$27*('E Balans VL '!L9+'E Balans VL '!N9)/100/3.6*1000000</f>
        <v>3767.4200919194454</v>
      </c>
      <c r="G7" s="34"/>
      <c r="H7" s="33"/>
      <c r="I7" s="33"/>
      <c r="J7" s="33">
        <f>$C$27*('E Balans VL '!D9+'E Balans VL '!E9)/100/3.6*1000000</f>
        <v>0</v>
      </c>
      <c r="K7" s="33"/>
      <c r="L7" s="33"/>
      <c r="M7" s="33"/>
      <c r="N7" s="33">
        <f>$C$27*'E Balans VL '!Y9/100/3.6*1000000</f>
        <v>3.6074240016931913</v>
      </c>
      <c r="O7" s="33"/>
      <c r="P7" s="33"/>
      <c r="R7" s="32"/>
    </row>
    <row r="8" spans="1:18">
      <c r="A8" s="6" t="s">
        <v>51</v>
      </c>
      <c r="B8" s="37">
        <f t="shared" si="0"/>
        <v>43274.947812341801</v>
      </c>
      <c r="C8" s="33"/>
      <c r="D8" s="37">
        <f>IF(ISERROR(TER_handel_gas_kWh/1000),0,TER_handel_gas_kWh/1000)*0.902</f>
        <v>38188.819051965263</v>
      </c>
      <c r="E8" s="33">
        <f>$C$28*'E Balans VL '!I13/100/3.6*1000000</f>
        <v>623.73881526902312</v>
      </c>
      <c r="F8" s="33">
        <f>$C$28*('E Balans VL '!L13+'E Balans VL '!N13)/100/3.6*1000000</f>
        <v>7517.8662405327605</v>
      </c>
      <c r="G8" s="34"/>
      <c r="H8" s="33"/>
      <c r="I8" s="33"/>
      <c r="J8" s="33">
        <f>$C$28*('E Balans VL '!D13+'E Balans VL '!E13)/100/3.6*1000000</f>
        <v>0</v>
      </c>
      <c r="K8" s="33"/>
      <c r="L8" s="33"/>
      <c r="M8" s="33"/>
      <c r="N8" s="33">
        <f>$C$28*'E Balans VL '!Y13/100/3.6*1000000</f>
        <v>129.65656111220707</v>
      </c>
      <c r="O8" s="33"/>
      <c r="P8" s="33"/>
      <c r="R8" s="32"/>
    </row>
    <row r="9" spans="1:18">
      <c r="A9" s="32" t="s">
        <v>50</v>
      </c>
      <c r="B9" s="37">
        <f t="shared" si="0"/>
        <v>10551.9748177531</v>
      </c>
      <c r="C9" s="33"/>
      <c r="D9" s="37">
        <f>IF(ISERROR(TER_gezond_gas_kWh/1000),0,TER_gezond_gas_kWh/1000)*0.902</f>
        <v>23111.462696075341</v>
      </c>
      <c r="E9" s="33">
        <f>$C$29*'E Balans VL '!I10/100/3.6*1000000</f>
        <v>11.272244076794431</v>
      </c>
      <c r="F9" s="33">
        <f>$C$29*('E Balans VL '!L10+'E Balans VL '!N10)/100/3.6*1000000</f>
        <v>1721.3477793240816</v>
      </c>
      <c r="G9" s="34"/>
      <c r="H9" s="33"/>
      <c r="I9" s="33"/>
      <c r="J9" s="33">
        <f>$C$29*('E Balans VL '!D10+'E Balans VL '!E10)/100/3.6*1000000</f>
        <v>0</v>
      </c>
      <c r="K9" s="33"/>
      <c r="L9" s="33"/>
      <c r="M9" s="33"/>
      <c r="N9" s="33">
        <f>$C$29*'E Balans VL '!Y10/100/3.6*1000000</f>
        <v>108.62655991205469</v>
      </c>
      <c r="O9" s="33"/>
      <c r="P9" s="33"/>
      <c r="R9" s="32"/>
    </row>
    <row r="10" spans="1:18">
      <c r="A10" s="32" t="s">
        <v>49</v>
      </c>
      <c r="B10" s="37">
        <f t="shared" si="0"/>
        <v>16887.047069656397</v>
      </c>
      <c r="C10" s="33"/>
      <c r="D10" s="37">
        <f>IF(ISERROR(TER_ander_gas_kWh/1000),0,TER_ander_gas_kWh/1000)*0.902</f>
        <v>31441.895592000783</v>
      </c>
      <c r="E10" s="33">
        <f>$C$30*'E Balans VL '!I14/100/3.6*1000000</f>
        <v>77.660960762805757</v>
      </c>
      <c r="F10" s="33">
        <f>$C$30*('E Balans VL '!L14+'E Balans VL '!N14)/100/3.6*1000000</f>
        <v>5061.5806721156523</v>
      </c>
      <c r="G10" s="34"/>
      <c r="H10" s="33"/>
      <c r="I10" s="33"/>
      <c r="J10" s="33">
        <f>$C$30*('E Balans VL '!D14+'E Balans VL '!E14)/100/3.6*1000000</f>
        <v>0</v>
      </c>
      <c r="K10" s="33"/>
      <c r="L10" s="33"/>
      <c r="M10" s="33"/>
      <c r="N10" s="33">
        <f>$C$30*'E Balans VL '!Y14/100/3.6*1000000</f>
        <v>11754.49948743875</v>
      </c>
      <c r="O10" s="33"/>
      <c r="P10" s="33"/>
      <c r="R10" s="32"/>
    </row>
    <row r="11" spans="1:18">
      <c r="A11" s="32" t="s">
        <v>54</v>
      </c>
      <c r="B11" s="37">
        <f t="shared" si="0"/>
        <v>6778.7321051053705</v>
      </c>
      <c r="C11" s="33"/>
      <c r="D11" s="37">
        <f>IF(ISERROR(TER_onderwijs_gas_kWh/1000),0,TER_onderwijs_gas_kWh/1000)*0.902</f>
        <v>18926.180046747282</v>
      </c>
      <c r="E11" s="33">
        <f>$C$31*'E Balans VL '!I11/100/3.6*1000000</f>
        <v>6.2881654902622763</v>
      </c>
      <c r="F11" s="33">
        <f>$C$31*('E Balans VL '!L11+'E Balans VL '!N11)/100/3.6*1000000</f>
        <v>2381.2127905673633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14440.3987501257</v>
      </c>
      <c r="C12" s="33"/>
      <c r="D12" s="37">
        <f>IF(ISERROR(TER_rest_gas_kWh/1000),0,TER_rest_gas_kWh/1000)*0.902</f>
        <v>17731.594589381315</v>
      </c>
      <c r="E12" s="33">
        <f>$C$32*'E Balans VL '!I8/100/3.6*1000000</f>
        <v>175.15485786424586</v>
      </c>
      <c r="F12" s="33">
        <f>$C$32*('E Balans VL '!L8+'E Balans VL '!N8)/100/3.6*1000000</f>
        <v>2857.4856471569715</v>
      </c>
      <c r="G12" s="34"/>
      <c r="H12" s="33"/>
      <c r="I12" s="33"/>
      <c r="J12" s="33">
        <f>$C$32*('E Balans VL '!D8+'E Balans VL '!E8)/100/3.6*1000000</f>
        <v>0</v>
      </c>
      <c r="K12" s="33"/>
      <c r="L12" s="33"/>
      <c r="M12" s="33"/>
      <c r="N12" s="33">
        <f>$C$32*'E Balans VL '!Y8/100/3.6*1000000</f>
        <v>1146.2823127761887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208983.72806947454</v>
      </c>
      <c r="C16" s="21">
        <f t="shared" ca="1" si="1"/>
        <v>0</v>
      </c>
      <c r="D16" s="21">
        <f t="shared" ca="1" si="1"/>
        <v>243009.75939423556</v>
      </c>
      <c r="E16" s="21">
        <f t="shared" si="1"/>
        <v>2034.1227777089944</v>
      </c>
      <c r="F16" s="21">
        <f t="shared" ca="1" si="1"/>
        <v>39122.045793986268</v>
      </c>
      <c r="G16" s="21">
        <f t="shared" si="1"/>
        <v>0</v>
      </c>
      <c r="H16" s="21">
        <f t="shared" si="1"/>
        <v>0</v>
      </c>
      <c r="I16" s="21">
        <f t="shared" si="1"/>
        <v>0</v>
      </c>
      <c r="J16" s="21">
        <f t="shared" si="1"/>
        <v>0</v>
      </c>
      <c r="K16" s="21">
        <f t="shared" si="1"/>
        <v>0</v>
      </c>
      <c r="L16" s="21">
        <f t="shared" ca="1" si="1"/>
        <v>0</v>
      </c>
      <c r="M16" s="21">
        <f t="shared" si="1"/>
        <v>0</v>
      </c>
      <c r="N16" s="21">
        <f t="shared" ca="1" si="1"/>
        <v>13199.980393335982</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0.21605908545699362</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45152.83316208372</v>
      </c>
      <c r="C20" s="23">
        <f t="shared" ref="C20:P20" ca="1" si="2">C16*C18</f>
        <v>0</v>
      </c>
      <c r="D20" s="23">
        <f t="shared" ca="1" si="2"/>
        <v>49087.971397635585</v>
      </c>
      <c r="E20" s="23">
        <f t="shared" si="2"/>
        <v>461.74587053994173</v>
      </c>
      <c r="F20" s="23">
        <f t="shared" ca="1" si="2"/>
        <v>10445.586226994334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103984.738711741</v>
      </c>
      <c r="C26" s="39">
        <f>IF(ISERROR(B26*3.6/1000000/'E Balans VL '!Z12*100),0,B26*3.6/1000000/'E Balans VL '!Z12*100)</f>
        <v>2.208687357581073</v>
      </c>
      <c r="D26" s="235" t="s">
        <v>672</v>
      </c>
      <c r="F26" s="6"/>
    </row>
    <row r="27" spans="1:18">
      <c r="A27" s="230" t="s">
        <v>52</v>
      </c>
      <c r="B27" s="33">
        <f>IF(ISERROR(TER_horeca_ele_kWh/1000),0,TER_horeca_ele_kWh/1000)</f>
        <v>13065.8888027512</v>
      </c>
      <c r="C27" s="39">
        <f>IF(ISERROR(B27*3.6/1000000/'E Balans VL '!Z9*100),0,B27*3.6/1000000/'E Balans VL '!Z9*100)</f>
        <v>1.0159524266997186</v>
      </c>
      <c r="D27" s="235" t="s">
        <v>672</v>
      </c>
      <c r="F27" s="6"/>
    </row>
    <row r="28" spans="1:18">
      <c r="A28" s="170" t="s">
        <v>51</v>
      </c>
      <c r="B28" s="33">
        <f>IF(ISERROR(TER_handel_ele_kWh/1000),0,TER_handel_ele_kWh/1000)</f>
        <v>43274.947812341801</v>
      </c>
      <c r="C28" s="39">
        <f>IF(ISERROR(B28*3.6/1000000/'E Balans VL '!Z13*100),0,B28*3.6/1000000/'E Balans VL '!Z13*100)</f>
        <v>1.2381471864299356</v>
      </c>
      <c r="D28" s="235" t="s">
        <v>672</v>
      </c>
      <c r="F28" s="6"/>
    </row>
    <row r="29" spans="1:18">
      <c r="A29" s="230" t="s">
        <v>50</v>
      </c>
      <c r="B29" s="33">
        <f>IF(ISERROR(TER_gezond_ele_kWh/1000),0,TER_gezond_ele_kWh/1000)</f>
        <v>10551.9748177531</v>
      </c>
      <c r="C29" s="39">
        <f>IF(ISERROR(B29*3.6/1000000/'E Balans VL '!Z10*100),0,B29*3.6/1000000/'E Balans VL '!Z10*100)</f>
        <v>1.1504104536227502</v>
      </c>
      <c r="D29" s="235" t="s">
        <v>672</v>
      </c>
      <c r="F29" s="6"/>
    </row>
    <row r="30" spans="1:18">
      <c r="A30" s="230" t="s">
        <v>49</v>
      </c>
      <c r="B30" s="33">
        <f>IF(ISERROR(TER_ander_ele_kWh/1000),0,TER_ander_ele_kWh/1000)</f>
        <v>16887.047069656397</v>
      </c>
      <c r="C30" s="39">
        <f>IF(ISERROR(B30*3.6/1000000/'E Balans VL '!Z14*100),0,B30*3.6/1000000/'E Balans VL '!Z14*100)</f>
        <v>1.2357557971992708</v>
      </c>
      <c r="D30" s="235" t="s">
        <v>672</v>
      </c>
      <c r="F30" s="6"/>
    </row>
    <row r="31" spans="1:18">
      <c r="A31" s="230" t="s">
        <v>54</v>
      </c>
      <c r="B31" s="33">
        <f>IF(ISERROR(TER_onderwijs_ele_kWh/1000),0,TER_onderwijs_ele_kWh/1000)</f>
        <v>6778.7321051053705</v>
      </c>
      <c r="C31" s="39">
        <f>IF(ISERROR(B31*3.6/1000000/'E Balans VL '!Z11*100),0,B31*3.6/1000000/'E Balans VL '!Z11*100)</f>
        <v>1.3615133770580696</v>
      </c>
      <c r="D31" s="235" t="s">
        <v>672</v>
      </c>
    </row>
    <row r="32" spans="1:18">
      <c r="A32" s="230" t="s">
        <v>249</v>
      </c>
      <c r="B32" s="33">
        <f>IF(ISERROR(TER_rest_ele_kWh/1000),0,TER_rest_ele_kWh/1000)</f>
        <v>14440.3987501257</v>
      </c>
      <c r="C32" s="39">
        <f>IF(ISERROR(B32*3.6/1000000/'E Balans VL '!Z8*100),0,B32*3.6/1000000/'E Balans VL '!Z8*100)</f>
        <v>0.11768048638078595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8</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205682.36515352674</v>
      </c>
      <c r="C5" s="17">
        <f>IF(ISERROR('Eigen informatie GS &amp; warmtenet'!B59),0,'Eigen informatie GS &amp; warmtenet'!B59)</f>
        <v>0</v>
      </c>
      <c r="D5" s="30">
        <f>SUM(D6:D15)</f>
        <v>288834.6238207767</v>
      </c>
      <c r="E5" s="17">
        <f>SUM(E6:E15)</f>
        <v>12370.881779504702</v>
      </c>
      <c r="F5" s="17">
        <f>SUM(F6:F15)</f>
        <v>55725.049457993431</v>
      </c>
      <c r="G5" s="18"/>
      <c r="H5" s="17"/>
      <c r="I5" s="17"/>
      <c r="J5" s="17">
        <f>SUM(J6:J15)</f>
        <v>400.76335239316569</v>
      </c>
      <c r="K5" s="17"/>
      <c r="L5" s="17"/>
      <c r="M5" s="17"/>
      <c r="N5" s="17">
        <f>SUM(N6:N15)</f>
        <v>10639.979973314126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32618.105850109099</v>
      </c>
      <c r="C8" s="33"/>
      <c r="D8" s="37">
        <f>IF( ISERROR(IND_metaal_Gas_kWH/1000),0,IND_metaal_Gas_kWH/1000)*0.902</f>
        <v>13352.018069752861</v>
      </c>
      <c r="E8" s="33">
        <f>C30*'E Balans VL '!I18/100/3.6*1000000</f>
        <v>936.91443336454813</v>
      </c>
      <c r="F8" s="33">
        <f>C30*'E Balans VL '!L18/100/3.6*1000000+C30*'E Balans VL '!N18/100/3.6*1000000</f>
        <v>8365.9168142221788</v>
      </c>
      <c r="G8" s="34"/>
      <c r="H8" s="33"/>
      <c r="I8" s="33"/>
      <c r="J8" s="40">
        <f>C30*'E Balans VL '!D18/100/3.6*1000000+C30*'E Balans VL '!E18/100/3.6*1000000</f>
        <v>0</v>
      </c>
      <c r="K8" s="33"/>
      <c r="L8" s="33"/>
      <c r="M8" s="33"/>
      <c r="N8" s="33">
        <f>C30*'E Balans VL '!Y18/100/3.6*1000000</f>
        <v>885.64815681782818</v>
      </c>
      <c r="O8" s="33"/>
      <c r="P8" s="33"/>
      <c r="R8" s="32"/>
    </row>
    <row r="9" spans="1:18">
      <c r="A9" s="6" t="s">
        <v>32</v>
      </c>
      <c r="B9" s="37">
        <f t="shared" si="0"/>
        <v>9023.5645296471102</v>
      </c>
      <c r="C9" s="33"/>
      <c r="D9" s="37">
        <f>IF( ISERROR(IND_andere_gas_kWh/1000),0,IND_andere_gas_kWh/1000)*0.902</f>
        <v>8487.1577133726096</v>
      </c>
      <c r="E9" s="33">
        <f>C31*'E Balans VL '!I19/100/3.6*1000000</f>
        <v>2442.4570554294178</v>
      </c>
      <c r="F9" s="33">
        <f>C31*'E Balans VL '!L19/100/3.6*1000000+C31*'E Balans VL '!N19/100/3.6*1000000</f>
        <v>6010.648869339966</v>
      </c>
      <c r="G9" s="34"/>
      <c r="H9" s="33"/>
      <c r="I9" s="33"/>
      <c r="J9" s="40">
        <f>C31*'E Balans VL '!D19/100/3.6*1000000+C31*'E Balans VL '!E19/100/3.6*1000000</f>
        <v>0</v>
      </c>
      <c r="K9" s="33"/>
      <c r="L9" s="33"/>
      <c r="M9" s="33"/>
      <c r="N9" s="33">
        <f>C31*'E Balans VL '!Y19/100/3.6*1000000</f>
        <v>762.88260669250599</v>
      </c>
      <c r="O9" s="33"/>
      <c r="P9" s="33"/>
      <c r="R9" s="32"/>
    </row>
    <row r="10" spans="1:18">
      <c r="A10" s="6" t="s">
        <v>40</v>
      </c>
      <c r="B10" s="37">
        <f t="shared" si="0"/>
        <v>2843.58947725402</v>
      </c>
      <c r="C10" s="33"/>
      <c r="D10" s="37">
        <f>IF( ISERROR(IND_voed_gas_kWh/1000),0,IND_voed_gas_kWh/1000)*0.902</f>
        <v>2764.9881210173894</v>
      </c>
      <c r="E10" s="33">
        <f>C32*'E Balans VL '!I20/100/3.6*1000000</f>
        <v>231.92969074166498</v>
      </c>
      <c r="F10" s="33">
        <f>C32*'E Balans VL '!L20/100/3.6*1000000+C32*'E Balans VL '!N20/100/3.6*1000000</f>
        <v>4240.0499036288047</v>
      </c>
      <c r="G10" s="34"/>
      <c r="H10" s="33"/>
      <c r="I10" s="33"/>
      <c r="J10" s="40">
        <f>C32*'E Balans VL '!D20/100/3.6*1000000+C32*'E Balans VL '!E20/100/3.6*1000000</f>
        <v>3.7617237129486877E-2</v>
      </c>
      <c r="K10" s="33"/>
      <c r="L10" s="33"/>
      <c r="M10" s="33"/>
      <c r="N10" s="33">
        <f>C32*'E Balans VL '!Y20/100/3.6*1000000</f>
        <v>835.34624896396735</v>
      </c>
      <c r="O10" s="33"/>
      <c r="P10" s="33"/>
      <c r="R10" s="32"/>
    </row>
    <row r="11" spans="1:18">
      <c r="A11" s="6" t="s">
        <v>39</v>
      </c>
      <c r="B11" s="37">
        <f t="shared" si="0"/>
        <v>51.610872896671701</v>
      </c>
      <c r="C11" s="33"/>
      <c r="D11" s="37">
        <f>IF( ISERROR(IND_textiel_gas_kWh/1000),0,IND_textiel_gas_kWh/1000)*0.902</f>
        <v>87.490519284196594</v>
      </c>
      <c r="E11" s="33">
        <f>C33*'E Balans VL '!I21/100/3.6*1000000</f>
        <v>1.0230330951599574E-2</v>
      </c>
      <c r="F11" s="33">
        <f>C33*'E Balans VL '!L21/100/3.6*1000000+C33*'E Balans VL '!N21/100/3.6*1000000</f>
        <v>1.9008907175013499</v>
      </c>
      <c r="G11" s="34"/>
      <c r="H11" s="33"/>
      <c r="I11" s="33"/>
      <c r="J11" s="40">
        <f>C33*'E Balans VL '!D21/100/3.6*1000000+C33*'E Balans VL '!E21/100/3.6*1000000</f>
        <v>0</v>
      </c>
      <c r="K11" s="33"/>
      <c r="L11" s="33"/>
      <c r="M11" s="33"/>
      <c r="N11" s="33">
        <f>C33*'E Balans VL '!Y21/100/3.6*1000000</f>
        <v>0.23997753022546153</v>
      </c>
      <c r="O11" s="33"/>
      <c r="P11" s="33"/>
      <c r="R11" s="32"/>
    </row>
    <row r="12" spans="1:18">
      <c r="A12" s="6" t="s">
        <v>36</v>
      </c>
      <c r="B12" s="37">
        <f t="shared" si="0"/>
        <v>129.99767546376299</v>
      </c>
      <c r="C12" s="33"/>
      <c r="D12" s="37">
        <f>IF( ISERROR(IND_min_gas_kWh/1000),0,IND_min_gas_kWh/1000)*0.902</f>
        <v>0</v>
      </c>
      <c r="E12" s="33">
        <f>C34*'E Balans VL '!I22/100/3.6*1000000</f>
        <v>1.0126535665749115</v>
      </c>
      <c r="F12" s="33">
        <f>C34*'E Balans VL '!L22/100/3.6*1000000+C34*'E Balans VL '!N22/100/3.6*1000000</f>
        <v>49.027134583784338</v>
      </c>
      <c r="G12" s="34"/>
      <c r="H12" s="33"/>
      <c r="I12" s="33"/>
      <c r="J12" s="40">
        <f>C34*'E Balans VL '!D22/100/3.6*1000000+C34*'E Balans VL '!E22/100/3.6*1000000</f>
        <v>0.71497584897337085</v>
      </c>
      <c r="K12" s="33"/>
      <c r="L12" s="33"/>
      <c r="M12" s="33"/>
      <c r="N12" s="33">
        <f>C34*'E Balans VL '!Y22/100/3.6*1000000</f>
        <v>0</v>
      </c>
      <c r="O12" s="33"/>
      <c r="P12" s="33"/>
      <c r="R12" s="32"/>
    </row>
    <row r="13" spans="1:18">
      <c r="A13" s="6" t="s">
        <v>38</v>
      </c>
      <c r="B13" s="37">
        <f t="shared" si="0"/>
        <v>4948.0192561460999</v>
      </c>
      <c r="C13" s="33"/>
      <c r="D13" s="37">
        <f>IF( ISERROR(IND_papier_gas_kWh/1000),0,IND_papier_gas_kWh/1000)*0.902</f>
        <v>5693.4754628104674</v>
      </c>
      <c r="E13" s="33">
        <f>C35*'E Balans VL '!I23/100/3.6*1000000</f>
        <v>51.839515899120933</v>
      </c>
      <c r="F13" s="33">
        <f>C35*'E Balans VL '!L23/100/3.6*1000000+C35*'E Balans VL '!N23/100/3.6*1000000</f>
        <v>369.22207391040632</v>
      </c>
      <c r="G13" s="34"/>
      <c r="H13" s="33"/>
      <c r="I13" s="33"/>
      <c r="J13" s="40">
        <f>C35*'E Balans VL '!D23/100/3.6*1000000+C35*'E Balans VL '!E23/100/3.6*1000000</f>
        <v>0</v>
      </c>
      <c r="K13" s="33"/>
      <c r="L13" s="33"/>
      <c r="M13" s="33"/>
      <c r="N13" s="33">
        <f>C35*'E Balans VL '!Y23/100/3.6*1000000</f>
        <v>912.80256430433883</v>
      </c>
      <c r="O13" s="33"/>
      <c r="P13" s="33"/>
      <c r="R13" s="32"/>
    </row>
    <row r="14" spans="1:18">
      <c r="A14" s="6" t="s">
        <v>33</v>
      </c>
      <c r="B14" s="37">
        <f t="shared" si="0"/>
        <v>0</v>
      </c>
      <c r="C14" s="33"/>
      <c r="D14" s="37">
        <f>IF( ISERROR(IND_chemie_gas_kWh/1000),0,IND_chemie_gas_kWh/1000)*0.902</f>
        <v>38323.801413227033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156067.47749200999</v>
      </c>
      <c r="C15" s="33"/>
      <c r="D15" s="37">
        <f>IF( ISERROR(IND_rest_gas_kWh/1000),0,IND_rest_gas_kWh/1000)*0.902</f>
        <v>220125.69252131216</v>
      </c>
      <c r="E15" s="33">
        <f>C37*'E Balans VL '!I15/100/3.6*1000000</f>
        <v>8706.7182001724232</v>
      </c>
      <c r="F15" s="33">
        <f>C37*'E Balans VL '!L15/100/3.6*1000000+C37*'E Balans VL '!N15/100/3.6*1000000</f>
        <v>36688.283771590795</v>
      </c>
      <c r="G15" s="34"/>
      <c r="H15" s="33"/>
      <c r="I15" s="33"/>
      <c r="J15" s="40">
        <f>C37*'E Balans VL '!D15/100/3.6*1000000+C37*'E Balans VL '!E15/100/3.6*1000000</f>
        <v>400.01075930706281</v>
      </c>
      <c r="K15" s="33"/>
      <c r="L15" s="33"/>
      <c r="M15" s="33"/>
      <c r="N15" s="33">
        <f>C37*'E Balans VL '!Y15/100/3.6*1000000</f>
        <v>7243.06041900526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205682.36515352674</v>
      </c>
      <c r="C18" s="21">
        <f>C5+C16</f>
        <v>0</v>
      </c>
      <c r="D18" s="21">
        <f>MAX((D5+D16),0)</f>
        <v>288834.6238207767</v>
      </c>
      <c r="E18" s="21">
        <f>MAX((E5+E16),0)</f>
        <v>12370.881779504702</v>
      </c>
      <c r="F18" s="21">
        <f>MAX((F5+F16),0)</f>
        <v>55725.049457993431</v>
      </c>
      <c r="G18" s="21"/>
      <c r="H18" s="21"/>
      <c r="I18" s="21"/>
      <c r="J18" s="21">
        <f>MAX((J5+J16),0)</f>
        <v>400.76335239316569</v>
      </c>
      <c r="K18" s="21"/>
      <c r="L18" s="21">
        <f>MAX((L5+L16),0)</f>
        <v>0</v>
      </c>
      <c r="M18" s="21"/>
      <c r="N18" s="21">
        <f>MAX((N5+N16),0)</f>
        <v>10639.979973314126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0.21605908545699362</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44439.543709702404</v>
      </c>
      <c r="C22" s="23">
        <f ca="1">C18*C20</f>
        <v>0</v>
      </c>
      <c r="D22" s="23">
        <f>D18*D20</f>
        <v>58344.5940117969</v>
      </c>
      <c r="E22" s="23">
        <f>E18*E20</f>
        <v>2808.1901639475673</v>
      </c>
      <c r="F22" s="23">
        <f>F18*F20</f>
        <v>14878.588205284246</v>
      </c>
      <c r="G22" s="23"/>
      <c r="H22" s="23"/>
      <c r="I22" s="23"/>
      <c r="J22" s="23">
        <f>J18*J20</f>
        <v>141.87022674718065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32618.105850109099</v>
      </c>
      <c r="C30" s="39">
        <f>IF(ISERROR(B30*3.6/1000000/'E Balans VL '!Z18*100),0,B30*3.6/1000000/'E Balans VL '!Z18*100)</f>
        <v>3.2095383504963255</v>
      </c>
      <c r="D30" s="235" t="s">
        <v>672</v>
      </c>
    </row>
    <row r="31" spans="1:18">
      <c r="A31" s="6" t="s">
        <v>32</v>
      </c>
      <c r="B31" s="37">
        <f>IF( ISERROR(IND_ander_ele_kWh/1000),0,IND_ander_ele_kWh/1000)</f>
        <v>9023.5645296471102</v>
      </c>
      <c r="C31" s="39">
        <f>IF(ISERROR(B31*3.6/1000000/'E Balans VL '!Z19*100),0,B31*3.6/1000000/'E Balans VL '!Z19*100)</f>
        <v>0.39296903723961163</v>
      </c>
      <c r="D31" s="235" t="s">
        <v>672</v>
      </c>
    </row>
    <row r="32" spans="1:18">
      <c r="A32" s="170" t="s">
        <v>40</v>
      </c>
      <c r="B32" s="37">
        <f>IF( ISERROR(IND_voed_ele_kWh/1000),0,IND_voed_ele_kWh/1000)</f>
        <v>2843.58947725402</v>
      </c>
      <c r="C32" s="39">
        <f>IF(ISERROR(B32*3.6/1000000/'E Balans VL '!Z20*100),0,B32*3.6/1000000/'E Balans VL '!Z20*100)</f>
        <v>0.53953009428743992</v>
      </c>
      <c r="D32" s="235" t="s">
        <v>672</v>
      </c>
    </row>
    <row r="33" spans="1:5">
      <c r="A33" s="170" t="s">
        <v>39</v>
      </c>
      <c r="B33" s="37">
        <f>IF( ISERROR(IND_textiel_ele_kWh/1000),0,IND_textiel_ele_kWh/1000)</f>
        <v>51.610872896671701</v>
      </c>
      <c r="C33" s="39">
        <f>IF(ISERROR(B33*3.6/1000000/'E Balans VL '!Z21*100),0,B33*3.6/1000000/'E Balans VL '!Z21*100)</f>
        <v>2.9467191104838712E-3</v>
      </c>
      <c r="D33" s="235" t="s">
        <v>672</v>
      </c>
    </row>
    <row r="34" spans="1:5">
      <c r="A34" s="170" t="s">
        <v>36</v>
      </c>
      <c r="B34" s="37">
        <f>IF( ISERROR(IND_min_ele_kWh/1000),0,IND_min_ele_kWh/1000)</f>
        <v>129.99767546376299</v>
      </c>
      <c r="C34" s="39">
        <f>IF(ISERROR(B34*3.6/1000000/'E Balans VL '!Z22*100),0,B34*3.6/1000000/'E Balans VL '!Z22*100)</f>
        <v>1.8278978566173373E-2</v>
      </c>
      <c r="D34" s="235" t="s">
        <v>672</v>
      </c>
    </row>
    <row r="35" spans="1:5">
      <c r="A35" s="170" t="s">
        <v>38</v>
      </c>
      <c r="B35" s="37">
        <f>IF( ISERROR(IND_papier_ele_kWh/1000),0,IND_papier_ele_kWh/1000)</f>
        <v>4948.0192561460999</v>
      </c>
      <c r="C35" s="39">
        <f>IF(ISERROR(B35*3.6/1000000/'E Balans VL '!Z22*100),0,B35*3.6/1000000/'E Balans VL '!Z22*100)</f>
        <v>0.69574119387480315</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156067.47749200999</v>
      </c>
      <c r="C37" s="39">
        <f>IF(ISERROR(B37*3.6/1000000/'E Balans VL '!Z15*100),0,B37*3.6/1000000/'E Balans VL '!Z15*100)</f>
        <v>1.2026916044511555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1073.7698392398031</v>
      </c>
      <c r="C5" s="17">
        <f>'Eigen informatie GS &amp; warmtenet'!B60</f>
        <v>0</v>
      </c>
      <c r="D5" s="30">
        <f>IF(ISERROR(SUM(LB_lb_gas_kWh,LB_rest_gas_kWh)/1000),0,SUM(LB_lb_gas_kWh,LB_rest_gas_kWh)/1000)*0.902</f>
        <v>1678.062947015517</v>
      </c>
      <c r="E5" s="17">
        <f>B17*'E Balans VL '!I25/3.6*1000000/100</f>
        <v>13.530883271227163</v>
      </c>
      <c r="F5" s="17">
        <f>B17*('E Balans VL '!L25/3.6*1000000+'E Balans VL '!N25/3.6*1000000)/100</f>
        <v>3704.774940795186</v>
      </c>
      <c r="G5" s="18"/>
      <c r="H5" s="17"/>
      <c r="I5" s="17"/>
      <c r="J5" s="17">
        <f>('E Balans VL '!D25+'E Balans VL '!E25)/3.6*1000000*landbouw!B17/100</f>
        <v>161.48277763693028</v>
      </c>
      <c r="K5" s="17"/>
      <c r="L5" s="17">
        <f>L6*(-1)</f>
        <v>0</v>
      </c>
      <c r="M5" s="17"/>
      <c r="N5" s="17">
        <f>N6*(-1)</f>
        <v>0</v>
      </c>
      <c r="O5" s="17"/>
      <c r="P5" s="17"/>
      <c r="R5" s="32"/>
    </row>
    <row r="6" spans="1:18">
      <c r="A6" s="16" t="s">
        <v>484</v>
      </c>
      <c r="B6" s="17" t="s">
        <v>204</v>
      </c>
      <c r="C6" s="17">
        <f>'lokale energieproductie'!O39+'lokale energieproductie'!O32</f>
        <v>22.5</v>
      </c>
      <c r="D6" s="305">
        <f>('lokale energieproductie'!P32+'lokale energieproductie'!P39)*(-1)</f>
        <v>-30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1073.7698392398031</v>
      </c>
      <c r="C8" s="21">
        <f>C5+C6</f>
        <v>22.5</v>
      </c>
      <c r="D8" s="21">
        <f>MAX((D5+D6),0)</f>
        <v>1648.062947015517</v>
      </c>
      <c r="E8" s="21">
        <f>MAX((E5+E6),0)</f>
        <v>13.530883271227163</v>
      </c>
      <c r="F8" s="21">
        <f>MAX((F5+F6),0)</f>
        <v>3704.774940795186</v>
      </c>
      <c r="G8" s="21"/>
      <c r="H8" s="21"/>
      <c r="I8" s="21"/>
      <c r="J8" s="21">
        <f>MAX((J5+J6),0)</f>
        <v>161.48277763693028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0.21605908545699362</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231.99772945745491</v>
      </c>
      <c r="C12" s="23">
        <f ca="1">C8*C10</f>
        <v>5.0500000000000007</v>
      </c>
      <c r="D12" s="23">
        <f>D8*D10</f>
        <v>332.90871529713445</v>
      </c>
      <c r="E12" s="23">
        <f>E8*E10</f>
        <v>3.0715105025685658</v>
      </c>
      <c r="F12" s="23">
        <f>F8*F10</f>
        <v>989.17490919231477</v>
      </c>
      <c r="G12" s="23"/>
      <c r="H12" s="23"/>
      <c r="I12" s="23"/>
      <c r="J12" s="23">
        <f>J8*J10</f>
        <v>57.164903283473315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0.14975704931309577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105.08977172097509</v>
      </c>
      <c r="C26" s="245">
        <f>B26*'GWP N2O_CH4'!B5</f>
        <v>2206.8852061404768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12.533889240906429</v>
      </c>
      <c r="C27" s="245">
        <f>B27*'GWP N2O_CH4'!B5</f>
        <v>263.21167405903503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1.6191958516356535</v>
      </c>
      <c r="C28" s="245">
        <f>B28*'GWP N2O_CH4'!B4</f>
        <v>501.95071400705257</v>
      </c>
      <c r="D28" s="50"/>
    </row>
    <row r="29" spans="1:4">
      <c r="A29" s="41" t="s">
        <v>266</v>
      </c>
      <c r="B29" s="245">
        <f>B34*'ha_N2O bodem landbouw'!B4</f>
        <v>11.293759399166413</v>
      </c>
      <c r="C29" s="245">
        <f>B29*'GWP N2O_CH4'!B4</f>
        <v>3501.0654137415881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2.8199388715782585E-3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2.0122677988394981E-4</v>
      </c>
      <c r="C5" s="434" t="s">
        <v>204</v>
      </c>
      <c r="D5" s="419">
        <f>SUM(D6:D11)</f>
        <v>1.8092855831940824E-4</v>
      </c>
      <c r="E5" s="419">
        <f>SUM(E6:E11)</f>
        <v>7.12225044358998E-3</v>
      </c>
      <c r="F5" s="432" t="s">
        <v>204</v>
      </c>
      <c r="G5" s="419">
        <f>SUM(G6:G11)</f>
        <v>1.9252799298707828</v>
      </c>
      <c r="H5" s="419">
        <f>SUM(H6:H11)</f>
        <v>0.31808657249078742</v>
      </c>
      <c r="I5" s="434" t="s">
        <v>204</v>
      </c>
      <c r="J5" s="434" t="s">
        <v>204</v>
      </c>
      <c r="K5" s="434" t="s">
        <v>204</v>
      </c>
      <c r="L5" s="434" t="s">
        <v>204</v>
      </c>
      <c r="M5" s="419">
        <f>SUM(M6:M11)</f>
        <v>0.10142816456413518</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7.8687155315082573E-5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7.0100917675009275E-5</v>
      </c>
      <c r="E6" s="873">
        <f>vkm_GW_PW*SUMIFS(TableVerdeelsleutelVkm[LPG],TableVerdeelsleutelVkm[Voertuigtype],"Lichte voertuigen")*SUMIFS(TableECFTransport[EnergieConsumptieFactor (PJ per km)],TableECFTransport[Index],CONCATENATE($A6,"_LPG_LPG"))</f>
        <v>2.523095588092856E-3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0.49454035577283489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0.12124071183342941</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2.7855820689313953E-2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1.1208394871654288E-6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0.1753956740185206</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3.9980973309356556E-6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7.9193849368198333E-3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2.1450473814044453E-5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3.0130786261905946E-5</v>
      </c>
      <c r="E8" s="422">
        <f>vkm_NGW_PW*SUMIFS(TableVerdeelsleutelVkm[LPG],TableVerdeelsleutelVkm[Voertuigtype],"Lichte voertuigen")*SUMIFS(TableECFTransport[EnergieConsumptieFactor (PJ per km)],TableECFTransport[Index],CONCATENATE($A8,"_LPG_LPG"))</f>
        <v>1.0321061765503777E-3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0.19002976426077173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5.0025094618247189E-2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1.08604642050871E-2</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1.3229393224499822E-7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2.6592271181214509E-2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5.6959518767251094E-7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1.2006803509252142E-3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9.7215561820153778E-5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8.0696854382493032E-5</v>
      </c>
      <c r="E10" s="422">
        <f>vkm_SW_PW*SUMIFS(TableVerdeelsleutelVkm[LPG],TableVerdeelsleutelVkm[Voertuigtype],"Lichte voertuigen")*SUMIFS(TableECFTransport[EnergieConsumptieFactor (PJ per km)],TableECFTransport[Index],CONCATENATE($A10,"_LPG_LPG"))</f>
        <v>3.5670486789467462E-3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0.64801616894323177</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0.14680657741402586</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3.5950817619773465E-2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2.6204555152585812E-6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0.39070569569420921</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9.6209325663702799E-6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1.7640996762215616E-2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55.896327745541612</v>
      </c>
      <c r="C14" s="21"/>
      <c r="D14" s="21">
        <f t="shared" ref="D14:M14" si="0">((D5)*10^9/3600)+D12</f>
        <v>50.257932866502287</v>
      </c>
      <c r="E14" s="21">
        <f t="shared" si="0"/>
        <v>1978.4029009972166</v>
      </c>
      <c r="F14" s="21"/>
      <c r="G14" s="21">
        <f t="shared" si="0"/>
        <v>534799.98051966191</v>
      </c>
      <c r="H14" s="21">
        <f t="shared" si="0"/>
        <v>88357.381247440964</v>
      </c>
      <c r="I14" s="21"/>
      <c r="J14" s="21"/>
      <c r="K14" s="21"/>
      <c r="L14" s="21"/>
      <c r="M14" s="21">
        <f t="shared" si="0"/>
        <v>28174.490156704218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0.21605908545699362</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12.076909453106099</v>
      </c>
      <c r="C18" s="23"/>
      <c r="D18" s="23">
        <f t="shared" ref="D18:M18" si="1">D14*D16</f>
        <v>10.152102439033463</v>
      </c>
      <c r="E18" s="23">
        <f t="shared" si="1"/>
        <v>449.0974585263682</v>
      </c>
      <c r="F18" s="23"/>
      <c r="G18" s="23">
        <f t="shared" si="1"/>
        <v>142791.59479874975</v>
      </c>
      <c r="H18" s="23">
        <f t="shared" si="1"/>
        <v>22000.987930612799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2.0204905447009211E-4</v>
      </c>
      <c r="C50" s="316">
        <f t="shared" ref="C50:P50" si="2">SUM(C51:C52)</f>
        <v>0</v>
      </c>
      <c r="D50" s="316">
        <f t="shared" si="2"/>
        <v>0</v>
      </c>
      <c r="E50" s="316">
        <f t="shared" si="2"/>
        <v>0</v>
      </c>
      <c r="F50" s="316">
        <f t="shared" si="2"/>
        <v>0</v>
      </c>
      <c r="G50" s="316">
        <f t="shared" si="2"/>
        <v>3.9327704227432606E-2</v>
      </c>
      <c r="H50" s="316">
        <f t="shared" si="2"/>
        <v>0</v>
      </c>
      <c r="I50" s="316">
        <f t="shared" si="2"/>
        <v>0</v>
      </c>
      <c r="J50" s="316">
        <f t="shared" si="2"/>
        <v>0</v>
      </c>
      <c r="K50" s="316">
        <f t="shared" si="2"/>
        <v>0</v>
      </c>
      <c r="L50" s="316">
        <f t="shared" si="2"/>
        <v>0</v>
      </c>
      <c r="M50" s="316">
        <f t="shared" si="2"/>
        <v>1.763487302660926E-3</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2.0204905447009211E-4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3.9327704227432606E-2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1.763487302660926E-3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56.124737352803365</v>
      </c>
      <c r="C54" s="21">
        <f t="shared" ref="C54:P54" si="3">(C50)*10^9/3600</f>
        <v>0</v>
      </c>
      <c r="D54" s="21">
        <f t="shared" si="3"/>
        <v>0</v>
      </c>
      <c r="E54" s="21">
        <f t="shared" si="3"/>
        <v>0</v>
      </c>
      <c r="F54" s="21">
        <f t="shared" si="3"/>
        <v>0</v>
      </c>
      <c r="G54" s="21">
        <f t="shared" si="3"/>
        <v>10924.362285397947</v>
      </c>
      <c r="H54" s="21">
        <f t="shared" si="3"/>
        <v>0</v>
      </c>
      <c r="I54" s="21">
        <f t="shared" si="3"/>
        <v>0</v>
      </c>
      <c r="J54" s="21">
        <f t="shared" si="3"/>
        <v>0</v>
      </c>
      <c r="K54" s="21">
        <f t="shared" si="3"/>
        <v>0</v>
      </c>
      <c r="L54" s="21">
        <f t="shared" si="3"/>
        <v>0</v>
      </c>
      <c r="M54" s="21">
        <f t="shared" si="3"/>
        <v>489.85758407247943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0.21605908545699362</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12.126259423960665</v>
      </c>
      <c r="C58" s="23">
        <f t="shared" ref="C58:P58" ca="1" si="4">C54*C56</f>
        <v>0</v>
      </c>
      <c r="D58" s="23">
        <f t="shared" si="4"/>
        <v>0</v>
      </c>
      <c r="E58" s="23">
        <f t="shared" si="4"/>
        <v>0</v>
      </c>
      <c r="F58" s="23">
        <f t="shared" si="4"/>
        <v>0</v>
      </c>
      <c r="G58" s="23">
        <f t="shared" si="4"/>
        <v>2916.8047302012519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377.58295964125563</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11761.720524026294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4.5</v>
      </c>
      <c r="C8" s="546">
        <f>B48</f>
        <v>5</v>
      </c>
      <c r="D8" s="1001"/>
      <c r="E8" s="1001">
        <f>E48</f>
        <v>0</v>
      </c>
      <c r="F8" s="1002"/>
      <c r="G8" s="547"/>
      <c r="H8" s="1001">
        <f>I48</f>
        <v>0</v>
      </c>
      <c r="I8" s="1001">
        <f>G48+F48</f>
        <v>0</v>
      </c>
      <c r="J8" s="1001">
        <f>H48+D48+C48</f>
        <v>0</v>
      </c>
      <c r="K8" s="1001"/>
      <c r="L8" s="1001"/>
      <c r="M8" s="1001"/>
      <c r="N8" s="548"/>
      <c r="O8" s="549">
        <f>C8*$C$12+D8*$D$12+E8*$E$12+F8*$F$12+G8*$G$12+H8*$H$12+I8*$I$12+J8*$J$12</f>
        <v>1.01</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12143.803483667549</v>
      </c>
      <c r="C10" s="559">
        <f t="shared" ref="C10:L10" si="0">SUM(C8:C9)</f>
        <v>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1.01</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22.5</v>
      </c>
      <c r="C17" s="571">
        <f>B49</f>
        <v>25</v>
      </c>
      <c r="D17" s="572"/>
      <c r="E17" s="572">
        <f>E49</f>
        <v>0</v>
      </c>
      <c r="F17" s="1007"/>
      <c r="G17" s="573"/>
      <c r="H17" s="571">
        <f>I49</f>
        <v>0</v>
      </c>
      <c r="I17" s="572">
        <f>G49+F49</f>
        <v>0</v>
      </c>
      <c r="J17" s="572">
        <f>H49+D49+C49</f>
        <v>0</v>
      </c>
      <c r="K17" s="572"/>
      <c r="L17" s="572"/>
      <c r="M17" s="572"/>
      <c r="N17" s="1008"/>
      <c r="O17" s="574">
        <f>C17*$C$22+E17*$E$22+H17*$H$22+I17*$I$22+J17*$J$22+D17*$D$22+F17*$F$22+G17*$G$22+K17*$K$22+L17*$L$22</f>
        <v>5.0500000000000007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22.5</v>
      </c>
      <c r="C20" s="558">
        <f>SUM(C17:C19)</f>
        <v>25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5.0500000000000007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v>12025</v>
      </c>
      <c r="C28" s="777">
        <v>2800</v>
      </c>
      <c r="D28" s="630"/>
      <c r="E28" s="629"/>
      <c r="F28" s="629"/>
      <c r="G28" s="629" t="s">
        <v>926</v>
      </c>
      <c r="H28" s="629" t="s">
        <v>926</v>
      </c>
      <c r="I28" s="629"/>
      <c r="J28" s="776"/>
      <c r="K28" s="776"/>
      <c r="L28" s="629" t="s">
        <v>927</v>
      </c>
      <c r="M28" s="629">
        <v>1</v>
      </c>
      <c r="N28" s="629">
        <v>4.5</v>
      </c>
      <c r="O28" s="629">
        <v>22.5</v>
      </c>
      <c r="P28" s="629">
        <v>30</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1</v>
      </c>
      <c r="N29" s="587">
        <f>SUM(N28:N28)</f>
        <v>4.5</v>
      </c>
      <c r="O29" s="587">
        <f>SUM(O28:O28)</f>
        <v>22.5</v>
      </c>
      <c r="P29" s="587">
        <f>SUM(P28:P28)</f>
        <v>30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1</v>
      </c>
      <c r="N32" s="592">
        <f>SUMIF($Z$28:$Z$28,"landbouw",N28:N28)</f>
        <v>4.5</v>
      </c>
      <c r="O32" s="592">
        <f>SUMIF($Z$28:$Z$28,"landbouw",O28:O28)</f>
        <v>22.5</v>
      </c>
      <c r="P32" s="592">
        <f>SUMIF($Z$28:$Z$28,"landbouw",P28:P28)</f>
        <v>30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25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2021-11-11T13:19:01Z</dcterms:modified>
</cp:coreProperties>
</file>