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7D670777-7DDD-4CB5-B2CC-965091CCBC3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I17" i="18" s="1"/>
  <c r="I20" i="18" s="1"/>
  <c r="B17" i="18"/>
  <c r="B20" i="18" s="1"/>
  <c r="I49" i="18"/>
  <c r="H17" i="18" s="1"/>
  <c r="F49" i="18"/>
  <c r="C49" i="18"/>
  <c r="B49" i="18"/>
  <c r="C17" i="18" s="1"/>
  <c r="C20" i="18" s="1"/>
  <c r="C45"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4" i="13"/>
  <c r="B33"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G14" i="22"/>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<sst xmlns="http://schemas.openxmlformats.org/spreadsheetml/2006/main" count="2511" uniqueCount="926">
  <si>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</si>
  <si>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</si>
  <si>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</si>
  <si>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</si>
  <si>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</si>
  <si>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</si>
  <si>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</si>
  <si>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</si>
  <si>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</si>
  <si>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</si>
  <si>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</si>
  <si>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</si>
  <si>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</si>
  <si>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</si>
  <si>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</si>
  <si>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</si>
  <si>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</si>
  <si>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</si>
  <si>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</si>
  <si>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</si>
  <si>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</si>
  <si>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</si>
  <si>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</si>
  <si>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</si>
  <si>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</si>
  <si>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</si>
  <si>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</si>
  <si>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</si>
  <si>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</si>
  <si>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</si>
  <si>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</si>
  <si>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</si>
  <si>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</si>
  <si>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</si>
  <si>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</si>
  <si>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</si>
  <si>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</si>
  <si>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</si>
  <si>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</si>
  <si>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</si>
  <si>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</si>
  <si>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</si>
  <si>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</si>
  <si>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</si>
  <si>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</si>
  <si>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</si>
  <si>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</si>
  <si>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</si>
  <si>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</si>
  <si>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</si>
  <si>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</si>
  <si>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</si>
  <si>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</si>
  <si>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</si>
  <si>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</si>
  <si>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</si>
  <si>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</si>
  <si>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</si>
  <si>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</si>
  <si>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</si>
  <si>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</si>
  <si>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</si>
  <si>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</si>
  <si>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</si>
  <si>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</si>
  <si>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</si>
  <si>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</si>
  <si>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</si>
  <si>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</si>
  <si>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</si>
  <si>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</si>
  <si>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</si>
  <si>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</si>
  <si>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</si>
  <si>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</si>
  <si>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</si>
  <si>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</si>
  <si>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</si>
  <si>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</si>
  <si>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</si>
  <si>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</si>
  <si>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</si>
  <si>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</si>
  <si>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</si>
  <si>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</si>
  <si>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</si>
  <si>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</si>
  <si>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</si>
  <si>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</si>
  <si>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</si>
  <si>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</si>
  <si>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</si>
  <si>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</si>
  <si>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</si>
  <si>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</si>
  <si>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</si>
  <si>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</si>
  <si>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</si>
  <si>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</si>
  <si>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</si>
  <si>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</si>
  <si>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</si>
  <si>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</si>
  <si>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</si>
  <si>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</si>
  <si>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</si>
  <si>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</si>
  <si>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</si>
  <si>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</si>
  <si>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</si>
  <si>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</si>
  <si>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</si>
  <si>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</si>
  <si>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</si>
  <si>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</si>
  <si>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</si>
  <si>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</si>
  <si>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</si>
  <si>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</si>
  <si>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</si>
  <si>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</si>
  <si>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</si>
  <si>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</si>
  <si>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</si>
  <si>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</si>
  <si>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</si>
  <si>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</si>
  <si>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</si>
  <si>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</si>
  <si>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</si>
  <si>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</si>
  <si>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</si>
  <si>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</si>
  <si>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</si>
  <si>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</si>
  <si>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</si>
  <si>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</si>
  <si>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</si>
  <si>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</si>
  <si>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</si>
  <si>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</si>
  <si>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</si>
  <si>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</si>
  <si>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</si>
  <si>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</si>
  <si>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</si>
  <si>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</si>
  <si>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</si>
  <si>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</si>
  <si>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</si>
  <si>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</si>
  <si>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</si>
  <si>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</si>
  <si>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</si>
  <si>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</si>
  <si>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</si>
  <si>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</si>
  <si>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</si>
  <si>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</si>
  <si>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</si>
  <si>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</si>
  <si>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</si>
  <si>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</si>
  <si>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</si>
  <si>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</si>
  <si>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</si>
  <si>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</si>
  <si>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</si>
  <si>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</si>
  <si>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</si>
  <si>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</si>
  <si>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</si>
  <si>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</si>
  <si>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</si>
  <si>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</si>
  <si>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</si>
  <si>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</si>
  <si>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</si>
  <si>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</si>
  <si>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</si>
  <si>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</si>
  <si>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</si>
  <si>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</si>
  <si>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</si>
  <si>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</si>
  <si>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</si>
  <si>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</si>
  <si>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</si>
  <si>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</si>
  <si>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</si>
  <si>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</si>
  <si>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</si>
  <si>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</si>
  <si>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</si>
  <si>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</si>
  <si>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</si>
  <si>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</si>
  <si>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</si>
  <si>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</si>
  <si>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</si>
  <si>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</si>
  <si>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</si>
  <si>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</si>
  <si>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</si>
  <si>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</si>
  <si>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</si>
  <si>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</si>
  <si>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</si>
  <si>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</si>
  <si>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</si>
  <si>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</si>
  <si>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</si>
  <si>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</si>
  <si>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</si>
  <si>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</si>
  <si>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</si>
  <si>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</si>
  <si>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</si>
  <si>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</si>
  <si>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</si>
  <si>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</si>
  <si>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</si>
  <si>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</si>
  <si>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</si>
  <si>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</si>
  <si>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</si>
  <si>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</si>
  <si>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</si>
  <si>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</si>
  <si>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</si>
  <si>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</si>
  <si>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</si>
  <si>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</si>
  <si>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</si>
  <si>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</si>
  <si>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</si>
  <si>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</si>
  <si>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</si>
  <si>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</si>
  <si>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</si>
  <si>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</si>
  <si>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</si>
  <si>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</si>
  <si>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</si>
  <si>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</si>
  <si>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</si>
  <si>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</si>
  <si>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</si>
  <si>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</si>
  <si>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</si>
  <si>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</si>
  <si>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</si>
  <si>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</si>
  <si>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</si>
  <si>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</si>
  <si>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</si>
  <si>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</si>
  <si>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</si>
  <si>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</si>
  <si>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</si>
  <si>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</si>
  <si>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</si>
  <si>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</si>
  <si>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</si>
  <si>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</si>
  <si>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</si>
  <si>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</si>
  <si>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</si>
  <si>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</si>
  <si>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</si>
  <si>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</si>
  <si>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</si>
  <si>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</si>
  <si>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</si>
  <si>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</si>
  <si>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</si>
  <si>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</si>
  <si>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</si>
  <si>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</si>
  <si>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</si>
  <si>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</si>
  <si>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</si>
  <si>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</si>
  <si>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</si>
  <si>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</si>
  <si>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</si>
  <si>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</si>
  <si>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</si>
  <si>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</si>
  <si>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</si>
  <si>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</si>
  <si>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</si>
  <si>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</si>
  <si>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</si>
  <si>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</si>
  <si>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</si>
  <si>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</si>
  <si>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</si>
  <si>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</si>
  <si>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</si>
  <si>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</si>
  <si>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</si>
  <si>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</si>
  <si>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</si>
  <si>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</si>
  <si>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</si>
  <si>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</si>
  <si>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</si>
  <si>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</si>
  <si>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</si>
  <si>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</si>
  <si>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</si>
  <si>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</si>
  <si>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</si>
  <si>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</si>
  <si>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</si>
  <si>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</si>
  <si>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</si>
  <si>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</si>
  <si>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</si>
  <si>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</si>
  <si>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</si>
  <si>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</si>
  <si>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</si>
  <si>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</si>
  <si>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</si>
  <si>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</si>
  <si>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</si>
  <si>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</si>
  <si>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</si>
  <si>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</si>
  <si>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</si>
  <si>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</si>
  <si>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</si>
  <si>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</si>
  <si>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</si>
  <si>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</si>
  <si>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</si>
  <si>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</si>
  <si>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</si>
  <si>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</si>
  <si>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</si>
  <si>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</si>
  <si>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</si>
  <si>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</si>
  <si>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</si>
  <si>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</si>
  <si>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</si>
  <si>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</si>
  <si>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</si>
  <si>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</si>
  <si>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</si>
  <si>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</si>
  <si>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</si>
  <si>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</si>
  <si>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</si>
  <si>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</si>
  <si>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</si>
  <si>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</si>
  <si>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</si>
  <si>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</si>
  <si>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</si>
  <si>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</si>
  <si>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</si>
  <si>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</si>
  <si>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</si>
  <si>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</si>
  <si>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</si>
  <si>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</si>
  <si>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</si>
  <si>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</si>
  <si>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</si>
  <si>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</si>
  <si>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</si>
  <si>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</si>
  <si>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</si>
  <si>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</si>
  <si>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</si>
  <si>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</si>
  <si>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</si>
  <si>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</si>
  <si>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</si>
  <si>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</si>
  <si>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</si>
  <si>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</si>
  <si>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</si>
  <si>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</si>
  <si>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</si>
  <si>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</si>
  <si>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</si>
  <si>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</si>
  <si>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</si>
  <si>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</si>
  <si>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</si>
  <si>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</si>
  <si>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</si>
  <si>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</si>
  <si>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</si>
  <si>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</si>
  <si>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</si>
  <si>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</si>
  <si>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</si>
  <si>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</si>
  <si>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</si>
  <si>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</si>
  <si>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</si>
  <si>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</si>
  <si>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</si>
  <si>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</si>
  <si>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</si>
  <si>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</si>
  <si>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</si>
  <si>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</si>
  <si>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</si>
  <si>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</si>
  <si>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</si>
  <si>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</si>
  <si>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</si>
  <si>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</si>
  <si>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</si>
  <si>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</si>
  <si>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</si>
  <si>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</si>
  <si>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</si>
  <si>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</si>
  <si>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</si>
  <si>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</si>
  <si>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</si>
  <si>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</si>
  <si>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</si>
  <si>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</si>
  <si>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</si>
  <si>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</si>
  <si>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</si>
  <si>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</si>
  <si>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</si>
  <si>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</si>
  <si>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</si>
  <si>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</si>
  <si>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</si>
  <si>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</si>
  <si>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</si>
  <si>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</si>
  <si>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</si>
  <si>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</si>
  <si>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</si>
  <si>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</si>
  <si>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</si>
  <si>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</si>
  <si>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</si>
  <si>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</si>
  <si>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</si>
  <si>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</si>
  <si>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</si>
  <si>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</si>
  <si>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</si>
  <si>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</si>
  <si>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</si>
  <si>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</si>
  <si>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</si>
  <si>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</si>
  <si>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</si>
  <si>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</si>
  <si>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</si>
  <si>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</si>
  <si>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</si>
  <si>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</si>
  <si>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</si>
  <si>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</si>
  <si>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</si>
  <si>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</si>
  <si>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</si>
  <si>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</si>
  <si>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</si>
  <si>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</si>
  <si>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</si>
  <si>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</si>
  <si>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</si>
  <si>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</si>
  <si>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</si>
  <si>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</si>
  <si>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</si>
  <si>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</si>
  <si>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</si>
  <si>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</si>
  <si>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</si>
  <si>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</si>
  <si>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</si>
  <si>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</si>
  <si>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</si>
  <si>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</si>
  <si>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</si>
  <si>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</si>
  <si>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</si>
  <si>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</si>
  <si>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</si>
  <si>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</si>
  <si>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</si>
  <si>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</si>
  <si>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</si>
  <si>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</si>
  <si>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</si>
  <si>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</si>
  <si>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</si>
  <si>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</si>
  <si>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</si>
  <si>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</si>
  <si>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</si>
  <si>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</si>
  <si>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</si>
  <si>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</si>
  <si>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</si>
  <si>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</si>
  <si>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</si>
  <si>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</si>
  <si>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</si>
  <si>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</si>
  <si>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</si>
  <si>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</si>
  <si>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</si>
  <si>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</si>
  <si>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</si>
  <si>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</si>
  <si>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</si>
  <si>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</si>
  <si>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</si>
  <si>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</si>
  <si>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</si>
  <si>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</si>
  <si>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</si>
  <si>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</si>
  <si>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</si>
  <si>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</si>
  <si>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</si>
  <si>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</si>
  <si>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</si>
  <si>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</si>
  <si>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</si>
  <si>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</si>
  <si>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</si>
  <si>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</si>
  <si>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</si>
  <si>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</si>
  <si>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</si>
  <si>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</si>
  <si>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</si>
  <si>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</si>
  <si>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</si>
  <si>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</si>
  <si>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</si>
  <si>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</si>
  <si>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</si>
  <si>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</si>
  <si>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</si>
  <si>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</si>
  <si>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</si>
  <si>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</si>
  <si>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</si>
  <si>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</si>
  <si>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</si>
  <si>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</si>
  <si>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</si>
  <si>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</si>
  <si>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</si>
  <si>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</si>
  <si>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</si>
  <si>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</si>
  <si>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</si>
  <si>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</si>
  <si>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</si>
  <si>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</si>
  <si>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</si>
  <si>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</si>
  <si>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</si>
  <si>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</si>
  <si>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</si>
  <si>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</si>
  <si>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</si>
  <si>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</si>
  <si>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</si>
  <si>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</si>
  <si>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</si>
  <si>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</si>
  <si>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</si>
  <si>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</si>
  <si>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</si>
  <si>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</si>
  <si>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</si>
  <si>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</si>
  <si>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</si>
  <si>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</si>
  <si>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</si>
  <si>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</si>
  <si>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</si>
  <si>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</si>
  <si>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</si>
  <si>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</si>
  <si>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</si>
  <si>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</si>
  <si>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</si>
  <si>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</si>
  <si>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</si>
  <si>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</si>
  <si>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</si>
  <si>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</si>
  <si>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</si>
  <si>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</si>
  <si>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</si>
  <si>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</si>
  <si>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</si>
  <si>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</si>
  <si>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</si>
  <si>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</si>
  <si>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</si>
  <si>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</si>
  <si>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</si>
  <si>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</si>
  <si>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</si>
  <si>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</si>
  <si>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</si>
  <si>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</si>
  <si>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</si>
  <si>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</si>
  <si>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</si>
  <si>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</si>
  <si>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</si>
  <si>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</si>
  <si>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</si>
  <si>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</si>
  <si>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</si>
  <si>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</si>
  <si>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</si>
  <si>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</si>
  <si>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</si>
  <si>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</si>
  <si>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</si>
  <si>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</si>
  <si>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</si>
  <si>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</si>
  <si>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</si>
  <si>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</si>
  <si>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</si>
  <si>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</si>
  <si>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</si>
  <si>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</si>
  <si>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</si>
  <si>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</si>
  <si>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</si>
  <si>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</si>
  <si>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</si>
  <si>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</si>
  <si>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</si>
  <si>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</si>
  <si>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</si>
  <si>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</si>
  <si>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</si>
  <si>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</si>
  <si>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</si>
  <si>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</si>
  <si>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</si>
  <si>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</si>
  <si>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</si>
  <si>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</si>
  <si>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</si>
  <si>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</si>
  <si>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</si>
  <si>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</si>
  <si>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</si>
  <si>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</si>
  <si>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</si>
  <si>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</si>
  <si>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</si>
  <si>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</si>
  <si>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</si>
  <si>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</si>
  <si>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</si>
  <si>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</si>
  <si>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</si>
  <si>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</si>
  <si>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</si>
  <si>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</si>
  <si>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</si>
  <si>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</si>
  <si>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</si>
  <si>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</si>
  <si>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</si>
  <si>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</si>
  <si>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</si>
  <si>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</si>
  <si>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</si>
  <si>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</si>
  <si>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</si>
  <si>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</si>
  <si>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</si>
  <si>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</si>
  <si>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</si>
  <si>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</si>
  <si>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</si>
  <si>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</si>
  <si>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</si>
  <si>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</si>
  <si>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</si>
  <si>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</si>
  <si>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</si>
  <si>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</si>
  <si>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</si>
  <si>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</si>
  <si>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</si>
  <si>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</si>
  <si>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</si>
  <si>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</si>
  <si>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</si>
  <si>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</si>
  <si>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</si>
  <si>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</si>
  <si>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</si>
  <si>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</si>
  <si>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</si>
  <si>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</si>
  <si>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</si>
  <si>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</si>
  <si>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</si>
  <si>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</si>
  <si>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</si>
  <si>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</si>
  <si>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</si>
  <si>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</si>
  <si>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</si>
  <si>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</si>
  <si>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</si>
  <si>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</si>
  <si>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</si>
  <si>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</si>
  <si>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</si>
  <si>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</si>
  <si>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</si>
  <si>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</si>
  <si>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</si>
  <si>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</si>
  <si>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</si>
  <si>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</si>
  <si>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</si>
  <si>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</si>
  <si>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</si>
  <si>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</si>
  <si>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</si>
  <si>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</si>
  <si>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</si>
  <si>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</si>
  <si>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</si>
  <si>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</si>
  <si>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</si>
  <si>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</si>
  <si>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</si>
  <si>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</si>
  <si>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</si>
  <si>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</si>
  <si>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</si>
  <si>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</si>
  <si>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</si>
  <si>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</si>
  <si>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</si>
  <si>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</si>
  <si>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</si>
  <si>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</si>
  <si>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</si>
  <si>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</si>
  <si>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</si>
  <si>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</si>
  <si>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</si>
  <si>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</si>
  <si>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</si>
  <si>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</si>
  <si>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</si>
  <si>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</si>
  <si>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</si>
  <si>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</si>
  <si>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</si>
  <si>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</si>
  <si>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</si>
  <si>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</si>
  <si>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</si>
  <si>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</si>
  <si>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</si>
  <si>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</si>
  <si>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</si>
  <si>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</si>
  <si>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</si>
  <si>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</si>
  <si>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</si>
  <si>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</si>
  <si>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</si>
  <si>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</si>
  <si>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</si>
  <si>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</si>
  <si>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</si>
  <si>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</si>
  <si>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</si>
  <si>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</si>
  <si>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</si>
  <si>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</si>
  <si>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</si>
  <si>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</si>
  <si>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</si>
  <si>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</si>
  <si>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</si>
  <si>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</si>
  <si>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</si>
  <si>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</si>
  <si>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</si>
  <si>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</si>
  <si>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</si>
  <si>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</si>
  <si>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</si>
  <si>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</si>
  <si>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</si>
  <si>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</si>
  <si>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</si>
  <si>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</si>
  <si>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</si>
  <si>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</si>
  <si>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</si>
  <si>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</si>
  <si>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</si>
  <si>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</si>
  <si>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</si>
  <si>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</si>
  <si>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</si>
  <si>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</si>
  <si>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</si>
  <si>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</si>
  <si>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</si>
  <si>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</si>
  <si>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</si>
  <si>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</si>
  <si>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</si>
  <si>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</si>
  <si>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</si>
  <si>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</si>
  <si>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</si>
  <si>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</si>
  <si>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</si>
  <si>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</si>
  <si>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</si>
  <si>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</si>
  <si>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</si>
  <si>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</si>
  <si>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</si>
  <si>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</si>
  <si>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</si>
  <si>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</si>
  <si>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</si>
  <si>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</si>
  <si>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</si>
  <si>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</si>
  <si>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</si>
  <si>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</si>
  <si>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</si>
  <si>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</si>
  <si>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</si>
  <si>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</si>
  <si>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</si>
  <si>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</si>
  <si>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</si>
  <si>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</si>
  <si>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</si>
  <si>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</si>
  <si>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</si>
  <si>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</si>
  <si>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</si>
  <si>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</si>
  <si>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</si>
  <si>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</si>
  <si>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</si>
  <si>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</si>
  <si>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</si>
  <si>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</si>
  <si>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</si>
  <si>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</si>
  <si>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</si>
  <si>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</si>
  <si>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</si>
  <si>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</si>
  <si>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</si>
  <si>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</si>
  <si>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</si>
  <si>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</si>
  <si>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</si>
  <si>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</si>
  <si>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</si>
  <si>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</si>
  <si>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</si>
  <si>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</si>
  <si>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</si>
  <si>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</si>
  <si>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</si>
  <si>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</si>
  <si>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</si>
  <si>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</si>
  <si>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</si>
  <si>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</si>
  <si>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</si>
  <si>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</si>
  <si>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</si>
  <si>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</si>
  <si>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</si>
  <si>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</si>
  <si>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</si>
  <si>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</si>
  <si>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</si>
  <si>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</si>
  <si>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</si>
  <si>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</si>
  <si>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</si>
  <si>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</si>
  <si>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</si>
  <si>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</si>
  <si>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</si>
  <si>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</si>
  <si>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12014</t>
  </si>
  <si>
    <t>HEIST-OP-DEN-BERG</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</si>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</sst>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766C9B2D-F2FE-4E93-B405-AE52AFE6A7FB}"/>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413943.52714854333</c:v>
                </c:pt>
                <c:pt idx="1">
                  <c:v>129154.80344088645</c:v>
                </c:pt>
                <c:pt idx="2">
                  <c:v>2865.9960000000001</c:v>
                </c:pt>
                <c:pt idx="3">
                  <c:v>10571.616075339161</c:v>
                </c:pt>
                <c:pt idx="4">
                  <c:v>126375.17064717978</c:v>
                </c:pt>
                <c:pt idx="5">
                  <c:v>190503.57895305593</c:v>
                </c:pt>
                <c:pt idx="6">
                  <c:v>2777.6520797204184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413943.52714854333</c:v>
                </c:pt>
                <c:pt idx="1">
                  <c:v>129154.80344088645</c:v>
                </c:pt>
                <c:pt idx="2">
                  <c:v>2865.9960000000001</c:v>
                </c:pt>
                <c:pt idx="3">
                  <c:v>10571.616075339161</c:v>
                </c:pt>
                <c:pt idx="4">
                  <c:v>126375.17064717978</c:v>
                </c:pt>
                <c:pt idx="5">
                  <c:v>190503.57895305593</c:v>
                </c:pt>
                <c:pt idx="6">
                  <c:v>2777.6520797204184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88517.502639204657</c:v>
                </c:pt>
                <c:pt idx="2">
                  <c:v>26201.760429730319</c:v>
                </c:pt>
                <c:pt idx="3">
                  <c:v>597.74050565082712</c:v>
                </c:pt>
                <c:pt idx="4">
                  <c:v>2671.4114048931665</c:v>
                </c:pt>
                <c:pt idx="5">
                  <c:v>26653.081937677987</c:v>
                </c:pt>
                <c:pt idx="6">
                  <c:v>48082.122576562419</c:v>
                </c:pt>
                <c:pt idx="7">
                  <c:v>709.16636940400531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88517.502639204657</c:v>
                </c:pt>
                <c:pt idx="2">
                  <c:v>26201.760429730319</c:v>
                </c:pt>
                <c:pt idx="3">
                  <c:v>597.74050565082712</c:v>
                </c:pt>
                <c:pt idx="4">
                  <c:v>2671.4114048931665</c:v>
                </c:pt>
                <c:pt idx="5">
                  <c:v>26653.081937677987</c:v>
                </c:pt>
                <c:pt idx="6">
                  <c:v>48082.122576562419</c:v>
                </c:pt>
                <c:pt idx="7">
                  <c:v>709.16636940400531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12014</v>
      </c>
      <c r="B6" s="385"/>
      <c r="C6" s="386"/>
    </row>
    <row r="7" spans="1:7" s="383" customFormat="1" ht="15.75" customHeight="1">
      <c r="A7" s="387" t="str">
        <f>txtMunicipality</f>
        <v>HEIST-OP-DEN-BERG</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54838.466240266571</v>
      </c>
      <c r="D10" s="676">
        <f ca="1">tertiair!C16</f>
        <v>0</v>
      </c>
      <c r="E10" s="676">
        <f ca="1">tertiair!D16</f>
        <v>61528.787048509963</v>
      </c>
      <c r="F10" s="676">
        <f>tertiair!E16</f>
        <v>698.72029421828381</v>
      </c>
      <c r="G10" s="676">
        <f ca="1">tertiair!F16</f>
        <v>10392.530275037916</v>
      </c>
      <c r="H10" s="676">
        <f>tertiair!G16</f>
        <v>0</v>
      </c>
      <c r="I10" s="676">
        <f>tertiair!H16</f>
        <v>0</v>
      </c>
      <c r="J10" s="676">
        <f>tertiair!I16</f>
        <v>0</v>
      </c>
      <c r="K10" s="676">
        <f>tertiair!J16</f>
        <v>0</v>
      </c>
      <c r="L10" s="676">
        <f>tertiair!K16</f>
        <v>0</v>
      </c>
      <c r="M10" s="676">
        <f ca="1">tertiair!L16</f>
        <v>0</v>
      </c>
      <c r="N10" s="676">
        <f>tertiair!M16</f>
        <v>0</v>
      </c>
      <c r="O10" s="676">
        <f ca="1">tertiair!N16</f>
        <v>4514.7822495203754</v>
      </c>
      <c r="P10" s="676">
        <f>tertiair!O16</f>
        <v>9.3800000000000008</v>
      </c>
      <c r="Q10" s="677">
        <f>tertiair!P16</f>
        <v>38.133333333333333</v>
      </c>
      <c r="R10" s="679">
        <f ca="1">SUM(C10:Q10)</f>
        <v>132020.79944088645</v>
      </c>
      <c r="S10" s="67"/>
    </row>
    <row r="11" spans="1:19" s="444" customFormat="1">
      <c r="A11" s="791" t="s">
        <v>214</v>
      </c>
      <c r="B11" s="796"/>
      <c r="C11" s="676">
        <f>huishoudens!B8</f>
        <v>75169.573604371501</v>
      </c>
      <c r="D11" s="676">
        <f>huishoudens!C8</f>
        <v>0</v>
      </c>
      <c r="E11" s="676">
        <f>huishoudens!D8</f>
        <v>149259.83344932544</v>
      </c>
      <c r="F11" s="676">
        <f>huishoudens!E8</f>
        <v>4955.3650648495222</v>
      </c>
      <c r="G11" s="676">
        <f>huishoudens!F8</f>
        <v>151859.50509381603</v>
      </c>
      <c r="H11" s="676">
        <f>huishoudens!G8</f>
        <v>0</v>
      </c>
      <c r="I11" s="676">
        <f>huishoudens!H8</f>
        <v>0</v>
      </c>
      <c r="J11" s="676">
        <f>huishoudens!I8</f>
        <v>0</v>
      </c>
      <c r="K11" s="676">
        <f>huishoudens!J8</f>
        <v>2875.9166477198969</v>
      </c>
      <c r="L11" s="676">
        <f>huishoudens!K8</f>
        <v>0</v>
      </c>
      <c r="M11" s="676">
        <f>huishoudens!L8</f>
        <v>0</v>
      </c>
      <c r="N11" s="676">
        <f>huishoudens!M8</f>
        <v>0</v>
      </c>
      <c r="O11" s="676">
        <f>huishoudens!N8</f>
        <v>27758.373288460869</v>
      </c>
      <c r="P11" s="676">
        <f>huishoudens!O8</f>
        <v>425.22666666666669</v>
      </c>
      <c r="Q11" s="677">
        <f>huishoudens!P8</f>
        <v>1639.7333333333333</v>
      </c>
      <c r="R11" s="679">
        <f>SUM(C11:Q11)</f>
        <v>413943.52714854333</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58423.773421394006</v>
      </c>
      <c r="D13" s="676">
        <f>industrie!C18</f>
        <v>0</v>
      </c>
      <c r="E13" s="676">
        <f>industrie!D18</f>
        <v>39254.247304087708</v>
      </c>
      <c r="F13" s="676">
        <f>industrie!E18</f>
        <v>6691.4050551330129</v>
      </c>
      <c r="G13" s="676">
        <f>industrie!F18</f>
        <v>18764.294754577033</v>
      </c>
      <c r="H13" s="676">
        <f>industrie!G18</f>
        <v>0</v>
      </c>
      <c r="I13" s="676">
        <f>industrie!H18</f>
        <v>0</v>
      </c>
      <c r="J13" s="676">
        <f>industrie!I18</f>
        <v>0</v>
      </c>
      <c r="K13" s="676">
        <f>industrie!J18</f>
        <v>27.331426902664166</v>
      </c>
      <c r="L13" s="676">
        <f>industrie!K18</f>
        <v>0</v>
      </c>
      <c r="M13" s="676">
        <f>industrie!L18</f>
        <v>0</v>
      </c>
      <c r="N13" s="676">
        <f>industrie!M18</f>
        <v>0</v>
      </c>
      <c r="O13" s="676">
        <f>industrie!N18</f>
        <v>3214.1186850853665</v>
      </c>
      <c r="P13" s="676">
        <f>industrie!O18</f>
        <v>0</v>
      </c>
      <c r="Q13" s="677">
        <f>industrie!P18</f>
        <v>0</v>
      </c>
      <c r="R13" s="679">
        <f>SUM(C13:Q13)</f>
        <v>126375.17064717978</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188431.81326603208</v>
      </c>
      <c r="D16" s="711">
        <f t="shared" ref="D16:R16" ca="1" si="0">SUM(D9:D15)</f>
        <v>0</v>
      </c>
      <c r="E16" s="711">
        <f t="shared" ca="1" si="0"/>
        <v>250042.8678019231</v>
      </c>
      <c r="F16" s="711">
        <f t="shared" si="0"/>
        <v>12345.49041420082</v>
      </c>
      <c r="G16" s="711">
        <f t="shared" ca="1" si="0"/>
        <v>181016.33012343099</v>
      </c>
      <c r="H16" s="711">
        <f t="shared" si="0"/>
        <v>0</v>
      </c>
      <c r="I16" s="711">
        <f t="shared" si="0"/>
        <v>0</v>
      </c>
      <c r="J16" s="711">
        <f t="shared" si="0"/>
        <v>0</v>
      </c>
      <c r="K16" s="711">
        <f t="shared" si="0"/>
        <v>2903.248074622561</v>
      </c>
      <c r="L16" s="711">
        <f t="shared" si="0"/>
        <v>0</v>
      </c>
      <c r="M16" s="711">
        <f t="shared" ca="1" si="0"/>
        <v>0</v>
      </c>
      <c r="N16" s="711">
        <f t="shared" si="0"/>
        <v>0</v>
      </c>
      <c r="O16" s="711">
        <f t="shared" ca="1" si="0"/>
        <v>35487.274223066612</v>
      </c>
      <c r="P16" s="711">
        <f t="shared" si="0"/>
        <v>434.60666666666668</v>
      </c>
      <c r="Q16" s="711">
        <f t="shared" si="0"/>
        <v>1677.8666666666668</v>
      </c>
      <c r="R16" s="711">
        <f t="shared" ca="1" si="0"/>
        <v>672339.49723660958</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13.591134248838621</v>
      </c>
      <c r="D19" s="676">
        <f>transport!C54</f>
        <v>0</v>
      </c>
      <c r="E19" s="676">
        <f>transport!D54</f>
        <v>0</v>
      </c>
      <c r="F19" s="676">
        <f>transport!E54</f>
        <v>0</v>
      </c>
      <c r="G19" s="676">
        <f>transport!F54</f>
        <v>0</v>
      </c>
      <c r="H19" s="676">
        <f>transport!G54</f>
        <v>2645.4373135053402</v>
      </c>
      <c r="I19" s="676">
        <f>transport!H54</f>
        <v>0</v>
      </c>
      <c r="J19" s="676">
        <f>transport!I54</f>
        <v>0</v>
      </c>
      <c r="K19" s="676">
        <f>transport!J54</f>
        <v>0</v>
      </c>
      <c r="L19" s="676">
        <f>transport!K54</f>
        <v>0</v>
      </c>
      <c r="M19" s="676">
        <f>transport!L54</f>
        <v>0</v>
      </c>
      <c r="N19" s="676">
        <f>transport!M54</f>
        <v>118.62363196623984</v>
      </c>
      <c r="O19" s="676">
        <f>transport!N54</f>
        <v>0</v>
      </c>
      <c r="P19" s="676">
        <f>transport!O54</f>
        <v>0</v>
      </c>
      <c r="Q19" s="677">
        <f>transport!P54</f>
        <v>0</v>
      </c>
      <c r="R19" s="679">
        <f>SUM(C19:Q19)</f>
        <v>2777.6520797204184</v>
      </c>
      <c r="S19" s="67"/>
    </row>
    <row r="20" spans="1:19" s="444" customFormat="1">
      <c r="A20" s="791" t="s">
        <v>296</v>
      </c>
      <c r="B20" s="796"/>
      <c r="C20" s="676">
        <f>transport!B14</f>
        <v>18.532038889539994</v>
      </c>
      <c r="D20" s="676">
        <f>transport!C14</f>
        <v>0</v>
      </c>
      <c r="E20" s="676">
        <f>transport!D14</f>
        <v>18.231574826996646</v>
      </c>
      <c r="F20" s="676">
        <f>transport!E14</f>
        <v>647.34625229142841</v>
      </c>
      <c r="G20" s="676">
        <f>transport!F14</f>
        <v>0</v>
      </c>
      <c r="H20" s="676">
        <f>transport!G14</f>
        <v>150426.46899160647</v>
      </c>
      <c r="I20" s="676">
        <f>transport!H14</f>
        <v>31179.758563058731</v>
      </c>
      <c r="J20" s="676">
        <f>transport!I14</f>
        <v>0</v>
      </c>
      <c r="K20" s="676">
        <f>transport!J14</f>
        <v>0</v>
      </c>
      <c r="L20" s="676">
        <f>transport!K14</f>
        <v>0</v>
      </c>
      <c r="M20" s="676">
        <f>transport!L14</f>
        <v>0</v>
      </c>
      <c r="N20" s="676">
        <f>transport!M14</f>
        <v>8213.2415323827463</v>
      </c>
      <c r="O20" s="676">
        <f>transport!N14</f>
        <v>0</v>
      </c>
      <c r="P20" s="676">
        <f>transport!O14</f>
        <v>0</v>
      </c>
      <c r="Q20" s="677">
        <f>transport!P14</f>
        <v>0</v>
      </c>
      <c r="R20" s="679">
        <f>SUM(C20:Q20)</f>
        <v>190503.57895305593</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32.123173138378618</v>
      </c>
      <c r="D22" s="794">
        <f t="shared" ref="D22:R22" si="1">SUM(D18:D21)</f>
        <v>0</v>
      </c>
      <c r="E22" s="794">
        <f t="shared" si="1"/>
        <v>18.231574826996646</v>
      </c>
      <c r="F22" s="794">
        <f t="shared" si="1"/>
        <v>647.34625229142841</v>
      </c>
      <c r="G22" s="794">
        <f t="shared" si="1"/>
        <v>0</v>
      </c>
      <c r="H22" s="794">
        <f t="shared" si="1"/>
        <v>153071.9063051118</v>
      </c>
      <c r="I22" s="794">
        <f t="shared" si="1"/>
        <v>31179.758563058731</v>
      </c>
      <c r="J22" s="794">
        <f t="shared" si="1"/>
        <v>0</v>
      </c>
      <c r="K22" s="794">
        <f t="shared" si="1"/>
        <v>0</v>
      </c>
      <c r="L22" s="794">
        <f t="shared" si="1"/>
        <v>0</v>
      </c>
      <c r="M22" s="794">
        <f t="shared" si="1"/>
        <v>0</v>
      </c>
      <c r="N22" s="794">
        <f t="shared" si="1"/>
        <v>8331.8651643489866</v>
      </c>
      <c r="O22" s="794">
        <f t="shared" si="1"/>
        <v>0</v>
      </c>
      <c r="P22" s="794">
        <f t="shared" si="1"/>
        <v>0</v>
      </c>
      <c r="Q22" s="794">
        <f t="shared" si="1"/>
        <v>0</v>
      </c>
      <c r="R22" s="794">
        <f t="shared" si="1"/>
        <v>193281.23103277636</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2109.9920078773221</v>
      </c>
      <c r="D24" s="676">
        <f>+landbouw!C8</f>
        <v>0</v>
      </c>
      <c r="E24" s="676">
        <f>+landbouw!D8</f>
        <v>837.7156257391174</v>
      </c>
      <c r="F24" s="676">
        <f>+landbouw!E8</f>
        <v>26.588617521630937</v>
      </c>
      <c r="G24" s="676">
        <f>+landbouw!F8</f>
        <v>7280.0010117589582</v>
      </c>
      <c r="H24" s="676">
        <f>+landbouw!G8</f>
        <v>0</v>
      </c>
      <c r="I24" s="676">
        <f>+landbouw!H8</f>
        <v>0</v>
      </c>
      <c r="J24" s="676">
        <f>+landbouw!I8</f>
        <v>0</v>
      </c>
      <c r="K24" s="676">
        <f>+landbouw!J8</f>
        <v>317.31881244213224</v>
      </c>
      <c r="L24" s="676">
        <f>+landbouw!K8</f>
        <v>0</v>
      </c>
      <c r="M24" s="676">
        <f>+landbouw!L8</f>
        <v>0</v>
      </c>
      <c r="N24" s="676">
        <f>+landbouw!M8</f>
        <v>0</v>
      </c>
      <c r="O24" s="676">
        <f>+landbouw!N8</f>
        <v>0</v>
      </c>
      <c r="P24" s="676">
        <f>+landbouw!O8</f>
        <v>0</v>
      </c>
      <c r="Q24" s="677">
        <f>+landbouw!P8</f>
        <v>0</v>
      </c>
      <c r="R24" s="679">
        <f>SUM(C24:Q24)</f>
        <v>10571.616075339161</v>
      </c>
      <c r="S24" s="67"/>
    </row>
    <row r="25" spans="1:19" s="444" customFormat="1" ht="15" thickBot="1">
      <c r="A25" s="813" t="s">
        <v>833</v>
      </c>
      <c r="B25" s="977"/>
      <c r="C25" s="978">
        <f>IF(Onbekend_ele_kWh="---",0,Onbekend_ele_kWh)/1000+IF(REST_rest_ele_kWh="---",0,REST_rest_ele_kWh)/1000</f>
        <v>2515.3279495351903</v>
      </c>
      <c r="D25" s="978"/>
      <c r="E25" s="978">
        <f>IF(onbekend_gas_kWh="---",0,onbekend_gas_kWh)/1000+IF(REST_rest_gas_kWh="---",0,REST_rest_gas_kWh)/1000</f>
        <v>6662.3487901823501</v>
      </c>
      <c r="F25" s="978"/>
      <c r="G25" s="978"/>
      <c r="H25" s="978"/>
      <c r="I25" s="978"/>
      <c r="J25" s="978"/>
      <c r="K25" s="978"/>
      <c r="L25" s="978"/>
      <c r="M25" s="978"/>
      <c r="N25" s="978"/>
      <c r="O25" s="978"/>
      <c r="P25" s="978"/>
      <c r="Q25" s="979"/>
      <c r="R25" s="679">
        <f>SUM(C25:Q25)</f>
        <v>9177.6767397175408</v>
      </c>
      <c r="S25" s="67"/>
    </row>
    <row r="26" spans="1:19" s="444" customFormat="1" ht="15.75" thickBot="1">
      <c r="A26" s="684" t="s">
        <v>834</v>
      </c>
      <c r="B26" s="799"/>
      <c r="C26" s="794">
        <f>SUM(C24:C25)</f>
        <v>4625.3199574125119</v>
      </c>
      <c r="D26" s="794">
        <f t="shared" ref="D26:R26" si="2">SUM(D24:D25)</f>
        <v>0</v>
      </c>
      <c r="E26" s="794">
        <f t="shared" si="2"/>
        <v>7500.0644159214671</v>
      </c>
      <c r="F26" s="794">
        <f t="shared" si="2"/>
        <v>26.588617521630937</v>
      </c>
      <c r="G26" s="794">
        <f t="shared" si="2"/>
        <v>7280.0010117589582</v>
      </c>
      <c r="H26" s="794">
        <f t="shared" si="2"/>
        <v>0</v>
      </c>
      <c r="I26" s="794">
        <f t="shared" si="2"/>
        <v>0</v>
      </c>
      <c r="J26" s="794">
        <f t="shared" si="2"/>
        <v>0</v>
      </c>
      <c r="K26" s="794">
        <f t="shared" si="2"/>
        <v>317.31881244213224</v>
      </c>
      <c r="L26" s="794">
        <f t="shared" si="2"/>
        <v>0</v>
      </c>
      <c r="M26" s="794">
        <f t="shared" si="2"/>
        <v>0</v>
      </c>
      <c r="N26" s="794">
        <f t="shared" si="2"/>
        <v>0</v>
      </c>
      <c r="O26" s="794">
        <f t="shared" si="2"/>
        <v>0</v>
      </c>
      <c r="P26" s="794">
        <f t="shared" si="2"/>
        <v>0</v>
      </c>
      <c r="Q26" s="794">
        <f t="shared" si="2"/>
        <v>0</v>
      </c>
      <c r="R26" s="794">
        <f t="shared" si="2"/>
        <v>19749.292815056702</v>
      </c>
      <c r="S26" s="67"/>
    </row>
    <row r="27" spans="1:19" s="444" customFormat="1" ht="17.25" thickTop="1" thickBot="1">
      <c r="A27" s="685" t="s">
        <v>109</v>
      </c>
      <c r="B27" s="786"/>
      <c r="C27" s="686">
        <f ca="1">C22+C16+C26</f>
        <v>193089.25639658299</v>
      </c>
      <c r="D27" s="686">
        <f t="shared" ref="D27:R27" ca="1" si="3">D22+D16+D26</f>
        <v>0</v>
      </c>
      <c r="E27" s="686">
        <f t="shared" ca="1" si="3"/>
        <v>257561.16379267155</v>
      </c>
      <c r="F27" s="686">
        <f t="shared" si="3"/>
        <v>13019.42528401388</v>
      </c>
      <c r="G27" s="686">
        <f t="shared" ca="1" si="3"/>
        <v>188296.33113518995</v>
      </c>
      <c r="H27" s="686">
        <f t="shared" si="3"/>
        <v>153071.9063051118</v>
      </c>
      <c r="I27" s="686">
        <f t="shared" si="3"/>
        <v>31179.758563058731</v>
      </c>
      <c r="J27" s="686">
        <f t="shared" si="3"/>
        <v>0</v>
      </c>
      <c r="K27" s="686">
        <f t="shared" si="3"/>
        <v>3220.5668870646932</v>
      </c>
      <c r="L27" s="686">
        <f t="shared" si="3"/>
        <v>0</v>
      </c>
      <c r="M27" s="686">
        <f t="shared" ca="1" si="3"/>
        <v>0</v>
      </c>
      <c r="N27" s="686">
        <f t="shared" si="3"/>
        <v>8331.8651643489866</v>
      </c>
      <c r="O27" s="686">
        <f t="shared" ca="1" si="3"/>
        <v>35487.274223066612</v>
      </c>
      <c r="P27" s="686">
        <f t="shared" si="3"/>
        <v>434.60666666666668</v>
      </c>
      <c r="Q27" s="686">
        <f t="shared" si="3"/>
        <v>1677.8666666666668</v>
      </c>
      <c r="R27" s="686">
        <f t="shared" ca="1" si="3"/>
        <v>885370.02108444262</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11437.270861359455</v>
      </c>
      <c r="D40" s="676">
        <f ca="1">tertiair!C20</f>
        <v>0</v>
      </c>
      <c r="E40" s="676">
        <f ca="1">tertiair!D20</f>
        <v>12428.814983799013</v>
      </c>
      <c r="F40" s="676">
        <f>tertiair!E20</f>
        <v>158.60950678755043</v>
      </c>
      <c r="G40" s="676">
        <f ca="1">tertiair!F20</f>
        <v>2774.8055834351239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26799.500935381144</v>
      </c>
    </row>
    <row r="41" spans="1:18">
      <c r="A41" s="804" t="s">
        <v>214</v>
      </c>
      <c r="B41" s="811"/>
      <c r="C41" s="676">
        <f ca="1">huishoudens!B12</f>
        <v>15677.58605937834</v>
      </c>
      <c r="D41" s="676">
        <f ca="1">huishoudens!C12</f>
        <v>0</v>
      </c>
      <c r="E41" s="676">
        <f>huishoudens!D12</f>
        <v>30150.48635676374</v>
      </c>
      <c r="F41" s="676">
        <f>huishoudens!E12</f>
        <v>1124.8678697208416</v>
      </c>
      <c r="G41" s="676">
        <f>huishoudens!F12</f>
        <v>40546.487860048881</v>
      </c>
      <c r="H41" s="676">
        <f>huishoudens!G12</f>
        <v>0</v>
      </c>
      <c r="I41" s="676">
        <f>huishoudens!H12</f>
        <v>0</v>
      </c>
      <c r="J41" s="676">
        <f>huishoudens!I12</f>
        <v>0</v>
      </c>
      <c r="K41" s="676">
        <f>huishoudens!J12</f>
        <v>1018.0744932928435</v>
      </c>
      <c r="L41" s="676">
        <f>huishoudens!K12</f>
        <v>0</v>
      </c>
      <c r="M41" s="676">
        <f>huishoudens!L12</f>
        <v>0</v>
      </c>
      <c r="N41" s="676">
        <f>huishoudens!M12</f>
        <v>0</v>
      </c>
      <c r="O41" s="676">
        <f>huishoudens!N12</f>
        <v>0</v>
      </c>
      <c r="P41" s="676">
        <f>huishoudens!O12</f>
        <v>0</v>
      </c>
      <c r="Q41" s="753">
        <f>huishoudens!P12</f>
        <v>0</v>
      </c>
      <c r="R41" s="832">
        <f t="shared" ca="1" si="4"/>
        <v>88517.502639204657</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12185.033010141467</v>
      </c>
      <c r="D43" s="676">
        <f ca="1">industrie!C22</f>
        <v>0</v>
      </c>
      <c r="E43" s="676">
        <f>industrie!D22</f>
        <v>7929.3579554257176</v>
      </c>
      <c r="F43" s="676">
        <f>industrie!E22</f>
        <v>1518.948947515194</v>
      </c>
      <c r="G43" s="676">
        <f>industrie!F22</f>
        <v>5010.0666994720677</v>
      </c>
      <c r="H43" s="676">
        <f>industrie!G22</f>
        <v>0</v>
      </c>
      <c r="I43" s="676">
        <f>industrie!H22</f>
        <v>0</v>
      </c>
      <c r="J43" s="676">
        <f>industrie!I22</f>
        <v>0</v>
      </c>
      <c r="K43" s="676">
        <f>industrie!J22</f>
        <v>9.6753251235431144</v>
      </c>
      <c r="L43" s="676">
        <f>industrie!K22</f>
        <v>0</v>
      </c>
      <c r="M43" s="676">
        <f>industrie!L22</f>
        <v>0</v>
      </c>
      <c r="N43" s="676">
        <f>industrie!M22</f>
        <v>0</v>
      </c>
      <c r="O43" s="676">
        <f>industrie!N22</f>
        <v>0</v>
      </c>
      <c r="P43" s="676">
        <f>industrie!O22</f>
        <v>0</v>
      </c>
      <c r="Q43" s="753">
        <f>industrie!P22</f>
        <v>0</v>
      </c>
      <c r="R43" s="831">
        <f t="shared" ca="1" si="4"/>
        <v>26653.081937677987</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39299.889930879261</v>
      </c>
      <c r="D46" s="711">
        <f t="shared" ref="D46:Q46" ca="1" si="5">SUM(D39:D45)</f>
        <v>0</v>
      </c>
      <c r="E46" s="711">
        <f t="shared" ca="1" si="5"/>
        <v>50508.659295988473</v>
      </c>
      <c r="F46" s="711">
        <f t="shared" si="5"/>
        <v>2802.4263240235859</v>
      </c>
      <c r="G46" s="711">
        <f t="shared" ca="1" si="5"/>
        <v>48331.360142956073</v>
      </c>
      <c r="H46" s="711">
        <f t="shared" si="5"/>
        <v>0</v>
      </c>
      <c r="I46" s="711">
        <f t="shared" si="5"/>
        <v>0</v>
      </c>
      <c r="J46" s="711">
        <f t="shared" si="5"/>
        <v>0</v>
      </c>
      <c r="K46" s="711">
        <f t="shared" si="5"/>
        <v>1027.7498184163867</v>
      </c>
      <c r="L46" s="711">
        <f t="shared" si="5"/>
        <v>0</v>
      </c>
      <c r="M46" s="711">
        <f t="shared" ca="1" si="5"/>
        <v>0</v>
      </c>
      <c r="N46" s="711">
        <f t="shared" si="5"/>
        <v>0</v>
      </c>
      <c r="O46" s="711">
        <f t="shared" ca="1" si="5"/>
        <v>0</v>
      </c>
      <c r="P46" s="711">
        <f t="shared" si="5"/>
        <v>0</v>
      </c>
      <c r="Q46" s="711">
        <f t="shared" si="5"/>
        <v>0</v>
      </c>
      <c r="R46" s="711">
        <f ca="1">SUM(R39:R45)</f>
        <v>141970.08551226379</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2.8346066980795057</v>
      </c>
      <c r="D49" s="676">
        <f ca="1">transport!C58</f>
        <v>0</v>
      </c>
      <c r="E49" s="676">
        <f>transport!D58</f>
        <v>0</v>
      </c>
      <c r="F49" s="676">
        <f>transport!E58</f>
        <v>0</v>
      </c>
      <c r="G49" s="676">
        <f>transport!F58</f>
        <v>0</v>
      </c>
      <c r="H49" s="676">
        <f>transport!G58</f>
        <v>706.33176270592583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709.16636940400531</v>
      </c>
    </row>
    <row r="50" spans="1:18">
      <c r="A50" s="807" t="s">
        <v>296</v>
      </c>
      <c r="B50" s="817"/>
      <c r="C50" s="682">
        <f ca="1">transport!B18</f>
        <v>3.8650962166640945</v>
      </c>
      <c r="D50" s="682">
        <f>transport!C18</f>
        <v>0</v>
      </c>
      <c r="E50" s="682">
        <f>transport!D18</f>
        <v>3.6827781150533228</v>
      </c>
      <c r="F50" s="682">
        <f>transport!E18</f>
        <v>146.94759927015426</v>
      </c>
      <c r="G50" s="682">
        <f>transport!F18</f>
        <v>0</v>
      </c>
      <c r="H50" s="682">
        <f>transport!G18</f>
        <v>40163.867220758926</v>
      </c>
      <c r="I50" s="682">
        <f>transport!H18</f>
        <v>7763.7598822016244</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48082.122576562419</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6.6997029147436002</v>
      </c>
      <c r="D52" s="711">
        <f t="shared" ref="D52:Q52" ca="1" si="6">SUM(D48:D51)</f>
        <v>0</v>
      </c>
      <c r="E52" s="711">
        <f t="shared" si="6"/>
        <v>3.6827781150533228</v>
      </c>
      <c r="F52" s="711">
        <f t="shared" si="6"/>
        <v>146.94759927015426</v>
      </c>
      <c r="G52" s="711">
        <f t="shared" si="6"/>
        <v>0</v>
      </c>
      <c r="H52" s="711">
        <f t="shared" si="6"/>
        <v>40870.198983464848</v>
      </c>
      <c r="I52" s="711">
        <f t="shared" si="6"/>
        <v>7763.7598822016244</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48791.288945966422</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440.06610257229755</v>
      </c>
      <c r="D54" s="682">
        <f ca="1">+landbouw!C12</f>
        <v>0</v>
      </c>
      <c r="E54" s="682">
        <f>+landbouw!D12</f>
        <v>169.21855639930172</v>
      </c>
      <c r="F54" s="682">
        <f>+landbouw!E12</f>
        <v>6.0356161774102226</v>
      </c>
      <c r="G54" s="682">
        <f>+landbouw!F12</f>
        <v>1943.760270139642</v>
      </c>
      <c r="H54" s="682">
        <f>+landbouw!G12</f>
        <v>0</v>
      </c>
      <c r="I54" s="682">
        <f>+landbouw!H12</f>
        <v>0</v>
      </c>
      <c r="J54" s="682">
        <f>+landbouw!I12</f>
        <v>0</v>
      </c>
      <c r="K54" s="682">
        <f>+landbouw!J12</f>
        <v>112.33085960451481</v>
      </c>
      <c r="L54" s="682">
        <f>+landbouw!K12</f>
        <v>0</v>
      </c>
      <c r="M54" s="682">
        <f>+landbouw!L12</f>
        <v>0</v>
      </c>
      <c r="N54" s="682">
        <f>+landbouw!M12</f>
        <v>0</v>
      </c>
      <c r="O54" s="682">
        <f>+landbouw!N12</f>
        <v>0</v>
      </c>
      <c r="P54" s="682">
        <f>+landbouw!O12</f>
        <v>0</v>
      </c>
      <c r="Q54" s="683">
        <f>+landbouw!P12</f>
        <v>0</v>
      </c>
      <c r="R54" s="710">
        <f ca="1">SUM(C54:Q54)</f>
        <v>2671.4114048931665</v>
      </c>
    </row>
    <row r="55" spans="1:18" ht="15" thickBot="1">
      <c r="A55" s="807" t="s">
        <v>833</v>
      </c>
      <c r="B55" s="817"/>
      <c r="C55" s="682">
        <f ca="1">C25*'EF ele_warmte'!B12</f>
        <v>524.60415172694684</v>
      </c>
      <c r="D55" s="682"/>
      <c r="E55" s="682">
        <f>E25*EF_CO2_aardgas</f>
        <v>1345.7944556168347</v>
      </c>
      <c r="F55" s="682"/>
      <c r="G55" s="682"/>
      <c r="H55" s="682"/>
      <c r="I55" s="682"/>
      <c r="J55" s="682"/>
      <c r="K55" s="682"/>
      <c r="L55" s="682"/>
      <c r="M55" s="682"/>
      <c r="N55" s="682"/>
      <c r="O55" s="682"/>
      <c r="P55" s="682"/>
      <c r="Q55" s="683"/>
      <c r="R55" s="710">
        <f ca="1">SUM(C55:Q55)</f>
        <v>1870.3986073437816</v>
      </c>
    </row>
    <row r="56" spans="1:18" ht="15.75" thickBot="1">
      <c r="A56" s="805" t="s">
        <v>834</v>
      </c>
      <c r="B56" s="818"/>
      <c r="C56" s="711">
        <f ca="1">SUM(C54:C55)</f>
        <v>964.67025429924433</v>
      </c>
      <c r="D56" s="711">
        <f t="shared" ref="D56:Q56" ca="1" si="7">SUM(D54:D55)</f>
        <v>0</v>
      </c>
      <c r="E56" s="711">
        <f t="shared" si="7"/>
        <v>1515.0130120161364</v>
      </c>
      <c r="F56" s="711">
        <f t="shared" si="7"/>
        <v>6.0356161774102226</v>
      </c>
      <c r="G56" s="711">
        <f t="shared" si="7"/>
        <v>1943.760270139642</v>
      </c>
      <c r="H56" s="711">
        <f t="shared" si="7"/>
        <v>0</v>
      </c>
      <c r="I56" s="711">
        <f t="shared" si="7"/>
        <v>0</v>
      </c>
      <c r="J56" s="711">
        <f t="shared" si="7"/>
        <v>0</v>
      </c>
      <c r="K56" s="711">
        <f t="shared" si="7"/>
        <v>112.33085960451481</v>
      </c>
      <c r="L56" s="711">
        <f t="shared" si="7"/>
        <v>0</v>
      </c>
      <c r="M56" s="711">
        <f t="shared" si="7"/>
        <v>0</v>
      </c>
      <c r="N56" s="711">
        <f t="shared" si="7"/>
        <v>0</v>
      </c>
      <c r="O56" s="711">
        <f t="shared" si="7"/>
        <v>0</v>
      </c>
      <c r="P56" s="711">
        <f t="shared" si="7"/>
        <v>0</v>
      </c>
      <c r="Q56" s="712">
        <f t="shared" si="7"/>
        <v>0</v>
      </c>
      <c r="R56" s="713">
        <f ca="1">SUM(R54:R55)</f>
        <v>4541.8100122369478</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40271.259888093249</v>
      </c>
      <c r="D61" s="719">
        <f t="shared" ref="D61:Q61" ca="1" si="8">D46+D52+D56</f>
        <v>0</v>
      </c>
      <c r="E61" s="719">
        <f t="shared" ca="1" si="8"/>
        <v>52027.355086119664</v>
      </c>
      <c r="F61" s="719">
        <f t="shared" si="8"/>
        <v>2955.4095394711503</v>
      </c>
      <c r="G61" s="719">
        <f t="shared" ca="1" si="8"/>
        <v>50275.120413095712</v>
      </c>
      <c r="H61" s="719">
        <f t="shared" si="8"/>
        <v>40870.198983464848</v>
      </c>
      <c r="I61" s="719">
        <f t="shared" si="8"/>
        <v>7763.7598822016244</v>
      </c>
      <c r="J61" s="719">
        <f t="shared" si="8"/>
        <v>0</v>
      </c>
      <c r="K61" s="719">
        <f t="shared" si="8"/>
        <v>1140.0806780209016</v>
      </c>
      <c r="L61" s="719">
        <f t="shared" si="8"/>
        <v>0</v>
      </c>
      <c r="M61" s="719">
        <f t="shared" ca="1" si="8"/>
        <v>0</v>
      </c>
      <c r="N61" s="719">
        <f t="shared" si="8"/>
        <v>0</v>
      </c>
      <c r="O61" s="719">
        <f t="shared" ca="1" si="8"/>
        <v>0</v>
      </c>
      <c r="P61" s="719">
        <f t="shared" si="8"/>
        <v>0</v>
      </c>
      <c r="Q61" s="719">
        <f t="shared" si="8"/>
        <v>0</v>
      </c>
      <c r="R61" s="719">
        <f ca="1">R46+R52+R56</f>
        <v>195303.18447046715</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0.20856292390178738</v>
      </c>
      <c r="D63" s="762">
        <f t="shared" ca="1" si="9"/>
        <v>0</v>
      </c>
      <c r="E63" s="984">
        <f t="shared" ca="1" si="9"/>
        <v>0.20200000000000004</v>
      </c>
      <c r="F63" s="762">
        <f t="shared" si="9"/>
        <v>0.22699999999999998</v>
      </c>
      <c r="G63" s="762">
        <f t="shared" ca="1" si="9"/>
        <v>0.26699999999999996</v>
      </c>
      <c r="H63" s="762">
        <f t="shared" si="9"/>
        <v>0.26699999999999996</v>
      </c>
      <c r="I63" s="762">
        <f t="shared" si="9"/>
        <v>0.249</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10866.360975346513</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10866.360975346513</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75169.573604371501</v>
      </c>
      <c r="C4" s="448">
        <f>huishoudens!C8</f>
        <v>0</v>
      </c>
      <c r="D4" s="448">
        <f>huishoudens!D8</f>
        <v>149259.83344932544</v>
      </c>
      <c r="E4" s="448">
        <f>huishoudens!E8</f>
        <v>4955.3650648495222</v>
      </c>
      <c r="F4" s="448">
        <f>huishoudens!F8</f>
        <v>151859.50509381603</v>
      </c>
      <c r="G4" s="448">
        <f>huishoudens!G8</f>
        <v>0</v>
      </c>
      <c r="H4" s="448">
        <f>huishoudens!H8</f>
        <v>0</v>
      </c>
      <c r="I4" s="448">
        <f>huishoudens!I8</f>
        <v>0</v>
      </c>
      <c r="J4" s="448">
        <f>huishoudens!J8</f>
        <v>2875.9166477198969</v>
      </c>
      <c r="K4" s="448">
        <f>huishoudens!K8</f>
        <v>0</v>
      </c>
      <c r="L4" s="448">
        <f>huishoudens!L8</f>
        <v>0</v>
      </c>
      <c r="M4" s="448">
        <f>huishoudens!M8</f>
        <v>0</v>
      </c>
      <c r="N4" s="448">
        <f>huishoudens!N8</f>
        <v>27758.373288460869</v>
      </c>
      <c r="O4" s="448">
        <f>huishoudens!O8</f>
        <v>425.22666666666669</v>
      </c>
      <c r="P4" s="449">
        <f>huishoudens!P8</f>
        <v>1639.7333333333333</v>
      </c>
      <c r="Q4" s="450">
        <f>SUM(B4:P4)</f>
        <v>413943.52714854333</v>
      </c>
    </row>
    <row r="5" spans="1:17">
      <c r="A5" s="447" t="s">
        <v>149</v>
      </c>
      <c r="B5" s="448">
        <f ca="1">tertiair!B16</f>
        <v>51972.470240266572</v>
      </c>
      <c r="C5" s="448">
        <f ca="1">tertiair!C16</f>
        <v>0</v>
      </c>
      <c r="D5" s="448">
        <f ca="1">tertiair!D16</f>
        <v>61528.787048509963</v>
      </c>
      <c r="E5" s="448">
        <f>tertiair!E16</f>
        <v>698.72029421828381</v>
      </c>
      <c r="F5" s="448">
        <f ca="1">tertiair!F16</f>
        <v>10392.530275037916</v>
      </c>
      <c r="G5" s="448">
        <f>tertiair!G16</f>
        <v>0</v>
      </c>
      <c r="H5" s="448">
        <f>tertiair!H16</f>
        <v>0</v>
      </c>
      <c r="I5" s="448">
        <f>tertiair!I16</f>
        <v>0</v>
      </c>
      <c r="J5" s="448">
        <f>tertiair!J16</f>
        <v>0</v>
      </c>
      <c r="K5" s="448">
        <f>tertiair!K16</f>
        <v>0</v>
      </c>
      <c r="L5" s="448">
        <f ca="1">tertiair!L16</f>
        <v>0</v>
      </c>
      <c r="M5" s="448">
        <f>tertiair!M16</f>
        <v>0</v>
      </c>
      <c r="N5" s="448">
        <f ca="1">tertiair!N16</f>
        <v>4514.7822495203754</v>
      </c>
      <c r="O5" s="448">
        <f>tertiair!O16</f>
        <v>9.3800000000000008</v>
      </c>
      <c r="P5" s="449">
        <f>tertiair!P16</f>
        <v>38.133333333333333</v>
      </c>
      <c r="Q5" s="447">
        <f t="shared" ref="Q5:Q14" ca="1" si="0">SUM(B5:P5)</f>
        <v>129154.80344088645</v>
      </c>
    </row>
    <row r="6" spans="1:17">
      <c r="A6" s="447" t="s">
        <v>187</v>
      </c>
      <c r="B6" s="448">
        <f>'openbare verlichting'!B8</f>
        <v>2865.9960000000001</v>
      </c>
      <c r="C6" s="448"/>
      <c r="D6" s="448"/>
      <c r="E6" s="448"/>
      <c r="F6" s="448"/>
      <c r="G6" s="448"/>
      <c r="H6" s="448"/>
      <c r="I6" s="448"/>
      <c r="J6" s="448"/>
      <c r="K6" s="448"/>
      <c r="L6" s="448"/>
      <c r="M6" s="448"/>
      <c r="N6" s="448"/>
      <c r="O6" s="448"/>
      <c r="P6" s="449"/>
      <c r="Q6" s="447">
        <f t="shared" si="0"/>
        <v>2865.9960000000001</v>
      </c>
    </row>
    <row r="7" spans="1:17">
      <c r="A7" s="447" t="s">
        <v>105</v>
      </c>
      <c r="B7" s="448">
        <f>landbouw!B8</f>
        <v>2109.9920078773221</v>
      </c>
      <c r="C7" s="448">
        <f>landbouw!C8</f>
        <v>0</v>
      </c>
      <c r="D7" s="448">
        <f>landbouw!D8</f>
        <v>837.7156257391174</v>
      </c>
      <c r="E7" s="448">
        <f>landbouw!E8</f>
        <v>26.588617521630937</v>
      </c>
      <c r="F7" s="448">
        <f>landbouw!F8</f>
        <v>7280.0010117589582</v>
      </c>
      <c r="G7" s="448">
        <f>landbouw!G8</f>
        <v>0</v>
      </c>
      <c r="H7" s="448">
        <f>landbouw!H8</f>
        <v>0</v>
      </c>
      <c r="I7" s="448">
        <f>landbouw!I8</f>
        <v>0</v>
      </c>
      <c r="J7" s="448">
        <f>landbouw!J8</f>
        <v>317.31881244213224</v>
      </c>
      <c r="K7" s="448">
        <f>landbouw!K8</f>
        <v>0</v>
      </c>
      <c r="L7" s="448">
        <f>landbouw!L8</f>
        <v>0</v>
      </c>
      <c r="M7" s="448">
        <f>landbouw!M8</f>
        <v>0</v>
      </c>
      <c r="N7" s="448">
        <f>landbouw!N8</f>
        <v>0</v>
      </c>
      <c r="O7" s="448">
        <f>landbouw!O8</f>
        <v>0</v>
      </c>
      <c r="P7" s="449">
        <f>landbouw!P8</f>
        <v>0</v>
      </c>
      <c r="Q7" s="447">
        <f t="shared" si="0"/>
        <v>10571.616075339161</v>
      </c>
    </row>
    <row r="8" spans="1:17">
      <c r="A8" s="447" t="s">
        <v>639</v>
      </c>
      <c r="B8" s="448">
        <f>industrie!B18</f>
        <v>58423.773421394006</v>
      </c>
      <c r="C8" s="448">
        <f>industrie!C18</f>
        <v>0</v>
      </c>
      <c r="D8" s="448">
        <f>industrie!D18</f>
        <v>39254.247304087708</v>
      </c>
      <c r="E8" s="448">
        <f>industrie!E18</f>
        <v>6691.4050551330129</v>
      </c>
      <c r="F8" s="448">
        <f>industrie!F18</f>
        <v>18764.294754577033</v>
      </c>
      <c r="G8" s="448">
        <f>industrie!G18</f>
        <v>0</v>
      </c>
      <c r="H8" s="448">
        <f>industrie!H18</f>
        <v>0</v>
      </c>
      <c r="I8" s="448">
        <f>industrie!I18</f>
        <v>0</v>
      </c>
      <c r="J8" s="448">
        <f>industrie!J18</f>
        <v>27.331426902664166</v>
      </c>
      <c r="K8" s="448">
        <f>industrie!K18</f>
        <v>0</v>
      </c>
      <c r="L8" s="448">
        <f>industrie!L18</f>
        <v>0</v>
      </c>
      <c r="M8" s="448">
        <f>industrie!M18</f>
        <v>0</v>
      </c>
      <c r="N8" s="448">
        <f>industrie!N18</f>
        <v>3214.1186850853665</v>
      </c>
      <c r="O8" s="448">
        <f>industrie!O18</f>
        <v>0</v>
      </c>
      <c r="P8" s="449">
        <f>industrie!P18</f>
        <v>0</v>
      </c>
      <c r="Q8" s="447">
        <f t="shared" si="0"/>
        <v>126375.17064717978</v>
      </c>
    </row>
    <row r="9" spans="1:17" s="453" customFormat="1">
      <c r="A9" s="451" t="s">
        <v>557</v>
      </c>
      <c r="B9" s="452">
        <f>transport!B14</f>
        <v>18.532038889539994</v>
      </c>
      <c r="C9" s="452">
        <f>transport!C14</f>
        <v>0</v>
      </c>
      <c r="D9" s="452">
        <f>transport!D14</f>
        <v>18.231574826996646</v>
      </c>
      <c r="E9" s="452">
        <f>transport!E14</f>
        <v>647.34625229142841</v>
      </c>
      <c r="F9" s="452">
        <f>transport!F14</f>
        <v>0</v>
      </c>
      <c r="G9" s="452">
        <f>transport!G14</f>
        <v>150426.46899160647</v>
      </c>
      <c r="H9" s="452">
        <f>transport!H14</f>
        <v>31179.758563058731</v>
      </c>
      <c r="I9" s="452">
        <f>transport!I14</f>
        <v>0</v>
      </c>
      <c r="J9" s="452">
        <f>transport!J14</f>
        <v>0</v>
      </c>
      <c r="K9" s="452">
        <f>transport!K14</f>
        <v>0</v>
      </c>
      <c r="L9" s="452">
        <f>transport!L14</f>
        <v>0</v>
      </c>
      <c r="M9" s="452">
        <f>transport!M14</f>
        <v>8213.2415323827463</v>
      </c>
      <c r="N9" s="452">
        <f>transport!N14</f>
        <v>0</v>
      </c>
      <c r="O9" s="452">
        <f>transport!O14</f>
        <v>0</v>
      </c>
      <c r="P9" s="452">
        <f>transport!P14</f>
        <v>0</v>
      </c>
      <c r="Q9" s="451">
        <f>SUM(B9:P9)</f>
        <v>190503.57895305593</v>
      </c>
    </row>
    <row r="10" spans="1:17">
      <c r="A10" s="447" t="s">
        <v>547</v>
      </c>
      <c r="B10" s="448">
        <f>transport!B54</f>
        <v>13.591134248838621</v>
      </c>
      <c r="C10" s="448">
        <f>transport!C54</f>
        <v>0</v>
      </c>
      <c r="D10" s="448">
        <f>transport!D54</f>
        <v>0</v>
      </c>
      <c r="E10" s="448">
        <f>transport!E54</f>
        <v>0</v>
      </c>
      <c r="F10" s="448">
        <f>transport!F54</f>
        <v>0</v>
      </c>
      <c r="G10" s="448">
        <f>transport!G54</f>
        <v>2645.4373135053402</v>
      </c>
      <c r="H10" s="448">
        <f>transport!H54</f>
        <v>0</v>
      </c>
      <c r="I10" s="448">
        <f>transport!I54</f>
        <v>0</v>
      </c>
      <c r="J10" s="448">
        <f>transport!J54</f>
        <v>0</v>
      </c>
      <c r="K10" s="448">
        <f>transport!K54</f>
        <v>0</v>
      </c>
      <c r="L10" s="448">
        <f>transport!L54</f>
        <v>0</v>
      </c>
      <c r="M10" s="448">
        <f>transport!M54</f>
        <v>118.62363196623984</v>
      </c>
      <c r="N10" s="448">
        <f>transport!N54</f>
        <v>0</v>
      </c>
      <c r="O10" s="448">
        <f>transport!O54</f>
        <v>0</v>
      </c>
      <c r="P10" s="449">
        <f>transport!P54</f>
        <v>0</v>
      </c>
      <c r="Q10" s="447">
        <f t="shared" si="0"/>
        <v>2777.6520797204184</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2515.3279495351903</v>
      </c>
      <c r="C14" s="455"/>
      <c r="D14" s="455">
        <f>'SEAP template'!E25</f>
        <v>6662.3487901823501</v>
      </c>
      <c r="E14" s="455"/>
      <c r="F14" s="455"/>
      <c r="G14" s="455"/>
      <c r="H14" s="455"/>
      <c r="I14" s="455"/>
      <c r="J14" s="455"/>
      <c r="K14" s="455"/>
      <c r="L14" s="455"/>
      <c r="M14" s="455"/>
      <c r="N14" s="455"/>
      <c r="O14" s="455"/>
      <c r="P14" s="456"/>
      <c r="Q14" s="447">
        <f t="shared" si="0"/>
        <v>9177.6767397175408</v>
      </c>
    </row>
    <row r="15" spans="1:17" s="460" customFormat="1">
      <c r="A15" s="457" t="s">
        <v>551</v>
      </c>
      <c r="B15" s="458">
        <f ca="1">SUM(B4:B14)</f>
        <v>193089.25639658293</v>
      </c>
      <c r="C15" s="458">
        <f t="shared" ref="C15:Q15" ca="1" si="1">SUM(C4:C14)</f>
        <v>0</v>
      </c>
      <c r="D15" s="458">
        <f t="shared" ca="1" si="1"/>
        <v>257561.16379267155</v>
      </c>
      <c r="E15" s="458">
        <f t="shared" si="1"/>
        <v>13019.425284013878</v>
      </c>
      <c r="F15" s="458">
        <f t="shared" ca="1" si="1"/>
        <v>188296.33113518995</v>
      </c>
      <c r="G15" s="458">
        <f t="shared" si="1"/>
        <v>153071.9063051118</v>
      </c>
      <c r="H15" s="458">
        <f t="shared" si="1"/>
        <v>31179.758563058731</v>
      </c>
      <c r="I15" s="458">
        <f t="shared" si="1"/>
        <v>0</v>
      </c>
      <c r="J15" s="458">
        <f t="shared" si="1"/>
        <v>3220.5668870646932</v>
      </c>
      <c r="K15" s="458">
        <f t="shared" si="1"/>
        <v>0</v>
      </c>
      <c r="L15" s="458">
        <f t="shared" ca="1" si="1"/>
        <v>0</v>
      </c>
      <c r="M15" s="458">
        <f t="shared" si="1"/>
        <v>8331.8651643489866</v>
      </c>
      <c r="N15" s="458">
        <f t="shared" ca="1" si="1"/>
        <v>35487.274223066612</v>
      </c>
      <c r="O15" s="458">
        <f t="shared" si="1"/>
        <v>434.60666666666668</v>
      </c>
      <c r="P15" s="458">
        <f t="shared" si="1"/>
        <v>1677.8666666666668</v>
      </c>
      <c r="Q15" s="458">
        <f t="shared" ca="1" si="1"/>
        <v>885370.02108444262</v>
      </c>
    </row>
    <row r="17" spans="1:17">
      <c r="A17" s="461" t="s">
        <v>552</v>
      </c>
      <c r="B17" s="767">
        <f ca="1">huishoudens!B10</f>
        <v>0.20856292390178741</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15677.58605937834</v>
      </c>
      <c r="C22" s="448">
        <f t="shared" ref="C22:C32" ca="1" si="3">C4*$C$17</f>
        <v>0</v>
      </c>
      <c r="D22" s="448">
        <f t="shared" ref="D22:D32" si="4">D4*$D$17</f>
        <v>30150.48635676374</v>
      </c>
      <c r="E22" s="448">
        <f t="shared" ref="E22:E32" si="5">E4*$E$17</f>
        <v>1124.8678697208416</v>
      </c>
      <c r="F22" s="448">
        <f t="shared" ref="F22:F32" si="6">F4*$F$17</f>
        <v>40546.487860048881</v>
      </c>
      <c r="G22" s="448">
        <f t="shared" ref="G22:G32" si="7">G4*$G$17</f>
        <v>0</v>
      </c>
      <c r="H22" s="448">
        <f t="shared" ref="H22:H32" si="8">H4*$H$17</f>
        <v>0</v>
      </c>
      <c r="I22" s="448">
        <f t="shared" ref="I22:I32" si="9">I4*$I$17</f>
        <v>0</v>
      </c>
      <c r="J22" s="448">
        <f t="shared" ref="J22:J32" si="10">J4*$J$17</f>
        <v>1018.0744932928435</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88517.502639204657</v>
      </c>
    </row>
    <row r="23" spans="1:17">
      <c r="A23" s="447" t="s">
        <v>149</v>
      </c>
      <c r="B23" s="448">
        <f t="shared" ca="1" si="2"/>
        <v>10839.530355708628</v>
      </c>
      <c r="C23" s="448">
        <f t="shared" ca="1" si="3"/>
        <v>0</v>
      </c>
      <c r="D23" s="448">
        <f t="shared" ca="1" si="4"/>
        <v>12428.814983799013</v>
      </c>
      <c r="E23" s="448">
        <f t="shared" si="5"/>
        <v>158.60950678755043</v>
      </c>
      <c r="F23" s="448">
        <f t="shared" ca="1" si="6"/>
        <v>2774.8055834351239</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26201.760429730319</v>
      </c>
    </row>
    <row r="24" spans="1:17">
      <c r="A24" s="447" t="s">
        <v>187</v>
      </c>
      <c r="B24" s="448">
        <f t="shared" ca="1" si="2"/>
        <v>597.74050565082712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597.74050565082712</v>
      </c>
    </row>
    <row r="25" spans="1:17">
      <c r="A25" s="447" t="s">
        <v>105</v>
      </c>
      <c r="B25" s="448">
        <f t="shared" ca="1" si="2"/>
        <v>440.06610257229755</v>
      </c>
      <c r="C25" s="448">
        <f t="shared" ca="1" si="3"/>
        <v>0</v>
      </c>
      <c r="D25" s="448">
        <f t="shared" si="4"/>
        <v>169.21855639930172</v>
      </c>
      <c r="E25" s="448">
        <f t="shared" si="5"/>
        <v>6.0356161774102226</v>
      </c>
      <c r="F25" s="448">
        <f t="shared" si="6"/>
        <v>1943.760270139642</v>
      </c>
      <c r="G25" s="448">
        <f t="shared" si="7"/>
        <v>0</v>
      </c>
      <c r="H25" s="448">
        <f t="shared" si="8"/>
        <v>0</v>
      </c>
      <c r="I25" s="448">
        <f t="shared" si="9"/>
        <v>0</v>
      </c>
      <c r="J25" s="448">
        <f t="shared" si="10"/>
        <v>112.33085960451481</v>
      </c>
      <c r="K25" s="448">
        <f t="shared" si="11"/>
        <v>0</v>
      </c>
      <c r="L25" s="448">
        <f t="shared" si="12"/>
        <v>0</v>
      </c>
      <c r="M25" s="448">
        <f t="shared" si="13"/>
        <v>0</v>
      </c>
      <c r="N25" s="448">
        <f t="shared" si="14"/>
        <v>0</v>
      </c>
      <c r="O25" s="448">
        <f t="shared" si="15"/>
        <v>0</v>
      </c>
      <c r="P25" s="449">
        <f t="shared" si="16"/>
        <v>0</v>
      </c>
      <c r="Q25" s="447">
        <f t="shared" ca="1" si="17"/>
        <v>2671.4114048931665</v>
      </c>
    </row>
    <row r="26" spans="1:17">
      <c r="A26" s="447" t="s">
        <v>639</v>
      </c>
      <c r="B26" s="448">
        <f t="shared" ca="1" si="2"/>
        <v>12185.033010141467</v>
      </c>
      <c r="C26" s="448">
        <f t="shared" ca="1" si="3"/>
        <v>0</v>
      </c>
      <c r="D26" s="448">
        <f t="shared" si="4"/>
        <v>7929.3579554257176</v>
      </c>
      <c r="E26" s="448">
        <f t="shared" si="5"/>
        <v>1518.948947515194</v>
      </c>
      <c r="F26" s="448">
        <f t="shared" si="6"/>
        <v>5010.0666994720677</v>
      </c>
      <c r="G26" s="448">
        <f t="shared" si="7"/>
        <v>0</v>
      </c>
      <c r="H26" s="448">
        <f t="shared" si="8"/>
        <v>0</v>
      </c>
      <c r="I26" s="448">
        <f t="shared" si="9"/>
        <v>0</v>
      </c>
      <c r="J26" s="448">
        <f t="shared" si="10"/>
        <v>9.6753251235431144</v>
      </c>
      <c r="K26" s="448">
        <f t="shared" si="11"/>
        <v>0</v>
      </c>
      <c r="L26" s="448">
        <f t="shared" si="12"/>
        <v>0</v>
      </c>
      <c r="M26" s="448">
        <f t="shared" si="13"/>
        <v>0</v>
      </c>
      <c r="N26" s="448">
        <f t="shared" si="14"/>
        <v>0</v>
      </c>
      <c r="O26" s="448">
        <f t="shared" si="15"/>
        <v>0</v>
      </c>
      <c r="P26" s="449">
        <f t="shared" si="16"/>
        <v>0</v>
      </c>
      <c r="Q26" s="447">
        <f t="shared" ca="1" si="17"/>
        <v>26653.081937677987</v>
      </c>
    </row>
    <row r="27" spans="1:17" s="453" customFormat="1">
      <c r="A27" s="451" t="s">
        <v>557</v>
      </c>
      <c r="B27" s="761">
        <f t="shared" ca="1" si="2"/>
        <v>3.8650962166640945</v>
      </c>
      <c r="C27" s="452">
        <f t="shared" ca="1" si="3"/>
        <v>0</v>
      </c>
      <c r="D27" s="452">
        <f t="shared" si="4"/>
        <v>3.6827781150533228</v>
      </c>
      <c r="E27" s="452">
        <f t="shared" si="5"/>
        <v>146.94759927015426</v>
      </c>
      <c r="F27" s="452">
        <f t="shared" si="6"/>
        <v>0</v>
      </c>
      <c r="G27" s="452">
        <f t="shared" si="7"/>
        <v>40163.867220758926</v>
      </c>
      <c r="H27" s="452">
        <f t="shared" si="8"/>
        <v>7763.7598822016244</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48082.122576562419</v>
      </c>
    </row>
    <row r="28" spans="1:17">
      <c r="A28" s="447" t="s">
        <v>547</v>
      </c>
      <c r="B28" s="448">
        <f t="shared" ca="1" si="2"/>
        <v>2.8346066980795057</v>
      </c>
      <c r="C28" s="448">
        <f t="shared" ca="1" si="3"/>
        <v>0</v>
      </c>
      <c r="D28" s="448">
        <f t="shared" si="4"/>
        <v>0</v>
      </c>
      <c r="E28" s="448">
        <f t="shared" si="5"/>
        <v>0</v>
      </c>
      <c r="F28" s="448">
        <f t="shared" si="6"/>
        <v>0</v>
      </c>
      <c r="G28" s="448">
        <f t="shared" si="7"/>
        <v>706.33176270592583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709.16636940400531</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524.60415172694684</v>
      </c>
      <c r="C32" s="448">
        <f t="shared" ca="1" si="3"/>
        <v>0</v>
      </c>
      <c r="D32" s="448">
        <f t="shared" si="4"/>
        <v>1345.7944556168347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1870.3986073437816</v>
      </c>
    </row>
    <row r="33" spans="1:17" s="460" customFormat="1">
      <c r="A33" s="457" t="s">
        <v>551</v>
      </c>
      <c r="B33" s="458">
        <f ca="1">SUM(B22:B32)</f>
        <v>40271.259888093256</v>
      </c>
      <c r="C33" s="458">
        <f t="shared" ref="C33:Q33" ca="1" si="18">SUM(C22:C32)</f>
        <v>0</v>
      </c>
      <c r="D33" s="458">
        <f t="shared" ca="1" si="18"/>
        <v>52027.355086119671</v>
      </c>
      <c r="E33" s="458">
        <f t="shared" si="18"/>
        <v>2955.4095394711503</v>
      </c>
      <c r="F33" s="458">
        <f t="shared" ca="1" si="18"/>
        <v>50275.120413095712</v>
      </c>
      <c r="G33" s="458">
        <f t="shared" si="18"/>
        <v>40870.198983464848</v>
      </c>
      <c r="H33" s="458">
        <f t="shared" si="18"/>
        <v>7763.7598822016244</v>
      </c>
      <c r="I33" s="458">
        <f t="shared" si="18"/>
        <v>0</v>
      </c>
      <c r="J33" s="458">
        <f t="shared" si="18"/>
        <v>1140.0806780209016</v>
      </c>
      <c r="K33" s="458">
        <f t="shared" si="18"/>
        <v>0</v>
      </c>
      <c r="L33" s="458">
        <f t="shared" ca="1" si="18"/>
        <v>0</v>
      </c>
      <c r="M33" s="458">
        <f t="shared" si="18"/>
        <v>0</v>
      </c>
      <c r="N33" s="458">
        <f t="shared" ca="1" si="18"/>
        <v>0</v>
      </c>
      <c r="O33" s="458">
        <f t="shared" si="18"/>
        <v>0</v>
      </c>
      <c r="P33" s="458">
        <f t="shared" si="18"/>
        <v>0</v>
      </c>
      <c r="Q33" s="458">
        <f t="shared" ca="1" si="18"/>
        <v>195303.18447046718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10866.360975346513</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10866.360975346513</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0.20856292390178741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0.20856292390178741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0.20856292390178741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0.20856292390178741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17161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3393</v>
      </c>
      <c r="C14" s="327"/>
      <c r="D14" s="327"/>
      <c r="E14" s="327"/>
      <c r="F14" s="327"/>
    </row>
    <row r="15" spans="1:6">
      <c r="A15" s="1296" t="s">
        <v>177</v>
      </c>
      <c r="B15" s="1297">
        <v>983</v>
      </c>
      <c r="C15" s="327"/>
      <c r="D15" s="327"/>
      <c r="E15" s="327"/>
      <c r="F15" s="327"/>
    </row>
    <row r="16" spans="1:6">
      <c r="A16" s="1296" t="s">
        <v>6</v>
      </c>
      <c r="B16" s="1297">
        <v>1224</v>
      </c>
      <c r="C16" s="327"/>
      <c r="D16" s="327"/>
      <c r="E16" s="327"/>
      <c r="F16" s="327"/>
    </row>
    <row r="17" spans="1:6">
      <c r="A17" s="1296" t="s">
        <v>7</v>
      </c>
      <c r="B17" s="1297">
        <v>550</v>
      </c>
      <c r="C17" s="327"/>
      <c r="D17" s="327"/>
      <c r="E17" s="327"/>
      <c r="F17" s="327"/>
    </row>
    <row r="18" spans="1:6">
      <c r="A18" s="1296" t="s">
        <v>8</v>
      </c>
      <c r="B18" s="1297">
        <v>1247</v>
      </c>
      <c r="C18" s="327"/>
      <c r="D18" s="327"/>
      <c r="E18" s="327"/>
      <c r="F18" s="327"/>
    </row>
    <row r="19" spans="1:6">
      <c r="A19" s="1296" t="s">
        <v>9</v>
      </c>
      <c r="B19" s="1297">
        <v>1076</v>
      </c>
      <c r="C19" s="327"/>
      <c r="D19" s="327"/>
      <c r="E19" s="327"/>
      <c r="F19" s="327"/>
    </row>
    <row r="20" spans="1:6">
      <c r="A20" s="1296" t="s">
        <v>10</v>
      </c>
      <c r="B20" s="1297">
        <v>1025</v>
      </c>
      <c r="C20" s="327"/>
      <c r="D20" s="327"/>
      <c r="E20" s="327"/>
      <c r="F20" s="327"/>
    </row>
    <row r="21" spans="1:6">
      <c r="A21" s="1296" t="s">
        <v>11</v>
      </c>
      <c r="B21" s="1297">
        <v>673</v>
      </c>
      <c r="C21" s="327"/>
      <c r="D21" s="327"/>
      <c r="E21" s="327"/>
      <c r="F21" s="327"/>
    </row>
    <row r="22" spans="1:6">
      <c r="A22" s="1296" t="s">
        <v>12</v>
      </c>
      <c r="B22" s="1297">
        <v>2296</v>
      </c>
      <c r="C22" s="327"/>
      <c r="D22" s="327"/>
      <c r="E22" s="327"/>
      <c r="F22" s="327"/>
    </row>
    <row r="23" spans="1:6">
      <c r="A23" s="1296" t="s">
        <v>13</v>
      </c>
      <c r="B23" s="1297">
        <v>59</v>
      </c>
      <c r="C23" s="327"/>
      <c r="D23" s="327"/>
      <c r="E23" s="327"/>
      <c r="F23" s="327"/>
    </row>
    <row r="24" spans="1:6">
      <c r="A24" s="1296" t="s">
        <v>14</v>
      </c>
      <c r="B24" s="1297">
        <v>4</v>
      </c>
      <c r="C24" s="327"/>
      <c r="D24" s="327"/>
      <c r="E24" s="327"/>
      <c r="F24" s="327"/>
    </row>
    <row r="25" spans="1:6">
      <c r="A25" s="1296" t="s">
        <v>15</v>
      </c>
      <c r="B25" s="1297">
        <v>271</v>
      </c>
      <c r="C25" s="327"/>
      <c r="D25" s="327"/>
      <c r="E25" s="327"/>
      <c r="F25" s="327"/>
    </row>
    <row r="26" spans="1:6">
      <c r="A26" s="1296" t="s">
        <v>16</v>
      </c>
      <c r="B26" s="1297">
        <v>151</v>
      </c>
      <c r="C26" s="327"/>
      <c r="D26" s="327"/>
      <c r="E26" s="327"/>
      <c r="F26" s="327"/>
    </row>
    <row r="27" spans="1:6">
      <c r="A27" s="1296" t="s">
        <v>17</v>
      </c>
      <c r="B27" s="1297">
        <v>29</v>
      </c>
      <c r="C27" s="327"/>
      <c r="D27" s="327"/>
      <c r="E27" s="327"/>
      <c r="F27" s="327"/>
    </row>
    <row r="28" spans="1:6">
      <c r="A28" s="1296" t="s">
        <v>18</v>
      </c>
      <c r="B28" s="1298">
        <v>13066</v>
      </c>
      <c r="C28" s="327"/>
      <c r="D28" s="327"/>
      <c r="E28" s="327"/>
      <c r="F28" s="327"/>
    </row>
    <row r="29" spans="1:6">
      <c r="A29" s="1296" t="s">
        <v>922</v>
      </c>
      <c r="B29" s="1298">
        <v>319</v>
      </c>
      <c r="C29" s="327"/>
      <c r="D29" s="327"/>
      <c r="E29" s="327"/>
      <c r="F29" s="327"/>
    </row>
    <row r="30" spans="1:6">
      <c r="A30" s="1291" t="s">
        <v>923</v>
      </c>
      <c r="B30" s="1299">
        <v>86</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5</v>
      </c>
      <c r="F36" s="1297">
        <v>20449.946016108399</v>
      </c>
    </row>
    <row r="37" spans="1:6">
      <c r="A37" s="1296" t="s">
        <v>24</v>
      </c>
      <c r="B37" s="1296" t="s">
        <v>27</v>
      </c>
      <c r="C37" s="1297">
        <v>0</v>
      </c>
      <c r="D37" s="1297">
        <v>0</v>
      </c>
      <c r="E37" s="1297">
        <v>0</v>
      </c>
      <c r="F37" s="1297">
        <v>0</v>
      </c>
    </row>
    <row r="38" spans="1:6">
      <c r="A38" s="1296" t="s">
        <v>24</v>
      </c>
      <c r="B38" s="1296" t="s">
        <v>28</v>
      </c>
      <c r="C38" s="1297">
        <v>6</v>
      </c>
      <c r="D38" s="1297">
        <v>499543.15322922199</v>
      </c>
      <c r="E38" s="1297">
        <v>6</v>
      </c>
      <c r="F38" s="1297">
        <v>35933.300497850498</v>
      </c>
    </row>
    <row r="39" spans="1:6">
      <c r="A39" s="1296" t="s">
        <v>29</v>
      </c>
      <c r="B39" s="1296" t="s">
        <v>30</v>
      </c>
      <c r="C39" s="1297">
        <v>8890</v>
      </c>
      <c r="D39" s="1297">
        <v>165476533.75756699</v>
      </c>
      <c r="E39" s="1297">
        <v>17197</v>
      </c>
      <c r="F39" s="1297">
        <v>68223958.966492906</v>
      </c>
    </row>
    <row r="40" spans="1:6">
      <c r="A40" s="1296" t="s">
        <v>29</v>
      </c>
      <c r="B40" s="1296" t="s">
        <v>28</v>
      </c>
      <c r="C40" s="1297">
        <v>0</v>
      </c>
      <c r="D40" s="1297">
        <v>0</v>
      </c>
      <c r="E40" s="1297">
        <v>0</v>
      </c>
      <c r="F40" s="1297">
        <v>0</v>
      </c>
    </row>
    <row r="41" spans="1:6">
      <c r="A41" s="1296" t="s">
        <v>31</v>
      </c>
      <c r="B41" s="1296" t="s">
        <v>32</v>
      </c>
      <c r="C41" s="1297">
        <v>92</v>
      </c>
      <c r="D41" s="1297">
        <v>2907961.7696798798</v>
      </c>
      <c r="E41" s="1297">
        <v>305</v>
      </c>
      <c r="F41" s="1297">
        <v>21811344.799557701</v>
      </c>
    </row>
    <row r="42" spans="1:6">
      <c r="A42" s="1296" t="s">
        <v>31</v>
      </c>
      <c r="B42" s="1296" t="s">
        <v>33</v>
      </c>
      <c r="C42" s="1297">
        <v>8</v>
      </c>
      <c r="D42" s="1297">
        <v>28568912.177791402</v>
      </c>
      <c r="E42" s="1297">
        <v>10</v>
      </c>
      <c r="F42" s="1297">
        <v>24528841.452691901</v>
      </c>
    </row>
    <row r="43" spans="1:6">
      <c r="A43" s="1296" t="s">
        <v>31</v>
      </c>
      <c r="B43" s="1296" t="s">
        <v>34</v>
      </c>
      <c r="C43" s="1297">
        <v>0</v>
      </c>
      <c r="D43" s="1297">
        <v>0</v>
      </c>
      <c r="E43" s="1297">
        <v>0</v>
      </c>
      <c r="F43" s="1297">
        <v>0</v>
      </c>
    </row>
    <row r="44" spans="1:6">
      <c r="A44" s="1296" t="s">
        <v>31</v>
      </c>
      <c r="B44" s="1296" t="s">
        <v>35</v>
      </c>
      <c r="C44" s="1297">
        <v>8</v>
      </c>
      <c r="D44" s="1297">
        <v>408379.99958478502</v>
      </c>
      <c r="E44" s="1297">
        <v>15</v>
      </c>
      <c r="F44" s="1297">
        <v>421672.34565249499</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11</v>
      </c>
      <c r="F47" s="1297">
        <v>237532.08150164201</v>
      </c>
    </row>
    <row r="48" spans="1:6">
      <c r="A48" s="1296" t="s">
        <v>31</v>
      </c>
      <c r="B48" s="1296" t="s">
        <v>28</v>
      </c>
      <c r="C48" s="1297">
        <v>63</v>
      </c>
      <c r="D48" s="1297">
        <v>10537016.0747276</v>
      </c>
      <c r="E48" s="1297">
        <v>97</v>
      </c>
      <c r="F48" s="1297">
        <v>10659633.183832901</v>
      </c>
    </row>
    <row r="49" spans="1:6">
      <c r="A49" s="1296" t="s">
        <v>31</v>
      </c>
      <c r="B49" s="1296" t="s">
        <v>39</v>
      </c>
      <c r="C49" s="1297">
        <v>0</v>
      </c>
      <c r="D49" s="1297">
        <v>0</v>
      </c>
      <c r="E49" s="1297">
        <v>0</v>
      </c>
      <c r="F49" s="1297">
        <v>0</v>
      </c>
    </row>
    <row r="50" spans="1:6">
      <c r="A50" s="1296" t="s">
        <v>31</v>
      </c>
      <c r="B50" s="1296" t="s">
        <v>40</v>
      </c>
      <c r="C50" s="1297">
        <v>8</v>
      </c>
      <c r="D50" s="1297">
        <v>1096851.1579144599</v>
      </c>
      <c r="E50" s="1297">
        <v>17</v>
      </c>
      <c r="F50" s="1297">
        <v>764749.55815736705</v>
      </c>
    </row>
    <row r="51" spans="1:6">
      <c r="A51" s="1296" t="s">
        <v>41</v>
      </c>
      <c r="B51" s="1296" t="s">
        <v>42</v>
      </c>
      <c r="C51" s="1297">
        <v>3</v>
      </c>
      <c r="D51" s="1297">
        <v>162422.761816329</v>
      </c>
      <c r="E51" s="1297">
        <v>106</v>
      </c>
      <c r="F51" s="1297">
        <v>1633063.43582592</v>
      </c>
    </row>
    <row r="52" spans="1:6">
      <c r="A52" s="1296" t="s">
        <v>41</v>
      </c>
      <c r="B52" s="1296" t="s">
        <v>28</v>
      </c>
      <c r="C52" s="1297">
        <v>8</v>
      </c>
      <c r="D52" s="1297">
        <v>766308.53057737101</v>
      </c>
      <c r="E52" s="1297">
        <v>31</v>
      </c>
      <c r="F52" s="1297">
        <v>476928.57205140201</v>
      </c>
    </row>
    <row r="53" spans="1:6">
      <c r="A53" s="1296" t="s">
        <v>43</v>
      </c>
      <c r="B53" s="1296" t="s">
        <v>44</v>
      </c>
      <c r="C53" s="1297">
        <v>187</v>
      </c>
      <c r="D53" s="1297">
        <v>6662348.7901823502</v>
      </c>
      <c r="E53" s="1297">
        <v>523</v>
      </c>
      <c r="F53" s="1297">
        <v>2515327.9495351901</v>
      </c>
    </row>
    <row r="54" spans="1:6">
      <c r="A54" s="1296" t="s">
        <v>45</v>
      </c>
      <c r="B54" s="1296" t="s">
        <v>46</v>
      </c>
      <c r="C54" s="1297">
        <v>0</v>
      </c>
      <c r="D54" s="1297">
        <v>0</v>
      </c>
      <c r="E54" s="1297">
        <v>1</v>
      </c>
      <c r="F54" s="1297">
        <v>2865996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81</v>
      </c>
      <c r="D57" s="1297">
        <v>6162196.3558343397</v>
      </c>
      <c r="E57" s="1297">
        <v>158</v>
      </c>
      <c r="F57" s="1297">
        <v>4495075.7106851703</v>
      </c>
    </row>
    <row r="58" spans="1:6">
      <c r="A58" s="1296" t="s">
        <v>48</v>
      </c>
      <c r="B58" s="1296" t="s">
        <v>50</v>
      </c>
      <c r="C58" s="1297">
        <v>17</v>
      </c>
      <c r="D58" s="1297">
        <v>3613858.4206021102</v>
      </c>
      <c r="E58" s="1297">
        <v>46</v>
      </c>
      <c r="F58" s="1297">
        <v>1523669.28471591</v>
      </c>
    </row>
    <row r="59" spans="1:6">
      <c r="A59" s="1296" t="s">
        <v>48</v>
      </c>
      <c r="B59" s="1296" t="s">
        <v>51</v>
      </c>
      <c r="C59" s="1297">
        <v>175</v>
      </c>
      <c r="D59" s="1297">
        <v>13333493.7827319</v>
      </c>
      <c r="E59" s="1297">
        <v>473</v>
      </c>
      <c r="F59" s="1297">
        <v>15265355.3124555</v>
      </c>
    </row>
    <row r="60" spans="1:6">
      <c r="A60" s="1296" t="s">
        <v>48</v>
      </c>
      <c r="B60" s="1296" t="s">
        <v>52</v>
      </c>
      <c r="C60" s="1297">
        <v>107</v>
      </c>
      <c r="D60" s="1297">
        <v>5818765.5376773505</v>
      </c>
      <c r="E60" s="1297">
        <v>172</v>
      </c>
      <c r="F60" s="1297">
        <v>3871792.5659832498</v>
      </c>
    </row>
    <row r="61" spans="1:6">
      <c r="A61" s="1296" t="s">
        <v>48</v>
      </c>
      <c r="B61" s="1296" t="s">
        <v>53</v>
      </c>
      <c r="C61" s="1297">
        <v>308</v>
      </c>
      <c r="D61" s="1297">
        <v>17648309.064742099</v>
      </c>
      <c r="E61" s="1297">
        <v>737</v>
      </c>
      <c r="F61" s="1297">
        <v>9258623.1749595199</v>
      </c>
    </row>
    <row r="62" spans="1:6">
      <c r="A62" s="1296" t="s">
        <v>48</v>
      </c>
      <c r="B62" s="1296" t="s">
        <v>54</v>
      </c>
      <c r="C62" s="1297">
        <v>26</v>
      </c>
      <c r="D62" s="1297">
        <v>3719289.47394526</v>
      </c>
      <c r="E62" s="1297">
        <v>36</v>
      </c>
      <c r="F62" s="1297">
        <v>950304.27859213098</v>
      </c>
    </row>
    <row r="63" spans="1:6">
      <c r="A63" s="1296" t="s">
        <v>48</v>
      </c>
      <c r="B63" s="1296" t="s">
        <v>28</v>
      </c>
      <c r="C63" s="1297">
        <v>233</v>
      </c>
      <c r="D63" s="1297">
        <v>17917820.234211899</v>
      </c>
      <c r="E63" s="1297">
        <v>302</v>
      </c>
      <c r="F63" s="1297">
        <v>16607649.912875099</v>
      </c>
    </row>
    <row r="64" spans="1:6">
      <c r="A64" s="1296" t="s">
        <v>55</v>
      </c>
      <c r="B64" s="1296" t="s">
        <v>56</v>
      </c>
      <c r="C64" s="1297">
        <v>0</v>
      </c>
      <c r="D64" s="1297">
        <v>0</v>
      </c>
      <c r="E64" s="1297">
        <v>0</v>
      </c>
      <c r="F64" s="1297">
        <v>0</v>
      </c>
    </row>
    <row r="65" spans="1:6">
      <c r="A65" s="1296" t="s">
        <v>55</v>
      </c>
      <c r="B65" s="1296" t="s">
        <v>28</v>
      </c>
      <c r="C65" s="1297">
        <v>2</v>
      </c>
      <c r="D65" s="1297">
        <v>98583.435816483994</v>
      </c>
      <c r="E65" s="1297">
        <v>10</v>
      </c>
      <c r="F65" s="1297">
        <v>95855.749658171495</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5</v>
      </c>
      <c r="D68" s="1299">
        <v>275784.95348576398</v>
      </c>
      <c r="E68" s="1299">
        <v>27</v>
      </c>
      <c r="F68" s="1299">
        <v>1486018.6830209999</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203654315</v>
      </c>
      <c r="E73" s="446"/>
      <c r="F73" s="327"/>
    </row>
    <row r="74" spans="1:6">
      <c r="A74" s="1296" t="s">
        <v>63</v>
      </c>
      <c r="B74" s="1296" t="s">
        <v>706</v>
      </c>
      <c r="C74" s="1309" t="s">
        <v>707</v>
      </c>
      <c r="D74" s="1297">
        <v>8225468.8285107613</v>
      </c>
      <c r="E74" s="446"/>
      <c r="F74" s="327"/>
    </row>
    <row r="75" spans="1:6">
      <c r="A75" s="1296" t="s">
        <v>64</v>
      </c>
      <c r="B75" s="1296" t="s">
        <v>704</v>
      </c>
      <c r="C75" s="1309" t="s">
        <v>708</v>
      </c>
      <c r="D75" s="1297">
        <v>46284984</v>
      </c>
      <c r="E75" s="446"/>
      <c r="F75" s="327"/>
    </row>
    <row r="76" spans="1:6">
      <c r="A76" s="1296" t="s">
        <v>64</v>
      </c>
      <c r="B76" s="1296" t="s">
        <v>706</v>
      </c>
      <c r="C76" s="1309" t="s">
        <v>709</v>
      </c>
      <c r="D76" s="1297">
        <v>1181791.8285107613</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735162.34297847748</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6945.6146378785907</v>
      </c>
      <c r="C91" s="327"/>
      <c r="D91" s="327"/>
      <c r="E91" s="327"/>
      <c r="F91" s="327"/>
    </row>
    <row r="92" spans="1:6">
      <c r="A92" s="1291" t="s">
        <v>68</v>
      </c>
      <c r="B92" s="1292">
        <v>3920.7463374679219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4495</v>
      </c>
      <c r="C97" s="327"/>
      <c r="D97" s="327"/>
      <c r="E97" s="327"/>
      <c r="F97" s="327"/>
    </row>
    <row r="98" spans="1:6">
      <c r="A98" s="1296" t="s">
        <v>71</v>
      </c>
      <c r="B98" s="1297">
        <v>9</v>
      </c>
      <c r="C98" s="327"/>
      <c r="D98" s="327"/>
      <c r="E98" s="327"/>
      <c r="F98" s="327"/>
    </row>
    <row r="99" spans="1:6">
      <c r="A99" s="1296" t="s">
        <v>72</v>
      </c>
      <c r="B99" s="1297">
        <v>209</v>
      </c>
      <c r="C99" s="327"/>
      <c r="D99" s="327"/>
      <c r="E99" s="327"/>
      <c r="F99" s="327"/>
    </row>
    <row r="100" spans="1:6">
      <c r="A100" s="1296" t="s">
        <v>73</v>
      </c>
      <c r="B100" s="1297">
        <v>794</v>
      </c>
      <c r="C100" s="327"/>
      <c r="D100" s="327"/>
      <c r="E100" s="327"/>
      <c r="F100" s="327"/>
    </row>
    <row r="101" spans="1:6">
      <c r="A101" s="1296" t="s">
        <v>74</v>
      </c>
      <c r="B101" s="1297">
        <v>166</v>
      </c>
      <c r="C101" s="327"/>
      <c r="D101" s="327"/>
      <c r="E101" s="327"/>
      <c r="F101" s="327"/>
    </row>
    <row r="102" spans="1:6">
      <c r="A102" s="1296" t="s">
        <v>75</v>
      </c>
      <c r="B102" s="1297">
        <v>188</v>
      </c>
      <c r="C102" s="327"/>
      <c r="D102" s="327"/>
      <c r="E102" s="327"/>
      <c r="F102" s="327"/>
    </row>
    <row r="103" spans="1:6">
      <c r="A103" s="1296" t="s">
        <v>76</v>
      </c>
      <c r="B103" s="1297">
        <v>538</v>
      </c>
      <c r="C103" s="327"/>
      <c r="D103" s="327"/>
      <c r="E103" s="327"/>
      <c r="F103" s="327"/>
    </row>
    <row r="104" spans="1:6">
      <c r="A104" s="1296" t="s">
        <v>77</v>
      </c>
      <c r="B104" s="1297">
        <v>8528</v>
      </c>
      <c r="C104" s="327"/>
      <c r="D104" s="327"/>
      <c r="E104" s="327"/>
      <c r="F104" s="327"/>
    </row>
    <row r="105" spans="1:6">
      <c r="A105" s="1291" t="s">
        <v>78</v>
      </c>
      <c r="B105" s="1299">
        <v>13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45</v>
      </c>
      <c r="C123" s="1297">
        <v>28</v>
      </c>
      <c r="D123" s="327"/>
      <c r="E123" s="327"/>
      <c r="F123" s="327"/>
    </row>
    <row r="124" spans="1:6">
      <c r="A124" s="1296" t="s">
        <v>88</v>
      </c>
      <c r="B124" s="1297">
        <v>0</v>
      </c>
      <c r="C124" s="1297">
        <v>2</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242</v>
      </c>
      <c r="C129" s="327"/>
      <c r="D129" s="327"/>
      <c r="E129" s="327"/>
      <c r="F129" s="327"/>
    </row>
    <row r="130" spans="1:6">
      <c r="A130" s="1296" t="s">
        <v>284</v>
      </c>
      <c r="B130" s="1297">
        <v>6</v>
      </c>
      <c r="C130" s="327"/>
      <c r="D130" s="327"/>
      <c r="E130" s="327"/>
      <c r="F130" s="327"/>
    </row>
    <row r="131" spans="1:6">
      <c r="A131" s="1296" t="s">
        <v>285</v>
      </c>
      <c r="B131" s="1297">
        <v>2</v>
      </c>
      <c r="C131" s="327"/>
      <c r="D131" s="327"/>
      <c r="E131" s="327"/>
      <c r="F131" s="327"/>
    </row>
    <row r="132" spans="1:6">
      <c r="A132" s="1291" t="s">
        <v>286</v>
      </c>
      <c r="B132" s="1292">
        <v>41</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193089.25639658299</v>
      </c>
      <c r="C3" s="43" t="s">
        <v>163</v>
      </c>
      <c r="D3" s="43"/>
      <c r="E3" s="156"/>
      <c r="F3" s="43"/>
      <c r="G3" s="43"/>
      <c r="H3" s="43"/>
      <c r="I3" s="43"/>
      <c r="J3" s="43"/>
      <c r="K3" s="96"/>
    </row>
    <row r="4" spans="1:11">
      <c r="A4" s="353" t="s">
        <v>164</v>
      </c>
      <c r="B4" s="49">
        <f>IF(ISERROR('SEAP template'!B78+'SEAP template'!C78),0,'SEAP template'!B78+'SEAP template'!C78)</f>
        <v>10866.360975346513</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0.20856292390178741</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2865.9960000000001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2865.9960000000001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0.20856292390178741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597.74050565082712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68223.958966492908</v>
      </c>
      <c r="C5" s="17">
        <f>IF(ISERROR('Eigen informatie GS &amp; warmtenet'!B57),0,'Eigen informatie GS &amp; warmtenet'!B57)</f>
        <v>0</v>
      </c>
      <c r="D5" s="30">
        <f>(SUM(HH_hh_gas_kWh,HH_rest_gas_kWh)/1000)*0.902</f>
        <v>149259.83344932544</v>
      </c>
      <c r="E5" s="17">
        <f>B32*B41</f>
        <v>4955.3650648495222</v>
      </c>
      <c r="F5" s="17">
        <f>B36*B45</f>
        <v>151859.50509381603</v>
      </c>
      <c r="G5" s="18"/>
      <c r="H5" s="17"/>
      <c r="I5" s="17"/>
      <c r="J5" s="17">
        <f>B35*B44+C35*C44</f>
        <v>2875.9166477198969</v>
      </c>
      <c r="K5" s="17"/>
      <c r="L5" s="17"/>
      <c r="M5" s="17"/>
      <c r="N5" s="17">
        <f>B34*B43+C34*C43</f>
        <v>27758.373288460869</v>
      </c>
      <c r="O5" s="17">
        <f>B52*B53*B54</f>
        <v>425.22666666666669</v>
      </c>
      <c r="P5" s="17">
        <f>B60*B61*B62/1000-B60*B61*B62/1000/B63</f>
        <v>1639.7333333333333</v>
      </c>
    </row>
    <row r="6" spans="1:16">
      <c r="A6" s="16" t="s">
        <v>617</v>
      </c>
      <c r="B6" s="769">
        <f>kWh_PV_kleiner_dan_10kW</f>
        <v>6945.6146378785907</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75169.573604371501</v>
      </c>
      <c r="C8" s="21">
        <f>C5</f>
        <v>0</v>
      </c>
      <c r="D8" s="21">
        <f>D5</f>
        <v>149259.83344932544</v>
      </c>
      <c r="E8" s="21">
        <f>E5</f>
        <v>4955.3650648495222</v>
      </c>
      <c r="F8" s="21">
        <f>F5</f>
        <v>151859.50509381603</v>
      </c>
      <c r="G8" s="21"/>
      <c r="H8" s="21"/>
      <c r="I8" s="21"/>
      <c r="J8" s="21">
        <f>J5</f>
        <v>2875.9166477198969</v>
      </c>
      <c r="K8" s="21"/>
      <c r="L8" s="21">
        <f>L5</f>
        <v>0</v>
      </c>
      <c r="M8" s="21">
        <f>M5</f>
        <v>0</v>
      </c>
      <c r="N8" s="21">
        <f>N5</f>
        <v>27758.373288460869</v>
      </c>
      <c r="O8" s="21">
        <f>O5</f>
        <v>425.22666666666669</v>
      </c>
      <c r="P8" s="21">
        <f>P5</f>
        <v>1639.7333333333333</v>
      </c>
    </row>
    <row r="9" spans="1:16">
      <c r="B9" s="19"/>
      <c r="C9" s="19"/>
      <c r="D9" s="257"/>
      <c r="E9" s="19"/>
      <c r="F9" s="19"/>
      <c r="G9" s="19"/>
      <c r="H9" s="19"/>
      <c r="I9" s="19"/>
      <c r="J9" s="19"/>
      <c r="K9" s="19"/>
      <c r="L9" s="19"/>
      <c r="M9" s="19"/>
      <c r="N9" s="19"/>
      <c r="O9" s="19"/>
      <c r="P9" s="19"/>
    </row>
    <row r="10" spans="1:16">
      <c r="A10" s="24" t="s">
        <v>207</v>
      </c>
      <c r="B10" s="25">
        <f ca="1">'EF ele_warmte'!B12</f>
        <v>0.20856292390178741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15677.58605937834</v>
      </c>
      <c r="C12" s="23">
        <f ca="1">C10*C8</f>
        <v>0</v>
      </c>
      <c r="D12" s="23">
        <f>D8*D10</f>
        <v>30150.48635676374</v>
      </c>
      <c r="E12" s="23">
        <f>E10*E8</f>
        <v>1124.8678697208416</v>
      </c>
      <c r="F12" s="23">
        <f>F10*F8</f>
        <v>40546.487860048881</v>
      </c>
      <c r="G12" s="23"/>
      <c r="H12" s="23"/>
      <c r="I12" s="23"/>
      <c r="J12" s="23">
        <f>J10*J8</f>
        <v>1018.0744932928435</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17161</v>
      </c>
      <c r="C26" s="36"/>
      <c r="D26" s="227"/>
    </row>
    <row r="27" spans="1:5" s="15" customFormat="1">
      <c r="A27" s="229" t="s">
        <v>722</v>
      </c>
      <c r="B27" s="37">
        <f>SUM(HH_hh_gas_aantal,HH_rest_gas_aantal)</f>
        <v>8890</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8445.5</v>
      </c>
      <c r="C31" s="34" t="s">
        <v>104</v>
      </c>
      <c r="D31" s="173"/>
    </row>
    <row r="32" spans="1:5">
      <c r="A32" s="170" t="s">
        <v>72</v>
      </c>
      <c r="B32" s="33">
        <f>IF((B21*($B$26-($B$27-0.05*$B$27)-$B$60))&lt;0,0,B21*($B$26-($B$27-0.05*$B$27)-$B$60))</f>
        <v>216.09615976749018</v>
      </c>
      <c r="C32" s="34" t="s">
        <v>104</v>
      </c>
      <c r="D32" s="173"/>
    </row>
    <row r="33" spans="1:6">
      <c r="A33" s="170" t="s">
        <v>73</v>
      </c>
      <c r="B33" s="33">
        <f>IF((B22*($B$26-($B$27-0.05*$B$27)-$B$60))&lt;0,0,B22*($B$26-($B$27-0.05*$B$27)-$B$60))</f>
        <v>1454.5806013485167</v>
      </c>
      <c r="C33" s="34" t="s">
        <v>104</v>
      </c>
      <c r="D33" s="173"/>
    </row>
    <row r="34" spans="1:6">
      <c r="A34" s="170" t="s">
        <v>74</v>
      </c>
      <c r="B34" s="33">
        <f>IF((B24*($B$26-($B$27-0.05*$B$27)-$B$60))&lt;0,0,B24*($B$26-($B$27-0.05*$B$27)-$B$60))</f>
        <v>369.04681470081732</v>
      </c>
      <c r="C34" s="33">
        <f>B26*C24</f>
        <v>3510.4553205774741</v>
      </c>
      <c r="D34" s="232"/>
    </row>
    <row r="35" spans="1:6">
      <c r="A35" s="170" t="s">
        <v>76</v>
      </c>
      <c r="B35" s="33">
        <f>IF((B19*($B$26-($B$27-0.05*$B$27)-$B$60))&lt;0,0,B19*($B$26-($B$27-0.05*$B$27)-$B$60))</f>
        <v>137.14991868370853</v>
      </c>
      <c r="C35" s="33">
        <f>B35/2</f>
        <v>68.574959341854267</v>
      </c>
      <c r="D35" s="232"/>
    </row>
    <row r="36" spans="1:6">
      <c r="A36" s="170" t="s">
        <v>77</v>
      </c>
      <c r="B36" s="33">
        <f>IF((B18*($B$26-($B$27-0.05*$B$27)-$B$60))&lt;0,0,B18*($B$26-($B$27-0.05*$B$27)-$B$60))</f>
        <v>6452.6265054994674</v>
      </c>
      <c r="C36" s="34" t="s">
        <v>104</v>
      </c>
      <c r="D36" s="173"/>
    </row>
    <row r="37" spans="1:6">
      <c r="A37" s="170" t="s">
        <v>78</v>
      </c>
      <c r="B37" s="33">
        <f>B60</f>
        <v>86</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272</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86</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51972.470240266572</v>
      </c>
      <c r="C5" s="17">
        <f>IF(ISERROR('Eigen informatie GS &amp; warmtenet'!B58),0,'Eigen informatie GS &amp; warmtenet'!B58)</f>
        <v>0</v>
      </c>
      <c r="D5" s="30">
        <f>SUM(D6:D12)</f>
        <v>61528.787048509963</v>
      </c>
      <c r="E5" s="17">
        <f>SUM(E6:E12)</f>
        <v>698.72029421828381</v>
      </c>
      <c r="F5" s="17">
        <f>SUM(F6:F12)</f>
        <v>10392.530275037916</v>
      </c>
      <c r="G5" s="18"/>
      <c r="H5" s="17"/>
      <c r="I5" s="17"/>
      <c r="J5" s="17">
        <f>SUM(J6:J12)</f>
        <v>0</v>
      </c>
      <c r="K5" s="17"/>
      <c r="L5" s="17"/>
      <c r="M5" s="17"/>
      <c r="N5" s="17">
        <f>SUM(N6:N12)</f>
        <v>4514.7822495203754</v>
      </c>
      <c r="O5" s="17">
        <f>B38*B39*B40</f>
        <v>9.3800000000000008</v>
      </c>
      <c r="P5" s="17">
        <f>B46*B47*B48/1000-B46*B47*B48/1000/B49</f>
        <v>38.133333333333333</v>
      </c>
      <c r="R5" s="32"/>
    </row>
    <row r="6" spans="1:18">
      <c r="A6" s="32" t="s">
        <v>53</v>
      </c>
      <c r="B6" s="37">
        <f>B26</f>
        <v>9258.623174959519</v>
      </c>
      <c r="C6" s="33"/>
      <c r="D6" s="37">
        <f>IF(ISERROR(TER_kantoor_gas_kWh/1000),0,TER_kantoor_gas_kWh/1000)*0.902</f>
        <v>15918.774776397373</v>
      </c>
      <c r="E6" s="33">
        <f>$C$26*'E Balans VL '!I12/100/3.6*1000000</f>
        <v>35.97171119945255</v>
      </c>
      <c r="F6" s="33">
        <f>$C$26*('E Balans VL '!L12+'E Balans VL '!N12)/100/3.6*1000000</f>
        <v>1408.1523381571844</v>
      </c>
      <c r="G6" s="34"/>
      <c r="H6" s="33"/>
      <c r="I6" s="33"/>
      <c r="J6" s="33">
        <f>$C$26*('E Balans VL '!D12+'E Balans VL '!E12)/100/3.6*1000000</f>
        <v>0</v>
      </c>
      <c r="K6" s="33"/>
      <c r="L6" s="33"/>
      <c r="M6" s="33"/>
      <c r="N6" s="33">
        <f>$C$26*'E Balans VL '!Y12/100/3.6*1000000</f>
        <v>5.1026105251439393</v>
      </c>
      <c r="O6" s="33"/>
      <c r="P6" s="33"/>
      <c r="R6" s="32"/>
    </row>
    <row r="7" spans="1:18">
      <c r="A7" s="32" t="s">
        <v>52</v>
      </c>
      <c r="B7" s="37">
        <f t="shared" ref="B7:B12" si="0">B27</f>
        <v>3871.7925659832499</v>
      </c>
      <c r="C7" s="33"/>
      <c r="D7" s="37">
        <f>IF(ISERROR(TER_horeca_gas_kWh/1000),0,TER_horeca_gas_kWh/1000)*0.902</f>
        <v>5248.5265149849702</v>
      </c>
      <c r="E7" s="33">
        <f>$C$27*'E Balans VL '!I9/100/3.6*1000000</f>
        <v>218.0991103876631</v>
      </c>
      <c r="F7" s="33">
        <f>$C$27*('E Balans VL '!L9+'E Balans VL '!N9)/100/3.6*1000000</f>
        <v>1116.393176540598</v>
      </c>
      <c r="G7" s="34"/>
      <c r="H7" s="33"/>
      <c r="I7" s="33"/>
      <c r="J7" s="33">
        <f>$C$27*('E Balans VL '!D9+'E Balans VL '!E9)/100/3.6*1000000</f>
        <v>0</v>
      </c>
      <c r="K7" s="33"/>
      <c r="L7" s="33"/>
      <c r="M7" s="33"/>
      <c r="N7" s="33">
        <f>$C$27*'E Balans VL '!Y9/100/3.6*1000000</f>
        <v>1.0689818077407991</v>
      </c>
      <c r="O7" s="33"/>
      <c r="P7" s="33"/>
      <c r="R7" s="32"/>
    </row>
    <row r="8" spans="1:18">
      <c r="A8" s="6" t="s">
        <v>51</v>
      </c>
      <c r="B8" s="37">
        <f t="shared" si="0"/>
        <v>15265.3553124555</v>
      </c>
      <c r="C8" s="33"/>
      <c r="D8" s="37">
        <f>IF(ISERROR(TER_handel_gas_kWh/1000),0,TER_handel_gas_kWh/1000)*0.902</f>
        <v>12026.811392024176</v>
      </c>
      <c r="E8" s="33">
        <f>$C$28*'E Balans VL '!I13/100/3.6*1000000</f>
        <v>220.02556025119389</v>
      </c>
      <c r="F8" s="33">
        <f>$C$28*('E Balans VL '!L13+'E Balans VL '!N13)/100/3.6*1000000</f>
        <v>2651.9477239096009</v>
      </c>
      <c r="G8" s="34"/>
      <c r="H8" s="33"/>
      <c r="I8" s="33"/>
      <c r="J8" s="33">
        <f>$C$28*('E Balans VL '!D13+'E Balans VL '!E13)/100/3.6*1000000</f>
        <v>0</v>
      </c>
      <c r="K8" s="33"/>
      <c r="L8" s="33"/>
      <c r="M8" s="33"/>
      <c r="N8" s="33">
        <f>$C$28*'E Balans VL '!Y13/100/3.6*1000000</f>
        <v>45.736703890477429</v>
      </c>
      <c r="O8" s="33"/>
      <c r="P8" s="33"/>
      <c r="R8" s="32"/>
    </row>
    <row r="9" spans="1:18">
      <c r="A9" s="32" t="s">
        <v>50</v>
      </c>
      <c r="B9" s="37">
        <f t="shared" si="0"/>
        <v>1523.66928471591</v>
      </c>
      <c r="C9" s="33"/>
      <c r="D9" s="37">
        <f>IF(ISERROR(TER_gezond_gas_kWh/1000),0,TER_gezond_gas_kWh/1000)*0.902</f>
        <v>3259.7002953831034</v>
      </c>
      <c r="E9" s="33">
        <f>$C$29*'E Balans VL '!I10/100/3.6*1000000</f>
        <v>1.6276737166521913</v>
      </c>
      <c r="F9" s="33">
        <f>$C$29*('E Balans VL '!L10+'E Balans VL '!N10)/100/3.6*1000000</f>
        <v>248.55676638437293</v>
      </c>
      <c r="G9" s="34"/>
      <c r="H9" s="33"/>
      <c r="I9" s="33"/>
      <c r="J9" s="33">
        <f>$C$29*('E Balans VL '!D10+'E Balans VL '!E10)/100/3.6*1000000</f>
        <v>0</v>
      </c>
      <c r="K9" s="33"/>
      <c r="L9" s="33"/>
      <c r="M9" s="33"/>
      <c r="N9" s="33">
        <f>$C$29*'E Balans VL '!Y10/100/3.6*1000000</f>
        <v>15.685305897800999</v>
      </c>
      <c r="O9" s="33"/>
      <c r="P9" s="33"/>
      <c r="R9" s="32"/>
    </row>
    <row r="10" spans="1:18">
      <c r="A10" s="32" t="s">
        <v>49</v>
      </c>
      <c r="B10" s="37">
        <f t="shared" si="0"/>
        <v>4495.0757106851706</v>
      </c>
      <c r="C10" s="33"/>
      <c r="D10" s="37">
        <f>IF(ISERROR(TER_ander_gas_kWh/1000),0,TER_ander_gas_kWh/1000)*0.902</f>
        <v>5558.3011129625747</v>
      </c>
      <c r="E10" s="33">
        <f>$C$30*'E Balans VL '!I14/100/3.6*1000000</f>
        <v>20.672169441668125</v>
      </c>
      <c r="F10" s="33">
        <f>$C$30*('E Balans VL '!L14+'E Balans VL '!N14)/100/3.6*1000000</f>
        <v>1347.3159779238736</v>
      </c>
      <c r="G10" s="34"/>
      <c r="H10" s="33"/>
      <c r="I10" s="33"/>
      <c r="J10" s="33">
        <f>$C$30*('E Balans VL '!D14+'E Balans VL '!E14)/100/3.6*1000000</f>
        <v>0</v>
      </c>
      <c r="K10" s="33"/>
      <c r="L10" s="33"/>
      <c r="M10" s="33"/>
      <c r="N10" s="33">
        <f>$C$30*'E Balans VL '!Y14/100/3.6*1000000</f>
        <v>3128.8694180398406</v>
      </c>
      <c r="O10" s="33"/>
      <c r="P10" s="33"/>
      <c r="R10" s="32"/>
    </row>
    <row r="11" spans="1:18">
      <c r="A11" s="32" t="s">
        <v>54</v>
      </c>
      <c r="B11" s="37">
        <f t="shared" si="0"/>
        <v>950.30427859213103</v>
      </c>
      <c r="C11" s="33"/>
      <c r="D11" s="37">
        <f>IF(ISERROR(TER_onderwijs_gas_kWh/1000),0,TER_onderwijs_gas_kWh/1000)*0.902</f>
        <v>3354.7991054986246</v>
      </c>
      <c r="E11" s="33">
        <f>$C$31*'E Balans VL '!I11/100/3.6*1000000</f>
        <v>0.8815321917488198</v>
      </c>
      <c r="F11" s="33">
        <f>$C$31*('E Balans VL '!L11+'E Balans VL '!N11)/100/3.6*1000000</f>
        <v>333.82005189586977</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16607.649912875098</v>
      </c>
      <c r="C12" s="33"/>
      <c r="D12" s="37">
        <f>IF(ISERROR(TER_rest_gas_kWh/1000),0,TER_rest_gas_kWh/1000)*0.902</f>
        <v>16161.873851259135</v>
      </c>
      <c r="E12" s="33">
        <f>$C$32*'E Balans VL '!I8/100/3.6*1000000</f>
        <v>201.44253702990517</v>
      </c>
      <c r="F12" s="33">
        <f>$C$32*('E Balans VL '!L8+'E Balans VL '!N8)/100/3.6*1000000</f>
        <v>3286.3442402264154</v>
      </c>
      <c r="G12" s="34"/>
      <c r="H12" s="33"/>
      <c r="I12" s="33"/>
      <c r="J12" s="33">
        <f>$C$32*('E Balans VL '!D8+'E Balans VL '!E8)/100/3.6*1000000</f>
        <v>0</v>
      </c>
      <c r="K12" s="33"/>
      <c r="L12" s="33"/>
      <c r="M12" s="33"/>
      <c r="N12" s="33">
        <f>$C$32*'E Balans VL '!Y8/100/3.6*1000000</f>
        <v>1318.3192293593713</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51972.470240266572</v>
      </c>
      <c r="C16" s="21">
        <f t="shared" ca="1" si="1"/>
        <v>0</v>
      </c>
      <c r="D16" s="21">
        <f t="shared" ca="1" si="1"/>
        <v>61528.787048509963</v>
      </c>
      <c r="E16" s="21">
        <f t="shared" si="1"/>
        <v>698.72029421828381</v>
      </c>
      <c r="F16" s="21">
        <f t="shared" ca="1" si="1"/>
        <v>10392.530275037916</v>
      </c>
      <c r="G16" s="21">
        <f t="shared" si="1"/>
        <v>0</v>
      </c>
      <c r="H16" s="21">
        <f t="shared" si="1"/>
        <v>0</v>
      </c>
      <c r="I16" s="21">
        <f t="shared" si="1"/>
        <v>0</v>
      </c>
      <c r="J16" s="21">
        <f t="shared" si="1"/>
        <v>0</v>
      </c>
      <c r="K16" s="21">
        <f t="shared" si="1"/>
        <v>0</v>
      </c>
      <c r="L16" s="21">
        <f t="shared" ca="1" si="1"/>
        <v>0</v>
      </c>
      <c r="M16" s="21">
        <f t="shared" si="1"/>
        <v>0</v>
      </c>
      <c r="N16" s="21">
        <f t="shared" ca="1" si="1"/>
        <v>4514.7822495203754</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0.20856292390178741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10839.530355708628</v>
      </c>
      <c r="C20" s="23">
        <f t="shared" ref="C20:P20" ca="1" si="2">C16*C18</f>
        <v>0</v>
      </c>
      <c r="D20" s="23">
        <f t="shared" ca="1" si="2"/>
        <v>12428.814983799013</v>
      </c>
      <c r="E20" s="23">
        <f t="shared" si="2"/>
        <v>158.60950678755043</v>
      </c>
      <c r="F20" s="23">
        <f t="shared" ca="1" si="2"/>
        <v>2774.8055834351239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9258.623174959519</v>
      </c>
      <c r="C26" s="39">
        <f>IF(ISERROR(B26*3.6/1000000/'E Balans VL '!Z12*100),0,B26*3.6/1000000/'E Balans VL '!Z12*100)</f>
        <v>0.19665774236187283</v>
      </c>
      <c r="D26" s="235" t="s">
        <v>672</v>
      </c>
      <c r="F26" s="6"/>
    </row>
    <row r="27" spans="1:18">
      <c r="A27" s="230" t="s">
        <v>52</v>
      </c>
      <c r="B27" s="33">
        <f>IF(ISERROR(TER_horeca_ele_kWh/1000),0,TER_horeca_ele_kWh/1000)</f>
        <v>3871.7925659832499</v>
      </c>
      <c r="C27" s="39">
        <f>IF(ISERROR(B27*3.6/1000000/'E Balans VL '!Z9*100),0,B27*3.6/1000000/'E Balans VL '!Z9*100)</f>
        <v>0.30105545152506957</v>
      </c>
      <c r="D27" s="235" t="s">
        <v>672</v>
      </c>
      <c r="F27" s="6"/>
    </row>
    <row r="28" spans="1:18">
      <c r="A28" s="170" t="s">
        <v>51</v>
      </c>
      <c r="B28" s="33">
        <f>IF(ISERROR(TER_handel_ele_kWh/1000),0,TER_handel_ele_kWh/1000)</f>
        <v>15265.3553124555</v>
      </c>
      <c r="C28" s="39">
        <f>IF(ISERROR(B28*3.6/1000000/'E Balans VL '!Z13*100),0,B28*3.6/1000000/'E Balans VL '!Z13*100)</f>
        <v>0.43675978101537177</v>
      </c>
      <c r="D28" s="235" t="s">
        <v>672</v>
      </c>
      <c r="F28" s="6"/>
    </row>
    <row r="29" spans="1:18">
      <c r="A29" s="230" t="s">
        <v>50</v>
      </c>
      <c r="B29" s="33">
        <f>IF(ISERROR(TER_gezond_ele_kWh/1000),0,TER_gezond_ele_kWh/1000)</f>
        <v>1523.66928471591</v>
      </c>
      <c r="C29" s="39">
        <f>IF(ISERROR(B29*3.6/1000000/'E Balans VL '!Z10*100),0,B29*3.6/1000000/'E Balans VL '!Z10*100)</f>
        <v>0.16611535786192538</v>
      </c>
      <c r="D29" s="235" t="s">
        <v>672</v>
      </c>
      <c r="F29" s="6"/>
    </row>
    <row r="30" spans="1:18">
      <c r="A30" s="230" t="s">
        <v>49</v>
      </c>
      <c r="B30" s="33">
        <f>IF(ISERROR(TER_ander_ele_kWh/1000),0,TER_ander_ele_kWh/1000)</f>
        <v>4495.0757106851706</v>
      </c>
      <c r="C30" s="39">
        <f>IF(ISERROR(B30*3.6/1000000/'E Balans VL '!Z14*100),0,B30*3.6/1000000/'E Balans VL '!Z14*100)</f>
        <v>0.32893944367041167</v>
      </c>
      <c r="D30" s="235" t="s">
        <v>672</v>
      </c>
      <c r="F30" s="6"/>
    </row>
    <row r="31" spans="1:18">
      <c r="A31" s="230" t="s">
        <v>54</v>
      </c>
      <c r="B31" s="33">
        <f>IF(ISERROR(TER_onderwijs_ele_kWh/1000),0,TER_onderwijs_ele_kWh/1000)</f>
        <v>950.30427859213103</v>
      </c>
      <c r="C31" s="39">
        <f>IF(ISERROR(B31*3.6/1000000/'E Balans VL '!Z11*100),0,B31*3.6/1000000/'E Balans VL '!Z11*100)</f>
        <v>0.19086932003172782</v>
      </c>
      <c r="D31" s="235" t="s">
        <v>672</v>
      </c>
    </row>
    <row r="32" spans="1:18">
      <c r="A32" s="230" t="s">
        <v>249</v>
      </c>
      <c r="B32" s="33">
        <f>IF(ISERROR(TER_rest_ele_kWh/1000),0,TER_rest_ele_kWh/1000)</f>
        <v>16607.649912875098</v>
      </c>
      <c r="C32" s="39">
        <f>IF(ISERROR(B32*3.6/1000000/'E Balans VL '!Z8*100),0,B32*3.6/1000000/'E Balans VL '!Z8*100)</f>
        <v>0.13534226811928904</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6</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2</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58423.773421394006</v>
      </c>
      <c r="C5" s="17">
        <f>IF(ISERROR('Eigen informatie GS &amp; warmtenet'!B59),0,'Eigen informatie GS &amp; warmtenet'!B59)</f>
        <v>0</v>
      </c>
      <c r="D5" s="30">
        <f>SUM(D6:D15)</f>
        <v>39254.247304087708</v>
      </c>
      <c r="E5" s="17">
        <f>SUM(E6:E15)</f>
        <v>6691.4050551330129</v>
      </c>
      <c r="F5" s="17">
        <f>SUM(F6:F15)</f>
        <v>18764.294754577033</v>
      </c>
      <c r="G5" s="18"/>
      <c r="H5" s="17"/>
      <c r="I5" s="17"/>
      <c r="J5" s="17">
        <f>SUM(J6:J15)</f>
        <v>27.331426902664166</v>
      </c>
      <c r="K5" s="17"/>
      <c r="L5" s="17"/>
      <c r="M5" s="17"/>
      <c r="N5" s="17">
        <f>SUM(N6:N15)</f>
        <v>3214.1186850853665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421.67234565249498</v>
      </c>
      <c r="C8" s="33"/>
      <c r="D8" s="37">
        <f>IF( ISERROR(IND_metaal_Gas_kWH/1000),0,IND_metaal_Gas_kWH/1000)*0.902</f>
        <v>368.35875962547613</v>
      </c>
      <c r="E8" s="33">
        <f>C30*'E Balans VL '!I18/100/3.6*1000000</f>
        <v>12.112012530954054</v>
      </c>
      <c r="F8" s="33">
        <f>C30*'E Balans VL '!L18/100/3.6*1000000+C30*'E Balans VL '!N18/100/3.6*1000000</f>
        <v>108.15084673517038</v>
      </c>
      <c r="G8" s="34"/>
      <c r="H8" s="33"/>
      <c r="I8" s="33"/>
      <c r="J8" s="40">
        <f>C30*'E Balans VL '!D18/100/3.6*1000000+C30*'E Balans VL '!E18/100/3.6*1000000</f>
        <v>0</v>
      </c>
      <c r="K8" s="33"/>
      <c r="L8" s="33"/>
      <c r="M8" s="33"/>
      <c r="N8" s="33">
        <f>C30*'E Balans VL '!Y18/100/3.6*1000000</f>
        <v>11.449264939672551</v>
      </c>
      <c r="O8" s="33"/>
      <c r="P8" s="33"/>
      <c r="R8" s="32"/>
    </row>
    <row r="9" spans="1:18">
      <c r="A9" s="6" t="s">
        <v>32</v>
      </c>
      <c r="B9" s="37">
        <f t="shared" si="0"/>
        <v>21811.344799557701</v>
      </c>
      <c r="C9" s="33"/>
      <c r="D9" s="37">
        <f>IF( ISERROR(IND_andere_gas_kWh/1000),0,IND_andere_gas_kWh/1000)*0.902</f>
        <v>2622.9815162512514</v>
      </c>
      <c r="E9" s="33">
        <f>C31*'E Balans VL '!I19/100/3.6*1000000</f>
        <v>5903.7947608235054</v>
      </c>
      <c r="F9" s="33">
        <f>C31*'E Balans VL '!L19/100/3.6*1000000+C31*'E Balans VL '!N19/100/3.6*1000000</f>
        <v>14528.663758929491</v>
      </c>
      <c r="G9" s="34"/>
      <c r="H9" s="33"/>
      <c r="I9" s="33"/>
      <c r="J9" s="40">
        <f>C31*'E Balans VL '!D19/100/3.6*1000000+C31*'E Balans VL '!E19/100/3.6*1000000</f>
        <v>0</v>
      </c>
      <c r="K9" s="33"/>
      <c r="L9" s="33"/>
      <c r="M9" s="33"/>
      <c r="N9" s="33">
        <f>C31*'E Balans VL '!Y19/100/3.6*1000000</f>
        <v>1844.0047191424412</v>
      </c>
      <c r="O9" s="33"/>
      <c r="P9" s="33"/>
      <c r="R9" s="32"/>
    </row>
    <row r="10" spans="1:18">
      <c r="A10" s="6" t="s">
        <v>40</v>
      </c>
      <c r="B10" s="37">
        <f t="shared" si="0"/>
        <v>764.74955815736701</v>
      </c>
      <c r="C10" s="33"/>
      <c r="D10" s="37">
        <f>IF( ISERROR(IND_voed_gas_kWh/1000),0,IND_voed_gas_kWh/1000)*0.902</f>
        <v>989.35974443884288</v>
      </c>
      <c r="E10" s="33">
        <f>C32*'E Balans VL '!I20/100/3.6*1000000</f>
        <v>62.374730929706082</v>
      </c>
      <c r="F10" s="33">
        <f>C32*'E Balans VL '!L20/100/3.6*1000000+C32*'E Balans VL '!N20/100/3.6*1000000</f>
        <v>1140.3109753720798</v>
      </c>
      <c r="G10" s="34"/>
      <c r="H10" s="33"/>
      <c r="I10" s="33"/>
      <c r="J10" s="40">
        <f>C32*'E Balans VL '!D20/100/3.6*1000000+C32*'E Balans VL '!E20/100/3.6*1000000</f>
        <v>1.0116708372987884E-2</v>
      </c>
      <c r="K10" s="33"/>
      <c r="L10" s="33"/>
      <c r="M10" s="33"/>
      <c r="N10" s="33">
        <f>C32*'E Balans VL '!Y20/100/3.6*1000000</f>
        <v>224.65643508447286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237.53208150164201</v>
      </c>
      <c r="C13" s="33"/>
      <c r="D13" s="37">
        <f>IF( ISERROR(IND_papier_gas_kWh/1000),0,IND_papier_gas_kWh/1000)*0.902</f>
        <v>0</v>
      </c>
      <c r="E13" s="33">
        <f>C35*'E Balans VL '!I23/100/3.6*1000000</f>
        <v>2.4885812843716382</v>
      </c>
      <c r="F13" s="33">
        <f>C35*'E Balans VL '!L23/100/3.6*1000000+C35*'E Balans VL '!N23/100/3.6*1000000</f>
        <v>17.724686023271683</v>
      </c>
      <c r="G13" s="34"/>
      <c r="H13" s="33"/>
      <c r="I13" s="33"/>
      <c r="J13" s="40">
        <f>C35*'E Balans VL '!D23/100/3.6*1000000+C35*'E Balans VL '!E23/100/3.6*1000000</f>
        <v>0</v>
      </c>
      <c r="K13" s="33"/>
      <c r="L13" s="33"/>
      <c r="M13" s="33"/>
      <c r="N13" s="33">
        <f>C35*'E Balans VL '!Y23/100/3.6*1000000</f>
        <v>43.819533004025153</v>
      </c>
      <c r="O13" s="33"/>
      <c r="P13" s="33"/>
      <c r="R13" s="32"/>
    </row>
    <row r="14" spans="1:18">
      <c r="A14" s="6" t="s">
        <v>33</v>
      </c>
      <c r="B14" s="37">
        <f t="shared" si="0"/>
        <v>24528.8414526919</v>
      </c>
      <c r="C14" s="33"/>
      <c r="D14" s="37">
        <f>IF( ISERROR(IND_chemie_gas_kWh/1000),0,IND_chemie_gas_kWh/1000)*0.902</f>
        <v>25769.158784367843</v>
      </c>
      <c r="E14" s="33">
        <f>C36*'E Balans VL '!I24/100/3.6*1000000</f>
        <v>115.9535936603167</v>
      </c>
      <c r="F14" s="33">
        <f>C36*'E Balans VL '!L24/100/3.6*1000000+C36*'E Balans VL '!N24/100/3.6*1000000</f>
        <v>463.58193732907711</v>
      </c>
      <c r="G14" s="34"/>
      <c r="H14" s="33"/>
      <c r="I14" s="33"/>
      <c r="J14" s="40">
        <f>C36*'E Balans VL '!D24/100/3.6*1000000+C36*'E Balans VL '!E24/100/3.6*1000000</f>
        <v>0</v>
      </c>
      <c r="K14" s="33"/>
      <c r="L14" s="33"/>
      <c r="M14" s="33"/>
      <c r="N14" s="33">
        <f>C36*'E Balans VL '!Y24/100/3.6*1000000</f>
        <v>595.4772886365073</v>
      </c>
      <c r="O14" s="33"/>
      <c r="P14" s="33"/>
      <c r="R14" s="32"/>
    </row>
    <row r="15" spans="1:18">
      <c r="A15" s="6" t="s">
        <v>259</v>
      </c>
      <c r="B15" s="37">
        <f t="shared" si="0"/>
        <v>10659.633183832901</v>
      </c>
      <c r="C15" s="33"/>
      <c r="D15" s="37">
        <f>IF( ISERROR(IND_rest_gas_kWh/1000),0,IND_rest_gas_kWh/1000)*0.902</f>
        <v>9504.3884994042965</v>
      </c>
      <c r="E15" s="33">
        <f>C37*'E Balans VL '!I15/100/3.6*1000000</f>
        <v>594.68137590415881</v>
      </c>
      <c r="F15" s="33">
        <f>C37*'E Balans VL '!L15/100/3.6*1000000+C37*'E Balans VL '!N15/100/3.6*1000000</f>
        <v>2505.8625501879419</v>
      </c>
      <c r="G15" s="34"/>
      <c r="H15" s="33"/>
      <c r="I15" s="33"/>
      <c r="J15" s="40">
        <f>C37*'E Balans VL '!D15/100/3.6*1000000+C37*'E Balans VL '!E15/100/3.6*1000000</f>
        <v>27.321310194291179</v>
      </c>
      <c r="K15" s="33"/>
      <c r="L15" s="33"/>
      <c r="M15" s="33"/>
      <c r="N15" s="33">
        <f>C37*'E Balans VL '!Y15/100/3.6*1000000</f>
        <v>494.7114442782472</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58423.773421394006</v>
      </c>
      <c r="C18" s="21">
        <f>C5+C16</f>
        <v>0</v>
      </c>
      <c r="D18" s="21">
        <f>MAX((D5+D16),0)</f>
        <v>39254.247304087708</v>
      </c>
      <c r="E18" s="21">
        <f>MAX((E5+E16),0)</f>
        <v>6691.4050551330129</v>
      </c>
      <c r="F18" s="21">
        <f>MAX((F5+F16),0)</f>
        <v>18764.294754577033</v>
      </c>
      <c r="G18" s="21"/>
      <c r="H18" s="21"/>
      <c r="I18" s="21"/>
      <c r="J18" s="21">
        <f>MAX((J5+J16),0)</f>
        <v>27.331426902664166</v>
      </c>
      <c r="K18" s="21"/>
      <c r="L18" s="21">
        <f>MAX((L5+L16),0)</f>
        <v>0</v>
      </c>
      <c r="M18" s="21"/>
      <c r="N18" s="21">
        <f>MAX((N5+N16),0)</f>
        <v>3214.1186850853665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0.20856292390178741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12185.033010141467</v>
      </c>
      <c r="C22" s="23">
        <f ca="1">C18*C20</f>
        <v>0</v>
      </c>
      <c r="D22" s="23">
        <f>D18*D20</f>
        <v>7929.3579554257176</v>
      </c>
      <c r="E22" s="23">
        <f>E18*E20</f>
        <v>1518.948947515194</v>
      </c>
      <c r="F22" s="23">
        <f>F18*F20</f>
        <v>5010.0666994720677</v>
      </c>
      <c r="G22" s="23"/>
      <c r="H22" s="23"/>
      <c r="I22" s="23"/>
      <c r="J22" s="23">
        <f>J18*J20</f>
        <v>9.6753251235431144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421.67234565249498</v>
      </c>
      <c r="C30" s="39">
        <f>IF(ISERROR(B30*3.6/1000000/'E Balans VL '!Z18*100),0,B30*3.6/1000000/'E Balans VL '!Z18*100)</f>
        <v>4.1491482397372208E-2</v>
      </c>
      <c r="D30" s="235" t="s">
        <v>672</v>
      </c>
    </row>
    <row r="31" spans="1:18">
      <c r="A31" s="6" t="s">
        <v>32</v>
      </c>
      <c r="B31" s="37">
        <f>IF( ISERROR(IND_ander_ele_kWh/1000),0,IND_ander_ele_kWh/1000)</f>
        <v>21811.344799557701</v>
      </c>
      <c r="C31" s="39">
        <f>IF(ISERROR(B31*3.6/1000000/'E Balans VL '!Z19*100),0,B31*3.6/1000000/'E Balans VL '!Z19*100)</f>
        <v>0.94986666728238012</v>
      </c>
      <c r="D31" s="235" t="s">
        <v>672</v>
      </c>
    </row>
    <row r="32" spans="1:18">
      <c r="A32" s="170" t="s">
        <v>40</v>
      </c>
      <c r="B32" s="37">
        <f>IF( ISERROR(IND_voed_ele_kWh/1000),0,IND_voed_ele_kWh/1000)</f>
        <v>764.74955815736701</v>
      </c>
      <c r="C32" s="39">
        <f>IF(ISERROR(B32*3.6/1000000/'E Balans VL '!Z20*100),0,B32*3.6/1000000/'E Balans VL '!Z20*100)</f>
        <v>0.14510019977193206</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237.53208150164201</v>
      </c>
      <c r="C35" s="39">
        <f>IF(ISERROR(B35*3.6/1000000/'E Balans VL '!Z22*100),0,B35*3.6/1000000/'E Balans VL '!Z22*100)</f>
        <v>3.3399395881946785E-2</v>
      </c>
      <c r="D35" s="235" t="s">
        <v>672</v>
      </c>
    </row>
    <row r="36" spans="1:5">
      <c r="A36" s="170" t="s">
        <v>33</v>
      </c>
      <c r="B36" s="37">
        <f>IF( ISERROR(IND_chemie_ele_kWh/1000),0,IND_chemie_ele_kWh/1000)</f>
        <v>24528.8414526919</v>
      </c>
      <c r="C36" s="39">
        <f>IF(ISERROR(B36*3.6/1000000/'E Balans VL '!Z24*100),0,B36*3.6/1000000/'E Balans VL '!Z24*100)</f>
        <v>0.71484292124589377</v>
      </c>
      <c r="D36" s="235" t="s">
        <v>672</v>
      </c>
    </row>
    <row r="37" spans="1:5">
      <c r="A37" s="170" t="s">
        <v>259</v>
      </c>
      <c r="B37" s="37">
        <f>IF( ISERROR(IND_rest_ele_kWh/1000),0,IND_rest_ele_kWh/1000)</f>
        <v>10659.633183832901</v>
      </c>
      <c r="C37" s="39">
        <f>IF(ISERROR(B37*3.6/1000000/'E Balans VL '!Z15*100),0,B37*3.6/1000000/'E Balans VL '!Z15*100)</f>
        <v>8.2145566409767307E-2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2109.9920078773221</v>
      </c>
      <c r="C5" s="17">
        <f>'Eigen informatie GS &amp; warmtenet'!B60</f>
        <v>0</v>
      </c>
      <c r="D5" s="30">
        <f>IF(ISERROR(SUM(LB_lb_gas_kWh,LB_rest_gas_kWh)/1000),0,SUM(LB_lb_gas_kWh,LB_rest_gas_kWh)/1000)*0.902</f>
        <v>837.7156257391174</v>
      </c>
      <c r="E5" s="17">
        <f>B17*'E Balans VL '!I25/3.6*1000000/100</f>
        <v>26.588617521630937</v>
      </c>
      <c r="F5" s="17">
        <f>B17*('E Balans VL '!L25/3.6*1000000+'E Balans VL '!N25/3.6*1000000)/100</f>
        <v>7280.0010117589582</v>
      </c>
      <c r="G5" s="18"/>
      <c r="H5" s="17"/>
      <c r="I5" s="17"/>
      <c r="J5" s="17">
        <f>('E Balans VL '!D25+'E Balans VL '!E25)/3.6*1000000*landbouw!B17/100</f>
        <v>317.31881244213224</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2109.9920078773221</v>
      </c>
      <c r="C8" s="21">
        <f>C5+C6</f>
        <v>0</v>
      </c>
      <c r="D8" s="21">
        <f>MAX((D5+D6),0)</f>
        <v>837.7156257391174</v>
      </c>
      <c r="E8" s="21">
        <f>MAX((E5+E6),0)</f>
        <v>26.588617521630937</v>
      </c>
      <c r="F8" s="21">
        <f>MAX((F5+F6),0)</f>
        <v>7280.0010117589582</v>
      </c>
      <c r="G8" s="21"/>
      <c r="H8" s="21"/>
      <c r="I8" s="21"/>
      <c r="J8" s="21">
        <f>MAX((J5+J6),0)</f>
        <v>317.31881244213224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0.20856292390178741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440.06610257229755</v>
      </c>
      <c r="C12" s="23">
        <f ca="1">C8*C10</f>
        <v>0</v>
      </c>
      <c r="D12" s="23">
        <f>D8*D10</f>
        <v>169.21855639930172</v>
      </c>
      <c r="E12" s="23">
        <f>E8*E10</f>
        <v>6.0356161774102226</v>
      </c>
      <c r="F12" s="23">
        <f>F8*F10</f>
        <v>1943.760270139642</v>
      </c>
      <c r="G12" s="23"/>
      <c r="H12" s="23"/>
      <c r="I12" s="23"/>
      <c r="J12" s="23">
        <f>J8*J10</f>
        <v>112.33085960451481</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0.2942773820110563</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338.38401491556925</v>
      </c>
      <c r="C26" s="245">
        <f>B26*'GWP N2O_CH4'!B5</f>
        <v>7106.0643132269543</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69.346296562496661</v>
      </c>
      <c r="C27" s="245">
        <f>B27*'GWP N2O_CH4'!B5</f>
        <v>1456.2722278124299</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5.7504912156058863</v>
      </c>
      <c r="C28" s="245">
        <f>B28*'GWP N2O_CH4'!B4</f>
        <v>1782.6522768378247</v>
      </c>
      <c r="D28" s="50"/>
    </row>
    <row r="29" spans="1:4">
      <c r="A29" s="41" t="s">
        <v>266</v>
      </c>
      <c r="B29" s="245">
        <f>B34*'ha_N2O bodem landbouw'!B4</f>
        <v>20.210825760217112</v>
      </c>
      <c r="C29" s="245">
        <f>B29*'GWP N2O_CH4'!B4</f>
        <v>6265.3559856673046</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5.0464412401186876E-3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6.6715340002343975E-5</v>
      </c>
      <c r="C5" s="434" t="s">
        <v>204</v>
      </c>
      <c r="D5" s="419">
        <f>SUM(D6:D11)</f>
        <v>6.5633669377187929E-5</v>
      </c>
      <c r="E5" s="419">
        <f>SUM(E6:E11)</f>
        <v>2.3304465082491423E-3</v>
      </c>
      <c r="F5" s="432" t="s">
        <v>204</v>
      </c>
      <c r="G5" s="419">
        <f>SUM(G6:G11)</f>
        <v>0.54153528836978326</v>
      </c>
      <c r="H5" s="419">
        <f>SUM(H6:H11)</f>
        <v>0.11224713082701143</v>
      </c>
      <c r="I5" s="434" t="s">
        <v>204</v>
      </c>
      <c r="J5" s="434" t="s">
        <v>204</v>
      </c>
      <c r="K5" s="434" t="s">
        <v>204</v>
      </c>
      <c r="L5" s="434" t="s">
        <v>204</v>
      </c>
      <c r="M5" s="419">
        <f>SUM(M6:M11)</f>
        <v>2.9567669516577889E-2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5.3095976723116163E-5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4.7302214424162002E-5</v>
      </c>
      <c r="E6" s="873">
        <f>vkm_GW_PW*SUMIFS(TableVerdeelsleutelVkm[LPG],TableVerdeelsleutelVkm[Voertuigtype],"Lichte voertuigen")*SUMIFS(TableECFTransport[EnergieConsumptieFactor (PJ per km)],TableECFTransport[Index],CONCATENATE($A6,"_LPG_LPG"))</f>
        <v>1.702517063669946E-3</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0.33370253523096843</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8.1809972512348506E-2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1.8796358833925386E-2</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4.9749912966711512E-7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7.7851642604301038E-2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1.7746073057214955E-6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3.5151216197161204E-3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1.3050386107592564E-5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1.833145495302593E-5</v>
      </c>
      <c r="E8" s="422">
        <f>vkm_NGW_PW*SUMIFS(TableVerdeelsleutelVkm[LPG],TableVerdeelsleutelVkm[Voertuigtype],"Lichte voertuigen")*SUMIFS(TableECFTransport[EnergieConsumptieFactor (PJ per km)],TableECFTransport[Index],CONCATENATE($A8,"_LPG_LPG"))</f>
        <v>6.2792944457919632E-4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0.11561338071302361</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3.0435075956668733E-2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6.6074648239833663E-3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7.1478041968126951E-8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1.4367729821490193E-2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3.0775068847375796E-7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6.4872423895301259E-4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18.532038889539994</v>
      </c>
      <c r="C14" s="21"/>
      <c r="D14" s="21">
        <f t="shared" ref="D14:M14" si="0">((D5)*10^9/3600)+D12</f>
        <v>18.231574826996646</v>
      </c>
      <c r="E14" s="21">
        <f t="shared" si="0"/>
        <v>647.34625229142841</v>
      </c>
      <c r="F14" s="21"/>
      <c r="G14" s="21">
        <f t="shared" si="0"/>
        <v>150426.46899160647</v>
      </c>
      <c r="H14" s="21">
        <f t="shared" si="0"/>
        <v>31179.758563058731</v>
      </c>
      <c r="I14" s="21"/>
      <c r="J14" s="21"/>
      <c r="K14" s="21"/>
      <c r="L14" s="21"/>
      <c r="M14" s="21">
        <f t="shared" si="0"/>
        <v>8213.2415323827463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0.20856292390178741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3.8650962166640945</v>
      </c>
      <c r="C18" s="23"/>
      <c r="D18" s="23">
        <f t="shared" ref="D18:M18" si="1">D14*D16</f>
        <v>3.6827781150533228</v>
      </c>
      <c r="E18" s="23">
        <f t="shared" si="1"/>
        <v>146.94759927015426</v>
      </c>
      <c r="F18" s="23"/>
      <c r="G18" s="23">
        <f t="shared" si="1"/>
        <v>40163.867220758926</v>
      </c>
      <c r="H18" s="23">
        <f t="shared" si="1"/>
        <v>7763.7598822016244</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4.8928083295819037E-5</v>
      </c>
      <c r="C50" s="316">
        <f t="shared" ref="C50:P50" si="2">SUM(C51:C52)</f>
        <v>0</v>
      </c>
      <c r="D50" s="316">
        <f t="shared" si="2"/>
        <v>0</v>
      </c>
      <c r="E50" s="316">
        <f t="shared" si="2"/>
        <v>0</v>
      </c>
      <c r="F50" s="316">
        <f t="shared" si="2"/>
        <v>0</v>
      </c>
      <c r="G50" s="316">
        <f t="shared" si="2"/>
        <v>9.5235743286192255E-3</v>
      </c>
      <c r="H50" s="316">
        <f t="shared" si="2"/>
        <v>0</v>
      </c>
      <c r="I50" s="316">
        <f t="shared" si="2"/>
        <v>0</v>
      </c>
      <c r="J50" s="316">
        <f t="shared" si="2"/>
        <v>0</v>
      </c>
      <c r="K50" s="316">
        <f t="shared" si="2"/>
        <v>0</v>
      </c>
      <c r="L50" s="316">
        <f t="shared" si="2"/>
        <v>0</v>
      </c>
      <c r="M50" s="316">
        <f t="shared" si="2"/>
        <v>4.2704507507846339E-4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4.8928083295819037E-5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9.5235743286192255E-3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4.2704507507846339E-4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13.591134248838621</v>
      </c>
      <c r="C54" s="21">
        <f t="shared" ref="C54:P54" si="3">(C50)*10^9/3600</f>
        <v>0</v>
      </c>
      <c r="D54" s="21">
        <f t="shared" si="3"/>
        <v>0</v>
      </c>
      <c r="E54" s="21">
        <f t="shared" si="3"/>
        <v>0</v>
      </c>
      <c r="F54" s="21">
        <f t="shared" si="3"/>
        <v>0</v>
      </c>
      <c r="G54" s="21">
        <f t="shared" si="3"/>
        <v>2645.4373135053402</v>
      </c>
      <c r="H54" s="21">
        <f t="shared" si="3"/>
        <v>0</v>
      </c>
      <c r="I54" s="21">
        <f t="shared" si="3"/>
        <v>0</v>
      </c>
      <c r="J54" s="21">
        <f t="shared" si="3"/>
        <v>0</v>
      </c>
      <c r="K54" s="21">
        <f t="shared" si="3"/>
        <v>0</v>
      </c>
      <c r="L54" s="21">
        <f t="shared" si="3"/>
        <v>0</v>
      </c>
      <c r="M54" s="21">
        <f t="shared" si="3"/>
        <v>118.62363196623984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0.20856292390178741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2.8346066980795057</v>
      </c>
      <c r="C58" s="23">
        <f t="shared" ref="C58:P58" ca="1" si="4">C54*C56</f>
        <v>0</v>
      </c>
      <c r="D58" s="23">
        <f t="shared" si="4"/>
        <v>0</v>
      </c>
      <c r="E58" s="23">
        <f t="shared" si="4"/>
        <v>0</v>
      </c>
      <c r="F58" s="23">
        <f t="shared" si="4"/>
        <v>0</v>
      </c>
      <c r="G58" s="23">
        <f t="shared" si="4"/>
        <v>706.33176270592583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10866.360975346513</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10866.360975346513</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2021-11-11T13:18:56Z</dcterms:modified>
</cp:coreProperties>
</file>