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BF8E33C-68DE-435E-B3DA-4988DB8662A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V45" i="18"/>
  <c r="U45" i="18"/>
  <c r="T45" i="18"/>
  <c r="I9" i="18" s="1"/>
  <c r="S45" i="18"/>
  <c r="E9" i="18" s="1"/>
  <c r="R45" i="18"/>
  <c r="Q45" i="18"/>
  <c r="P45" i="18"/>
  <c r="C9" i="18" s="1"/>
  <c r="O45" i="18"/>
  <c r="N45" i="18"/>
  <c r="B9" i="18" s="1"/>
  <c r="M45"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B8" i="18" s="1"/>
  <c r="M38" i="18"/>
  <c r="G22" i="18"/>
  <c r="F22" i="18"/>
  <c r="E22" i="18"/>
  <c r="D22" i="18"/>
  <c r="C22" i="18"/>
  <c r="L20" i="18"/>
  <c r="D20" i="18"/>
  <c r="G12" i="18"/>
  <c r="F12" i="18"/>
  <c r="E12" i="18"/>
  <c r="D12" i="18"/>
  <c r="C12" i="18"/>
  <c r="L10" i="18"/>
  <c r="K10" i="18"/>
  <c r="G10" i="18"/>
  <c r="D10" i="18"/>
  <c r="B6" i="18"/>
  <c r="B5" i="18"/>
  <c r="B4" i="18"/>
  <c r="J9" i="18" l="1"/>
  <c r="B54" i="18"/>
  <c r="G58" i="18" s="1"/>
  <c r="I17" i="18" s="1"/>
  <c r="I20" i="18" s="1"/>
  <c r="B17" i="18"/>
  <c r="B20" i="18" s="1"/>
  <c r="I58" i="18"/>
  <c r="H17" i="18" s="1"/>
  <c r="F58" i="18"/>
  <c r="C58" i="18"/>
  <c r="B58" i="18"/>
  <c r="C17" i="18" s="1"/>
  <c r="C20" i="18" s="1"/>
  <c r="C54" i="18"/>
  <c r="O18" i="18"/>
  <c r="H20" i="18"/>
  <c r="G20" i="18"/>
  <c r="K20" i="18"/>
  <c r="B10" i="18"/>
  <c r="O19" i="18"/>
  <c r="O9" i="18"/>
  <c r="D58" i="18"/>
  <c r="H58" i="18"/>
  <c r="E57" i="18"/>
  <c r="E8" i="18" s="1"/>
  <c r="E10" i="18" s="1"/>
  <c r="E58" i="18"/>
  <c r="E17" i="18" s="1"/>
  <c r="E20" i="18" s="1"/>
  <c r="N6" i="17"/>
  <c r="I57" i="18" l="1"/>
  <c r="H8" i="18" s="1"/>
  <c r="H10" i="18" s="1"/>
  <c r="G57" i="18"/>
  <c r="F57" i="18"/>
  <c r="D57" i="18"/>
  <c r="C57" i="18"/>
  <c r="B57" i="18"/>
  <c r="C8" i="18" s="1"/>
  <c r="C10" i="18" s="1"/>
  <c r="H57"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<sst xmlns="http://schemas.openxmlformats.org/spreadsheetml/2006/main" count="2561" uniqueCount="930">
  <si>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</si>
  <si>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</si>
  <si>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</si>
  <si>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</si>
  <si>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</si>
  <si>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</si>
  <si>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</si>
  <si>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</si>
  <si>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</si>
  <si>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</si>
  <si>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</si>
  <si>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</si>
  <si>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</si>
  <si>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</si>
  <si>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</si>
  <si>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</si>
  <si>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</si>
  <si>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</si>
  <si>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</si>
  <si>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</si>
  <si>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</si>
  <si>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</si>
  <si>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</si>
  <si>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</si>
  <si>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</si>
  <si>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</si>
  <si>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</si>
  <si>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</si>
  <si>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</si>
  <si>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</si>
  <si>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</si>
  <si>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</si>
  <si>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</si>
  <si>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</si>
  <si>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</si>
  <si>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</si>
  <si>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</si>
  <si>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</si>
  <si>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</si>
  <si>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</si>
  <si>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</si>
  <si>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</si>
  <si>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</si>
  <si>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</si>
  <si>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</si>
  <si>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</si>
  <si>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</si>
  <si>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</si>
  <si>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</si>
  <si>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</si>
  <si>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</si>
  <si>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</si>
  <si>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</si>
  <si>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</si>
  <si>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</si>
  <si>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</si>
  <si>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</si>
  <si>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</si>
  <si>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</si>
  <si>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</si>
  <si>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</si>
  <si>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</si>
  <si>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</si>
  <si>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</si>
  <si>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</si>
  <si>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</si>
  <si>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</si>
  <si>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</si>
  <si>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</si>
  <si>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</si>
  <si>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</si>
  <si>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</si>
  <si>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</si>
  <si>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</si>
  <si>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</si>
  <si>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</si>
  <si>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</si>
  <si>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</si>
  <si>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</si>
  <si>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</si>
  <si>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</si>
  <si>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</si>
  <si>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</si>
  <si>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</si>
  <si>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</si>
  <si>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</si>
  <si>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</si>
  <si>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</si>
  <si>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</si>
  <si>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</si>
  <si>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</si>
  <si>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</si>
  <si>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</si>
  <si>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</si>
  <si>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</si>
  <si>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</si>
  <si>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</si>
  <si>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</si>
  <si>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</si>
  <si>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</si>
  <si>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</si>
  <si>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</si>
  <si>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</si>
  <si>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</si>
  <si>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</si>
  <si>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</si>
  <si>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</si>
  <si>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</si>
  <si>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</si>
  <si>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</si>
  <si>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</si>
  <si>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</si>
  <si>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</si>
  <si>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</si>
  <si>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</si>
  <si>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</si>
  <si>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</si>
  <si>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</si>
  <si>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</si>
  <si>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</si>
  <si>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</si>
  <si>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</si>
  <si>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</si>
  <si>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</si>
  <si>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</si>
  <si>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</si>
  <si>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</si>
  <si>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</si>
  <si>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</si>
  <si>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</si>
  <si>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</si>
  <si>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</si>
  <si>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</si>
  <si>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</si>
  <si>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</si>
  <si>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</si>
  <si>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</si>
  <si>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</si>
  <si>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</si>
  <si>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</si>
  <si>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</si>
  <si>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</si>
  <si>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</si>
  <si>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</si>
  <si>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</si>
  <si>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</si>
  <si>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</si>
  <si>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</si>
  <si>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</si>
  <si>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</si>
  <si>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</si>
  <si>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</si>
  <si>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</si>
  <si>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</si>
  <si>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</si>
  <si>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</si>
  <si>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</si>
  <si>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</si>
  <si>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</si>
  <si>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</si>
  <si>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</si>
  <si>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</si>
  <si>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</si>
  <si>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</si>
  <si>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</si>
  <si>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</si>
  <si>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</si>
  <si>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</si>
  <si>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</si>
  <si>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</si>
  <si>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</si>
  <si>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</si>
  <si>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</si>
  <si>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</si>
  <si>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</si>
  <si>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</si>
  <si>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</si>
  <si>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</si>
  <si>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</si>
  <si>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</si>
  <si>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</si>
  <si>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</si>
  <si>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</si>
  <si>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</si>
  <si>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</si>
  <si>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</si>
  <si>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</si>
  <si>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</si>
  <si>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</si>
  <si>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</si>
  <si>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</si>
  <si>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</si>
  <si>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</si>
  <si>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</si>
  <si>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</si>
  <si>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</si>
  <si>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</si>
  <si>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</si>
  <si>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</si>
  <si>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</si>
  <si>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</si>
  <si>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</si>
  <si>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</si>
  <si>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</si>
  <si>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</si>
  <si>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</si>
  <si>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</si>
  <si>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</si>
  <si>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</si>
  <si>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</si>
  <si>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</si>
  <si>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</si>
  <si>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</si>
  <si>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</si>
  <si>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</si>
  <si>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</si>
  <si>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</si>
  <si>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</si>
  <si>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</si>
  <si>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</si>
  <si>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</si>
  <si>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</si>
  <si>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</si>
  <si>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</si>
  <si>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</si>
  <si>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</si>
  <si>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</si>
  <si>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</si>
  <si>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</si>
  <si>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</si>
  <si>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</si>
  <si>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</si>
  <si>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</si>
  <si>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</si>
  <si>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</si>
  <si>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</si>
  <si>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</si>
  <si>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</si>
  <si>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</si>
  <si>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</si>
  <si>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</si>
  <si>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</si>
  <si>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</si>
  <si>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</si>
  <si>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</si>
  <si>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</si>
  <si>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</si>
  <si>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</si>
  <si>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</si>
  <si>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</si>
  <si>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</si>
  <si>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</si>
  <si>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</si>
  <si>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</si>
  <si>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</si>
  <si>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</si>
  <si>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</si>
  <si>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</si>
  <si>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</si>
  <si>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</si>
  <si>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</si>
  <si>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</si>
  <si>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</si>
  <si>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</si>
  <si>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</si>
  <si>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</si>
  <si>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</si>
  <si>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</si>
  <si>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</si>
  <si>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</si>
  <si>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</si>
  <si>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</si>
  <si>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</si>
  <si>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</si>
  <si>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</si>
  <si>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</si>
  <si>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</si>
  <si>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</si>
  <si>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</si>
  <si>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</si>
  <si>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</si>
  <si>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</si>
  <si>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</si>
  <si>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</si>
  <si>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</si>
  <si>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</si>
  <si>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</si>
  <si>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</si>
  <si>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</si>
  <si>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</si>
  <si>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</si>
  <si>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</si>
  <si>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</si>
  <si>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</si>
  <si>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</si>
  <si>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</si>
  <si>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</si>
  <si>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</si>
  <si>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</si>
  <si>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</si>
  <si>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</si>
  <si>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</si>
  <si>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</si>
  <si>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</si>
  <si>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</si>
  <si>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</si>
  <si>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</si>
  <si>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</si>
  <si>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</si>
  <si>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</si>
  <si>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</si>
  <si>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</si>
  <si>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</si>
  <si>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</si>
  <si>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</si>
  <si>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</si>
  <si>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</si>
  <si>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</si>
  <si>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</si>
  <si>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</si>
  <si>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</si>
  <si>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</si>
  <si>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</si>
  <si>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</si>
  <si>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</si>
  <si>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</si>
  <si>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</si>
  <si>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</si>
  <si>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</si>
  <si>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</si>
  <si>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</si>
  <si>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</si>
  <si>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</si>
  <si>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</si>
  <si>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</si>
  <si>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</si>
  <si>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</si>
  <si>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</si>
  <si>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</si>
  <si>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</si>
  <si>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</si>
  <si>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</si>
  <si>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</si>
  <si>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</si>
  <si>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</si>
  <si>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</si>
  <si>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</si>
  <si>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</si>
  <si>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</si>
  <si>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</si>
  <si>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</si>
  <si>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</si>
  <si>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</si>
  <si>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</si>
  <si>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</si>
  <si>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</si>
  <si>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</si>
  <si>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</si>
  <si>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</si>
  <si>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</si>
  <si>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</si>
  <si>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</si>
  <si>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</si>
  <si>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</si>
  <si>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</si>
  <si>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</si>
  <si>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</si>
  <si>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</si>
  <si>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</si>
  <si>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</si>
  <si>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</si>
  <si>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</si>
  <si>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</si>
  <si>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</si>
  <si>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</si>
  <si>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</si>
  <si>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</si>
  <si>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</si>
  <si>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</si>
  <si>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</si>
  <si>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</si>
  <si>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</si>
  <si>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</si>
  <si>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</si>
  <si>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</si>
  <si>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</si>
  <si>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</si>
  <si>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</si>
  <si>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</si>
  <si>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</si>
  <si>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</si>
  <si>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</si>
  <si>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</si>
  <si>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</si>
  <si>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</si>
  <si>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</si>
  <si>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</si>
  <si>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</si>
  <si>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</si>
  <si>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</si>
  <si>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</si>
  <si>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</si>
  <si>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</si>
  <si>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</si>
  <si>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</si>
  <si>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</si>
  <si>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</si>
  <si>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</si>
  <si>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</si>
  <si>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</si>
  <si>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</si>
  <si>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</si>
  <si>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</si>
  <si>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</si>
  <si>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</si>
  <si>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</si>
  <si>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</si>
  <si>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</si>
  <si>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</si>
  <si>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</si>
  <si>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</si>
  <si>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</si>
  <si>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</si>
  <si>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</si>
  <si>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</si>
  <si>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</si>
  <si>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</si>
  <si>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</si>
  <si>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</si>
  <si>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</si>
  <si>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</si>
  <si>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</si>
  <si>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</si>
  <si>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</si>
  <si>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</si>
  <si>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</si>
  <si>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</si>
  <si>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</si>
  <si>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</si>
  <si>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</si>
  <si>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</si>
  <si>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</si>
  <si>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</si>
  <si>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</si>
  <si>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</si>
  <si>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</si>
  <si>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</si>
  <si>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</si>
  <si>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</si>
  <si>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</si>
  <si>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</si>
  <si>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</si>
  <si>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</si>
  <si>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</si>
  <si>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</si>
  <si>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</si>
  <si>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</si>
  <si>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</si>
  <si>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</si>
  <si>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</si>
  <si>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</si>
  <si>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</si>
  <si>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</si>
  <si>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</si>
  <si>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</si>
  <si>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</si>
  <si>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</si>
  <si>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</si>
  <si>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</si>
  <si>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</si>
  <si>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</si>
  <si>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</si>
  <si>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</si>
  <si>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</si>
  <si>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</si>
  <si>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</si>
  <si>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</si>
  <si>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</si>
  <si>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</si>
  <si>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</si>
  <si>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</si>
  <si>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</si>
  <si>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</si>
  <si>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</si>
  <si>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</si>
  <si>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</si>
  <si>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</si>
  <si>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</si>
  <si>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</si>
  <si>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</si>
  <si>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</si>
  <si>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</si>
  <si>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</si>
  <si>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</si>
  <si>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</si>
  <si>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</si>
  <si>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</si>
  <si>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</si>
  <si>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</si>
  <si>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</si>
  <si>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</si>
  <si>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</si>
  <si>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</si>
  <si>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</si>
  <si>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</si>
  <si>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</si>
  <si>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</si>
  <si>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</si>
  <si>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</si>
  <si>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</si>
  <si>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</si>
  <si>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</si>
  <si>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</si>
  <si>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</si>
  <si>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</si>
  <si>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</si>
  <si>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</si>
  <si>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</si>
  <si>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</si>
  <si>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</si>
  <si>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</si>
  <si>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</si>
  <si>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</si>
  <si>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</si>
  <si>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</si>
  <si>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</si>
  <si>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</si>
  <si>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</si>
  <si>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</si>
  <si>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</si>
  <si>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</si>
  <si>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</si>
  <si>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</si>
  <si>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</si>
  <si>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</si>
  <si>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</si>
  <si>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</si>
  <si>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</si>
  <si>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</si>
  <si>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</si>
  <si>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</si>
  <si>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</si>
  <si>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</si>
  <si>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</si>
  <si>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</si>
  <si>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</si>
  <si>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</si>
  <si>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</si>
  <si>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</si>
  <si>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</si>
  <si>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</si>
  <si>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</si>
  <si>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</si>
  <si>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</si>
  <si>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</si>
  <si>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</si>
  <si>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</si>
  <si>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</si>
  <si>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</si>
  <si>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</si>
  <si>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</si>
  <si>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</si>
  <si>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</si>
  <si>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</si>
  <si>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</si>
  <si>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</si>
  <si>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</si>
  <si>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</si>
  <si>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</si>
  <si>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</si>
  <si>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</si>
  <si>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</si>
  <si>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</si>
  <si>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</si>
  <si>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</si>
  <si>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</si>
  <si>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</si>
  <si>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</si>
  <si>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</si>
  <si>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</si>
  <si>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</si>
  <si>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</si>
  <si>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</si>
  <si>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</si>
  <si>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</si>
  <si>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</si>
  <si>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</si>
  <si>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</si>
  <si>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</si>
  <si>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</si>
  <si>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</si>
  <si>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</si>
  <si>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</si>
  <si>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</si>
  <si>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</si>
  <si>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</si>
  <si>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</si>
  <si>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</si>
  <si>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</si>
  <si>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</si>
  <si>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</si>
  <si>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</si>
  <si>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</si>
  <si>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</si>
  <si>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</si>
  <si>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</si>
  <si>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</si>
  <si>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</si>
  <si>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</si>
  <si>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</si>
  <si>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</si>
  <si>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</si>
  <si>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</si>
  <si>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</si>
  <si>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</si>
  <si>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</si>
  <si>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</si>
  <si>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</si>
  <si>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</si>
  <si>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</si>
  <si>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</si>
  <si>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</si>
  <si>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</si>
  <si>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</si>
  <si>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</si>
  <si>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</si>
  <si>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</si>
  <si>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</si>
  <si>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</si>
  <si>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</si>
  <si>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</si>
  <si>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</si>
  <si>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</si>
  <si>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</si>
  <si>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</si>
  <si>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</si>
  <si>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</si>
  <si>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</si>
  <si>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</si>
  <si>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</si>
  <si>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</si>
  <si>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</si>
  <si>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</si>
  <si>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</si>
  <si>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</si>
  <si>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</si>
  <si>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</si>
  <si>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</si>
  <si>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</si>
  <si>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</si>
  <si>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</si>
  <si>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</si>
  <si>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</si>
  <si>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</si>
  <si>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</si>
  <si>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</si>
  <si>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</si>
  <si>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</si>
  <si>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</si>
  <si>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</si>
  <si>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</si>
  <si>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</si>
  <si>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</si>
  <si>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</si>
  <si>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</si>
  <si>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</si>
  <si>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</si>
  <si>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</si>
  <si>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</si>
  <si>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</si>
  <si>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</si>
  <si>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</si>
  <si>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</si>
  <si>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</si>
  <si>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</si>
  <si>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</si>
  <si>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</si>
  <si>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</si>
  <si>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</si>
  <si>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</si>
  <si>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</si>
  <si>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</si>
  <si>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</si>
  <si>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</si>
  <si>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</si>
  <si>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</si>
  <si>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</si>
  <si>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</si>
  <si>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</si>
  <si>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</si>
  <si>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</si>
  <si>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</si>
  <si>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</si>
  <si>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</si>
  <si>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</si>
  <si>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</si>
  <si>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</si>
  <si>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</si>
  <si>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</si>
  <si>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</si>
  <si>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</si>
  <si>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</si>
  <si>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</si>
  <si>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</si>
  <si>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</si>
  <si>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</si>
  <si>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</si>
  <si>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</si>
  <si>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</si>
  <si>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</si>
  <si>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</si>
  <si>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</si>
  <si>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</si>
  <si>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</si>
  <si>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</si>
  <si>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</si>
  <si>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</si>
  <si>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</si>
  <si>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</si>
  <si>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</si>
  <si>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</si>
  <si>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</si>
  <si>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</si>
  <si>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</si>
  <si>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</si>
  <si>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</si>
  <si>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</si>
  <si>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</si>
  <si>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</si>
  <si>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</si>
  <si>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</si>
  <si>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</si>
  <si>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</si>
  <si>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</si>
  <si>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</si>
  <si>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</si>
  <si>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</si>
  <si>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</si>
  <si>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</si>
  <si>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</si>
  <si>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</si>
  <si>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</si>
  <si>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</si>
  <si>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</si>
  <si>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</si>
  <si>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</si>
  <si>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</si>
  <si>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</si>
  <si>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</si>
  <si>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</si>
  <si>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</si>
  <si>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</si>
  <si>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</si>
  <si>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</si>
  <si>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</si>
  <si>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</si>
  <si>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</si>
  <si>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</si>
  <si>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</si>
  <si>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</si>
  <si>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</si>
  <si>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</si>
  <si>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</si>
  <si>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</si>
  <si>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</si>
  <si>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</si>
  <si>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</si>
  <si>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</si>
  <si>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</si>
  <si>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</si>
  <si>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</si>
  <si>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</si>
  <si>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</si>
  <si>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</si>
  <si>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</si>
  <si>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</si>
  <si>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</si>
  <si>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</si>
  <si>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</si>
  <si>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</si>
  <si>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</si>
  <si>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</si>
  <si>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</si>
  <si>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</si>
  <si>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</si>
  <si>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</si>
  <si>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</si>
  <si>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</si>
  <si>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</si>
  <si>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</si>
  <si>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</si>
  <si>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</si>
  <si>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</si>
  <si>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</si>
  <si>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</si>
  <si>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</si>
  <si>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</si>
  <si>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</si>
  <si>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</si>
  <si>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</si>
  <si>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</si>
  <si>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</si>
  <si>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</si>
  <si>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</si>
  <si>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</si>
  <si>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</si>
  <si>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</si>
  <si>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</si>
  <si>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</si>
  <si>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</si>
  <si>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</si>
  <si>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</si>
  <si>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</si>
  <si>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</si>
  <si>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</si>
  <si>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</si>
  <si>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</si>
  <si>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</si>
  <si>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</si>
  <si>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</si>
  <si>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</si>
  <si>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</si>
  <si>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</si>
  <si>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</si>
  <si>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</si>
  <si>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</si>
  <si>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</si>
  <si>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</si>
  <si>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</si>
  <si>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</si>
  <si>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</si>
  <si>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</si>
  <si>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</si>
  <si>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</si>
  <si>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</si>
  <si>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</si>
  <si>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</si>
  <si>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</si>
  <si>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</si>
  <si>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</si>
  <si>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</si>
  <si>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</si>
  <si>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</si>
  <si>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</si>
  <si>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</si>
  <si>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</si>
  <si>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</si>
  <si>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</si>
  <si>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</si>
  <si>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</si>
  <si>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</si>
  <si>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</si>
  <si>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</si>
  <si>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</si>
  <si>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</si>
  <si>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</si>
  <si>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</si>
  <si>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</si>
  <si>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</si>
  <si>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</si>
  <si>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</si>
  <si>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</si>
  <si>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</si>
  <si>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</si>
  <si>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</si>
  <si>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</si>
  <si>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</si>
  <si>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</si>
  <si>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</si>
  <si>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</si>
  <si>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</si>
  <si>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</si>
  <si>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</si>
  <si>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</si>
  <si>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</si>
  <si>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</si>
  <si>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</si>
  <si>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</si>
  <si>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</si>
  <si>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</si>
  <si>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</si>
  <si>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</si>
  <si>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</si>
  <si>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</si>
  <si>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</si>
  <si>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</si>
  <si>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</si>
  <si>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</si>
  <si>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</si>
  <si>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</si>
  <si>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</si>
  <si>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</si>
  <si>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</si>
  <si>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</si>
  <si>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</si>
  <si>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</si>
  <si>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</si>
  <si>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</si>
  <si>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</si>
  <si>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</si>
  <si>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</si>
  <si>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</si>
  <si>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</si>
  <si>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</si>
  <si>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</si>
  <si>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</si>
  <si>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</si>
  <si>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</si>
  <si>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</si>
  <si>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</si>
  <si>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</si>
  <si>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</si>
  <si>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</si>
  <si>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</si>
  <si>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</si>
  <si>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</si>
  <si>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</si>
  <si>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</si>
  <si>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</si>
  <si>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12009</t>
  </si>
  <si>
    <t>DUFFEL</t>
  </si>
  <si>
    <t>Cultuurgrond (ha)</t>
  </si>
  <si>
    <t>Paarden&amp;pony's 200 - 600 kg</t>
  </si>
  <si>
    <t>Paarden&amp;pony's &lt; 200 kg</t>
  </si>
  <si>
    <t>Fluvius</t>
  </si>
  <si>
    <t>referentietaak LNE (2017); Jaarverslag De Lijn</t>
  </si>
  <si>
    <t>interne verbrandingsmotor</t>
  </si>
  <si>
    <t>WKK interne verbrandinsgmotor (gas)</t>
  </si>
  <si>
    <t>IMEA</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</si>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</sst>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95465C8-0EB1-495F-8E2A-77FDD5B9ED8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164212.54173136526</c:v>
                </c:pt>
                <c:pt idx="1">
                  <c:v>98473.183889850916</c:v>
                </c:pt>
                <c:pt idx="2">
                  <c:v>1272.7650000000001</c:v>
                </c:pt>
                <c:pt idx="3">
                  <c:v>234326.23723204402</c:v>
                </c:pt>
                <c:pt idx="4">
                  <c:v>468326.74663760368</c:v>
                </c:pt>
                <c:pt idx="5">
                  <c:v>44556.714891924246</c:v>
                </c:pt>
                <c:pt idx="6">
                  <c:v>1402.9206184340201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164212.54173136526</c:v>
                </c:pt>
                <c:pt idx="1">
                  <c:v>98473.183889850916</c:v>
                </c:pt>
                <c:pt idx="2">
                  <c:v>1272.7650000000001</c:v>
                </c:pt>
                <c:pt idx="3">
                  <c:v>234326.23723204402</c:v>
                </c:pt>
                <c:pt idx="4">
                  <c:v>468326.74663760368</c:v>
                </c:pt>
                <c:pt idx="5">
                  <c:v>44556.714891924246</c:v>
                </c:pt>
                <c:pt idx="6">
                  <c:v>1402.9206184340201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33566.616796541421</c:v>
                </c:pt>
                <c:pt idx="2">
                  <c:v>18504.720370344428</c:v>
                </c:pt>
                <c:pt idx="3">
                  <c:v>270.91673618711513</c:v>
                </c:pt>
                <c:pt idx="4">
                  <c:v>51980.754418019969</c:v>
                </c:pt>
                <c:pt idx="5">
                  <c:v>93568.491658975996</c:v>
                </c:pt>
                <c:pt idx="6">
                  <c:v>11263.951691614559</c:v>
                </c:pt>
                <c:pt idx="7">
                  <c:v>358.21116766773645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33566.616796541421</c:v>
                </c:pt>
                <c:pt idx="2">
                  <c:v>18504.720370344428</c:v>
                </c:pt>
                <c:pt idx="3">
                  <c:v>270.91673618711513</c:v>
                </c:pt>
                <c:pt idx="4">
                  <c:v>51980.754418019969</c:v>
                </c:pt>
                <c:pt idx="5">
                  <c:v>93568.491658975996</c:v>
                </c:pt>
                <c:pt idx="6">
                  <c:v>11263.951691614559</c:v>
                </c:pt>
                <c:pt idx="7">
                  <c:v>358.21116766773645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12009</v>
      </c>
      <c r="B6" s="385"/>
      <c r="C6" s="386"/>
    </row>
    <row r="7" spans="1:7" s="383" customFormat="1" ht="15.75" customHeight="1">
      <c r="A7" s="387" t="str">
        <f>txtMunicipality</f>
        <v>DUFFEL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36222.600344734499</v>
      </c>
      <c r="D10" s="676">
        <f ca="1">tertiair!C16</f>
        <v>0</v>
      </c>
      <c r="E10" s="676">
        <f ca="1">tertiair!D16</f>
        <v>43625.982303281584</v>
      </c>
      <c r="F10" s="676">
        <f>tertiair!E16</f>
        <v>254.08447746297543</v>
      </c>
      <c r="G10" s="676">
        <f ca="1">tertiair!F16</f>
        <v>8222.0346536772322</v>
      </c>
      <c r="H10" s="676">
        <f>tertiair!G16</f>
        <v>0</v>
      </c>
      <c r="I10" s="676">
        <f>tertiair!H16</f>
        <v>0</v>
      </c>
      <c r="J10" s="676">
        <f>tertiair!I16</f>
        <v>0</v>
      </c>
      <c r="K10" s="676">
        <f>tertiair!J16</f>
        <v>0</v>
      </c>
      <c r="L10" s="676">
        <f>tertiair!K16</f>
        <v>0</v>
      </c>
      <c r="M10" s="676">
        <f ca="1">tertiair!L16</f>
        <v>0</v>
      </c>
      <c r="N10" s="676">
        <f>tertiair!M16</f>
        <v>0</v>
      </c>
      <c r="O10" s="676">
        <f ca="1">tertiair!N16</f>
        <v>11421.247110694621</v>
      </c>
      <c r="P10" s="676">
        <f>tertiair!O16</f>
        <v>0</v>
      </c>
      <c r="Q10" s="677">
        <f>tertiair!P16</f>
        <v>0</v>
      </c>
      <c r="R10" s="679">
        <f ca="1">SUM(C10:Q10)</f>
        <v>99745.948889850901</v>
      </c>
      <c r="S10" s="67"/>
    </row>
    <row r="11" spans="1:19" s="444" customFormat="1">
      <c r="A11" s="791" t="s">
        <v>214</v>
      </c>
      <c r="B11" s="796"/>
      <c r="C11" s="676">
        <f>huishoudens!B8</f>
        <v>29514.453771159853</v>
      </c>
      <c r="D11" s="676">
        <f>huishoudens!C8</f>
        <v>0</v>
      </c>
      <c r="E11" s="676">
        <f>huishoudens!D8</f>
        <v>87850.807850066427</v>
      </c>
      <c r="F11" s="676">
        <f>huishoudens!E8</f>
        <v>1107.2121385699757</v>
      </c>
      <c r="G11" s="676">
        <f>huishoudens!F8</f>
        <v>33931.03942831466</v>
      </c>
      <c r="H11" s="676">
        <f>huishoudens!G8</f>
        <v>0</v>
      </c>
      <c r="I11" s="676">
        <f>huishoudens!H8</f>
        <v>0</v>
      </c>
      <c r="J11" s="676">
        <f>huishoudens!I8</f>
        <v>0</v>
      </c>
      <c r="K11" s="676">
        <f>huishoudens!J8</f>
        <v>642.58632415564261</v>
      </c>
      <c r="L11" s="676">
        <f>huishoudens!K8</f>
        <v>0</v>
      </c>
      <c r="M11" s="676">
        <f>huishoudens!L8</f>
        <v>0</v>
      </c>
      <c r="N11" s="676">
        <f>huishoudens!M8</f>
        <v>0</v>
      </c>
      <c r="O11" s="676">
        <f>huishoudens!N8</f>
        <v>10611.578885765372</v>
      </c>
      <c r="P11" s="676">
        <f>huishoudens!O8</f>
        <v>173.53000000000003</v>
      </c>
      <c r="Q11" s="677">
        <f>huishoudens!P8</f>
        <v>381.33333333333337</v>
      </c>
      <c r="R11" s="679">
        <f>SUM(C11:Q11)</f>
        <v>164212.54173136526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98934.672387810642</v>
      </c>
      <c r="D13" s="676">
        <f>industrie!C18</f>
        <v>10028.571428571429</v>
      </c>
      <c r="E13" s="676">
        <f>industrie!D18</f>
        <v>332375.27599799709</v>
      </c>
      <c r="F13" s="676">
        <f>industrie!E18</f>
        <v>1834.6372375474823</v>
      </c>
      <c r="G13" s="676">
        <f>industrie!F18</f>
        <v>10134.030997614165</v>
      </c>
      <c r="H13" s="676">
        <f>industrie!G18</f>
        <v>0</v>
      </c>
      <c r="I13" s="676">
        <f>industrie!H18</f>
        <v>0</v>
      </c>
      <c r="J13" s="676">
        <f>industrie!I18</f>
        <v>0</v>
      </c>
      <c r="K13" s="676">
        <f>industrie!J18</f>
        <v>34.590851938385597</v>
      </c>
      <c r="L13" s="676">
        <f>industrie!K18</f>
        <v>0</v>
      </c>
      <c r="M13" s="676">
        <f>industrie!L18</f>
        <v>0</v>
      </c>
      <c r="N13" s="676">
        <f>industrie!M18</f>
        <v>0</v>
      </c>
      <c r="O13" s="676">
        <f>industrie!N18</f>
        <v>14984.967736124448</v>
      </c>
      <c r="P13" s="676">
        <f>industrie!O18</f>
        <v>0</v>
      </c>
      <c r="Q13" s="677">
        <f>industrie!P18</f>
        <v>0</v>
      </c>
      <c r="R13" s="679">
        <f>SUM(C13:Q13)</f>
        <v>468326.74663760368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164671.72650370499</v>
      </c>
      <c r="D16" s="711">
        <f t="shared" ref="D16:R16" ca="1" si="0">SUM(D9:D15)</f>
        <v>10028.571428571429</v>
      </c>
      <c r="E16" s="711">
        <f t="shared" ca="1" si="0"/>
        <v>463852.06615134509</v>
      </c>
      <c r="F16" s="711">
        <f t="shared" si="0"/>
        <v>3195.9338535804336</v>
      </c>
      <c r="G16" s="711">
        <f t="shared" ca="1" si="0"/>
        <v>52287.105079606059</v>
      </c>
      <c r="H16" s="711">
        <f t="shared" si="0"/>
        <v>0</v>
      </c>
      <c r="I16" s="711">
        <f t="shared" si="0"/>
        <v>0</v>
      </c>
      <c r="J16" s="711">
        <f t="shared" si="0"/>
        <v>0</v>
      </c>
      <c r="K16" s="711">
        <f t="shared" si="0"/>
        <v>677.17717609402825</v>
      </c>
      <c r="L16" s="711">
        <f t="shared" si="0"/>
        <v>0</v>
      </c>
      <c r="M16" s="711">
        <f t="shared" ca="1" si="0"/>
        <v>0</v>
      </c>
      <c r="N16" s="711">
        <f t="shared" si="0"/>
        <v>0</v>
      </c>
      <c r="O16" s="711">
        <f t="shared" ca="1" si="0"/>
        <v>37017.79373258444</v>
      </c>
      <c r="P16" s="711">
        <f t="shared" si="0"/>
        <v>173.53000000000003</v>
      </c>
      <c r="Q16" s="711">
        <f t="shared" si="0"/>
        <v>381.33333333333337</v>
      </c>
      <c r="R16" s="711">
        <f t="shared" ca="1" si="0"/>
        <v>732285.23725881986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6.8645323166318457</v>
      </c>
      <c r="D19" s="676">
        <f>transport!C54</f>
        <v>0</v>
      </c>
      <c r="E19" s="676">
        <f>transport!D54</f>
        <v>0</v>
      </c>
      <c r="F19" s="676">
        <f>transport!E54</f>
        <v>0</v>
      </c>
      <c r="G19" s="676">
        <f>transport!F54</f>
        <v>0</v>
      </c>
      <c r="H19" s="676">
        <f>transport!G54</f>
        <v>1336.1423408596606</v>
      </c>
      <c r="I19" s="676">
        <f>transport!H54</f>
        <v>0</v>
      </c>
      <c r="J19" s="676">
        <f>transport!I54</f>
        <v>0</v>
      </c>
      <c r="K19" s="676">
        <f>transport!J54</f>
        <v>0</v>
      </c>
      <c r="L19" s="676">
        <f>transport!K54</f>
        <v>0</v>
      </c>
      <c r="M19" s="676">
        <f>transport!L54</f>
        <v>0</v>
      </c>
      <c r="N19" s="676">
        <f>transport!M54</f>
        <v>59.913745257727712</v>
      </c>
      <c r="O19" s="676">
        <f>transport!N54</f>
        <v>0</v>
      </c>
      <c r="P19" s="676">
        <f>transport!O54</f>
        <v>0</v>
      </c>
      <c r="Q19" s="677">
        <f>transport!P54</f>
        <v>0</v>
      </c>
      <c r="R19" s="679">
        <f>SUM(C19:Q19)</f>
        <v>1402.9206184340201</v>
      </c>
      <c r="S19" s="67"/>
    </row>
    <row r="20" spans="1:19" s="444" customFormat="1">
      <c r="A20" s="791" t="s">
        <v>296</v>
      </c>
      <c r="B20" s="796"/>
      <c r="C20" s="676">
        <f>transport!B14</f>
        <v>3.9629571918539632</v>
      </c>
      <c r="D20" s="676">
        <f>transport!C14</f>
        <v>0</v>
      </c>
      <c r="E20" s="676">
        <f>transport!D14</f>
        <v>3.6830570763397374</v>
      </c>
      <c r="F20" s="676">
        <f>transport!E14</f>
        <v>131.55250821840031</v>
      </c>
      <c r="G20" s="676">
        <f>transport!F14</f>
        <v>0</v>
      </c>
      <c r="H20" s="676">
        <f>transport!G14</f>
        <v>36166.095511971929</v>
      </c>
      <c r="I20" s="676">
        <f>transport!H14</f>
        <v>6329.9367489053884</v>
      </c>
      <c r="J20" s="676">
        <f>transport!I14</f>
        <v>0</v>
      </c>
      <c r="K20" s="676">
        <f>transport!J14</f>
        <v>0</v>
      </c>
      <c r="L20" s="676">
        <f>transport!K14</f>
        <v>0</v>
      </c>
      <c r="M20" s="676">
        <f>transport!L14</f>
        <v>0</v>
      </c>
      <c r="N20" s="676">
        <f>transport!M14</f>
        <v>1921.4841085603362</v>
      </c>
      <c r="O20" s="676">
        <f>transport!N14</f>
        <v>0</v>
      </c>
      <c r="P20" s="676">
        <f>transport!O14</f>
        <v>0</v>
      </c>
      <c r="Q20" s="677">
        <f>transport!P14</f>
        <v>0</v>
      </c>
      <c r="R20" s="679">
        <f>SUM(C20:Q20)</f>
        <v>44556.714891924246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10.827489508485808</v>
      </c>
      <c r="D22" s="794">
        <f t="shared" ref="D22:R22" si="1">SUM(D18:D21)</f>
        <v>0</v>
      </c>
      <c r="E22" s="794">
        <f t="shared" si="1"/>
        <v>3.6830570763397374</v>
      </c>
      <c r="F22" s="794">
        <f t="shared" si="1"/>
        <v>131.55250821840031</v>
      </c>
      <c r="G22" s="794">
        <f t="shared" si="1"/>
        <v>0</v>
      </c>
      <c r="H22" s="794">
        <f t="shared" si="1"/>
        <v>37502.237852831589</v>
      </c>
      <c r="I22" s="794">
        <f t="shared" si="1"/>
        <v>6329.9367489053884</v>
      </c>
      <c r="J22" s="794">
        <f t="shared" si="1"/>
        <v>0</v>
      </c>
      <c r="K22" s="794">
        <f t="shared" si="1"/>
        <v>0</v>
      </c>
      <c r="L22" s="794">
        <f t="shared" si="1"/>
        <v>0</v>
      </c>
      <c r="M22" s="794">
        <f t="shared" si="1"/>
        <v>0</v>
      </c>
      <c r="N22" s="794">
        <f t="shared" si="1"/>
        <v>1981.3978538180638</v>
      </c>
      <c r="O22" s="794">
        <f t="shared" si="1"/>
        <v>0</v>
      </c>
      <c r="P22" s="794">
        <f t="shared" si="1"/>
        <v>0</v>
      </c>
      <c r="Q22" s="794">
        <f t="shared" si="1"/>
        <v>0</v>
      </c>
      <c r="R22" s="794">
        <f t="shared" si="1"/>
        <v>45959.635510358268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9324.2724092925309</v>
      </c>
      <c r="D24" s="676">
        <f>+landbouw!C8</f>
        <v>107151.83035714284</v>
      </c>
      <c r="E24" s="676">
        <f>+landbouw!D8</f>
        <v>84159.296363504953</v>
      </c>
      <c r="F24" s="676">
        <f>+landbouw!E8</f>
        <v>117.49784446225718</v>
      </c>
      <c r="G24" s="676">
        <f>+landbouw!F8</f>
        <v>32171.075681871702</v>
      </c>
      <c r="H24" s="676">
        <f>+landbouw!G8</f>
        <v>0</v>
      </c>
      <c r="I24" s="676">
        <f>+landbouw!H8</f>
        <v>0</v>
      </c>
      <c r="J24" s="676">
        <f>+landbouw!I8</f>
        <v>0</v>
      </c>
      <c r="K24" s="676">
        <f>+landbouw!J8</f>
        <v>1402.2645757697446</v>
      </c>
      <c r="L24" s="676">
        <f>+landbouw!K8</f>
        <v>0</v>
      </c>
      <c r="M24" s="676">
        <f>+landbouw!L8</f>
        <v>0</v>
      </c>
      <c r="N24" s="676">
        <f>+landbouw!M8</f>
        <v>0</v>
      </c>
      <c r="O24" s="676">
        <f>+landbouw!N8</f>
        <v>0</v>
      </c>
      <c r="P24" s="676">
        <f>+landbouw!O8</f>
        <v>0</v>
      </c>
      <c r="Q24" s="677">
        <f>+landbouw!P8</f>
        <v>0</v>
      </c>
      <c r="R24" s="679">
        <f>SUM(C24:Q24)</f>
        <v>234326.23723204402</v>
      </c>
      <c r="S24" s="67"/>
    </row>
    <row r="25" spans="1:19" s="444" customFormat="1" ht="15" thickBot="1">
      <c r="A25" s="813" t="s">
        <v>833</v>
      </c>
      <c r="B25" s="977"/>
      <c r="C25" s="978">
        <f>IF(Onbekend_ele_kWh="---",0,Onbekend_ele_kWh)/1000+IF(REST_rest_ele_kWh="---",0,REST_rest_ele_kWh)/1000</f>
        <v>739.75861496566199</v>
      </c>
      <c r="D25" s="978"/>
      <c r="E25" s="978">
        <f>IF(onbekend_gas_kWh="---",0,onbekend_gas_kWh)/1000+IF(REST_rest_gas_kWh="---",0,REST_rest_gas_kWh)/1000</f>
        <v>2938.8950082140796</v>
      </c>
      <c r="F25" s="978"/>
      <c r="G25" s="978"/>
      <c r="H25" s="978"/>
      <c r="I25" s="978"/>
      <c r="J25" s="978"/>
      <c r="K25" s="978"/>
      <c r="L25" s="978"/>
      <c r="M25" s="978"/>
      <c r="N25" s="978"/>
      <c r="O25" s="978"/>
      <c r="P25" s="978"/>
      <c r="Q25" s="979"/>
      <c r="R25" s="679">
        <f>SUM(C25:Q25)</f>
        <v>3678.6536231797418</v>
      </c>
      <c r="S25" s="67"/>
    </row>
    <row r="26" spans="1:19" s="444" customFormat="1" ht="15.75" thickBot="1">
      <c r="A26" s="684" t="s">
        <v>834</v>
      </c>
      <c r="B26" s="799"/>
      <c r="C26" s="794">
        <f>SUM(C24:C25)</f>
        <v>10064.031024258193</v>
      </c>
      <c r="D26" s="794">
        <f t="shared" ref="D26:R26" si="2">SUM(D24:D25)</f>
        <v>107151.83035714284</v>
      </c>
      <c r="E26" s="794">
        <f t="shared" si="2"/>
        <v>87098.191371719033</v>
      </c>
      <c r="F26" s="794">
        <f t="shared" si="2"/>
        <v>117.49784446225718</v>
      </c>
      <c r="G26" s="794">
        <f t="shared" si="2"/>
        <v>32171.075681871702</v>
      </c>
      <c r="H26" s="794">
        <f t="shared" si="2"/>
        <v>0</v>
      </c>
      <c r="I26" s="794">
        <f t="shared" si="2"/>
        <v>0</v>
      </c>
      <c r="J26" s="794">
        <f t="shared" si="2"/>
        <v>0</v>
      </c>
      <c r="K26" s="794">
        <f t="shared" si="2"/>
        <v>1402.2645757697446</v>
      </c>
      <c r="L26" s="794">
        <f t="shared" si="2"/>
        <v>0</v>
      </c>
      <c r="M26" s="794">
        <f t="shared" si="2"/>
        <v>0</v>
      </c>
      <c r="N26" s="794">
        <f t="shared" si="2"/>
        <v>0</v>
      </c>
      <c r="O26" s="794">
        <f t="shared" si="2"/>
        <v>0</v>
      </c>
      <c r="P26" s="794">
        <f t="shared" si="2"/>
        <v>0</v>
      </c>
      <c r="Q26" s="794">
        <f t="shared" si="2"/>
        <v>0</v>
      </c>
      <c r="R26" s="794">
        <f t="shared" si="2"/>
        <v>238004.89085522376</v>
      </c>
      <c r="S26" s="67"/>
    </row>
    <row r="27" spans="1:19" s="444" customFormat="1" ht="17.25" thickTop="1" thickBot="1">
      <c r="A27" s="685" t="s">
        <v>109</v>
      </c>
      <c r="B27" s="786"/>
      <c r="C27" s="686">
        <f ca="1">C22+C16+C26</f>
        <v>174746.58501747169</v>
      </c>
      <c r="D27" s="686">
        <f t="shared" ref="D27:R27" ca="1" si="3">D22+D16+D26</f>
        <v>117180.40178571428</v>
      </c>
      <c r="E27" s="686">
        <f t="shared" ca="1" si="3"/>
        <v>550953.94058014045</v>
      </c>
      <c r="F27" s="686">
        <f t="shared" si="3"/>
        <v>3444.984206261091</v>
      </c>
      <c r="G27" s="686">
        <f t="shared" ca="1" si="3"/>
        <v>84458.180761477764</v>
      </c>
      <c r="H27" s="686">
        <f t="shared" si="3"/>
        <v>37502.237852831589</v>
      </c>
      <c r="I27" s="686">
        <f t="shared" si="3"/>
        <v>6329.9367489053884</v>
      </c>
      <c r="J27" s="686">
        <f t="shared" si="3"/>
        <v>0</v>
      </c>
      <c r="K27" s="686">
        <f t="shared" si="3"/>
        <v>2079.4417518637729</v>
      </c>
      <c r="L27" s="686">
        <f t="shared" si="3"/>
        <v>0</v>
      </c>
      <c r="M27" s="686">
        <f t="shared" ca="1" si="3"/>
        <v>0</v>
      </c>
      <c r="N27" s="686">
        <f t="shared" si="3"/>
        <v>1981.3978538180638</v>
      </c>
      <c r="O27" s="686">
        <f t="shared" ca="1" si="3"/>
        <v>37017.79373258444</v>
      </c>
      <c r="P27" s="686">
        <f t="shared" si="3"/>
        <v>173.53000000000003</v>
      </c>
      <c r="Q27" s="686">
        <f t="shared" si="3"/>
        <v>381.33333333333337</v>
      </c>
      <c r="R27" s="686">
        <f t="shared" ca="1" si="3"/>
        <v>1016249.7636244019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7710.2282523527447</v>
      </c>
      <c r="D40" s="676">
        <f ca="1">tertiair!C20</f>
        <v>0</v>
      </c>
      <c r="E40" s="676">
        <f ca="1">tertiair!D20</f>
        <v>8812.4484252628808</v>
      </c>
      <c r="F40" s="676">
        <f>tertiair!E20</f>
        <v>57.677176384095425</v>
      </c>
      <c r="G40" s="676">
        <f ca="1">tertiair!F20</f>
        <v>2195.2832525318213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18775.637106531543</v>
      </c>
    </row>
    <row r="41" spans="1:18">
      <c r="A41" s="804" t="s">
        <v>214</v>
      </c>
      <c r="B41" s="811"/>
      <c r="C41" s="676">
        <f ca="1">huishoudens!B12</f>
        <v>6282.3533692615047</v>
      </c>
      <c r="D41" s="676">
        <f ca="1">huishoudens!C12</f>
        <v>0</v>
      </c>
      <c r="E41" s="676">
        <f>huishoudens!D12</f>
        <v>17745.863185713421</v>
      </c>
      <c r="F41" s="676">
        <f>huishoudens!E12</f>
        <v>251.33715545538448</v>
      </c>
      <c r="G41" s="676">
        <f>huishoudens!F12</f>
        <v>9059.5875273600141</v>
      </c>
      <c r="H41" s="676">
        <f>huishoudens!G12</f>
        <v>0</v>
      </c>
      <c r="I41" s="676">
        <f>huishoudens!H12</f>
        <v>0</v>
      </c>
      <c r="J41" s="676">
        <f>huishoudens!I12</f>
        <v>0</v>
      </c>
      <c r="K41" s="676">
        <f>huishoudens!J12</f>
        <v>227.47555875109748</v>
      </c>
      <c r="L41" s="676">
        <f>huishoudens!K12</f>
        <v>0</v>
      </c>
      <c r="M41" s="676">
        <f>huishoudens!L12</f>
        <v>0</v>
      </c>
      <c r="N41" s="676">
        <f>huishoudens!M12</f>
        <v>0</v>
      </c>
      <c r="O41" s="676">
        <f>huishoudens!N12</f>
        <v>0</v>
      </c>
      <c r="P41" s="676">
        <f>huishoudens!O12</f>
        <v>0</v>
      </c>
      <c r="Q41" s="753">
        <f>huishoudens!P12</f>
        <v>0</v>
      </c>
      <c r="R41" s="832">
        <f t="shared" ca="1" si="4"/>
        <v>33566.616796541421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21058.921748356654</v>
      </c>
      <c r="D43" s="676">
        <f ca="1">industrie!C22</f>
        <v>2235.2700681514757</v>
      </c>
      <c r="E43" s="676">
        <f>industrie!D22</f>
        <v>67139.805751595413</v>
      </c>
      <c r="F43" s="676">
        <f>industrie!E22</f>
        <v>416.46265292327848</v>
      </c>
      <c r="G43" s="676">
        <f>industrie!F22</f>
        <v>2705.7862763629823</v>
      </c>
      <c r="H43" s="676">
        <f>industrie!G22</f>
        <v>0</v>
      </c>
      <c r="I43" s="676">
        <f>industrie!H22</f>
        <v>0</v>
      </c>
      <c r="J43" s="676">
        <f>industrie!I22</f>
        <v>0</v>
      </c>
      <c r="K43" s="676">
        <f>industrie!J22</f>
        <v>12.245161586188502</v>
      </c>
      <c r="L43" s="676">
        <f>industrie!K22</f>
        <v>0</v>
      </c>
      <c r="M43" s="676">
        <f>industrie!L22</f>
        <v>0</v>
      </c>
      <c r="N43" s="676">
        <f>industrie!M22</f>
        <v>0</v>
      </c>
      <c r="O43" s="676">
        <f>industrie!N22</f>
        <v>0</v>
      </c>
      <c r="P43" s="676">
        <f>industrie!O22</f>
        <v>0</v>
      </c>
      <c r="Q43" s="753">
        <f>industrie!P22</f>
        <v>0</v>
      </c>
      <c r="R43" s="831">
        <f t="shared" ca="1" si="4"/>
        <v>93568.491658975996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35051.503369970902</v>
      </c>
      <c r="D46" s="711">
        <f t="shared" ref="D46:Q46" ca="1" si="5">SUM(D39:D45)</f>
        <v>2235.2700681514757</v>
      </c>
      <c r="E46" s="711">
        <f t="shared" ca="1" si="5"/>
        <v>93698.117362571706</v>
      </c>
      <c r="F46" s="711">
        <f t="shared" si="5"/>
        <v>725.47698476275832</v>
      </c>
      <c r="G46" s="711">
        <f t="shared" ca="1" si="5"/>
        <v>13960.657056254817</v>
      </c>
      <c r="H46" s="711">
        <f t="shared" si="5"/>
        <v>0</v>
      </c>
      <c r="I46" s="711">
        <f t="shared" si="5"/>
        <v>0</v>
      </c>
      <c r="J46" s="711">
        <f t="shared" si="5"/>
        <v>0</v>
      </c>
      <c r="K46" s="711">
        <f t="shared" si="5"/>
        <v>239.72072033728597</v>
      </c>
      <c r="L46" s="711">
        <f t="shared" si="5"/>
        <v>0</v>
      </c>
      <c r="M46" s="711">
        <f t="shared" ca="1" si="5"/>
        <v>0</v>
      </c>
      <c r="N46" s="711">
        <f t="shared" si="5"/>
        <v>0</v>
      </c>
      <c r="O46" s="711">
        <f t="shared" ca="1" si="5"/>
        <v>0</v>
      </c>
      <c r="P46" s="711">
        <f t="shared" si="5"/>
        <v>0</v>
      </c>
      <c r="Q46" s="711">
        <f t="shared" si="5"/>
        <v>0</v>
      </c>
      <c r="R46" s="711">
        <f ca="1">SUM(R39:R45)</f>
        <v>145910.74556204898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1.4611626582070343</v>
      </c>
      <c r="D49" s="676">
        <f ca="1">transport!C58</f>
        <v>0</v>
      </c>
      <c r="E49" s="676">
        <f>transport!D58</f>
        <v>0</v>
      </c>
      <c r="F49" s="676">
        <f>transport!E58</f>
        <v>0</v>
      </c>
      <c r="G49" s="676">
        <f>transport!F58</f>
        <v>0</v>
      </c>
      <c r="H49" s="676">
        <f>transport!G58</f>
        <v>356.75000500952939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358.21116766773645</v>
      </c>
    </row>
    <row r="50" spans="1:18">
      <c r="A50" s="807" t="s">
        <v>296</v>
      </c>
      <c r="B50" s="817"/>
      <c r="C50" s="682">
        <f ca="1">transport!B18</f>
        <v>0.84354254561237196</v>
      </c>
      <c r="D50" s="682">
        <f>transport!C18</f>
        <v>0</v>
      </c>
      <c r="E50" s="682">
        <f>transport!D18</f>
        <v>0.743977529420627</v>
      </c>
      <c r="F50" s="682">
        <f>transport!E18</f>
        <v>29.862419365576869</v>
      </c>
      <c r="G50" s="682">
        <f>transport!F18</f>
        <v>0</v>
      </c>
      <c r="H50" s="682">
        <f>transport!G18</f>
        <v>9656.3475016965058</v>
      </c>
      <c r="I50" s="682">
        <f>transport!H18</f>
        <v>1576.1542504774418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11263.951691614559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2.304705203819406</v>
      </c>
      <c r="D52" s="711">
        <f t="shared" ref="D52:Q52" ca="1" si="6">SUM(D48:D51)</f>
        <v>0</v>
      </c>
      <c r="E52" s="711">
        <f t="shared" si="6"/>
        <v>0.743977529420627</v>
      </c>
      <c r="F52" s="711">
        <f t="shared" si="6"/>
        <v>29.862419365576869</v>
      </c>
      <c r="G52" s="711">
        <f t="shared" si="6"/>
        <v>0</v>
      </c>
      <c r="H52" s="711">
        <f t="shared" si="6"/>
        <v>10013.097506706035</v>
      </c>
      <c r="I52" s="711">
        <f t="shared" si="6"/>
        <v>1576.1542504774418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11622.162859282294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1984.7351619859917</v>
      </c>
      <c r="D54" s="682">
        <f ca="1">+landbouw!C12</f>
        <v>23883.090513030802</v>
      </c>
      <c r="E54" s="682">
        <f>+landbouw!D12</f>
        <v>17000.177865428002</v>
      </c>
      <c r="F54" s="682">
        <f>+landbouw!E12</f>
        <v>26.672010692932378</v>
      </c>
      <c r="G54" s="682">
        <f>+landbouw!F12</f>
        <v>8589.6772070597453</v>
      </c>
      <c r="H54" s="682">
        <f>+landbouw!G12</f>
        <v>0</v>
      </c>
      <c r="I54" s="682">
        <f>+landbouw!H12</f>
        <v>0</v>
      </c>
      <c r="J54" s="682">
        <f>+landbouw!I12</f>
        <v>0</v>
      </c>
      <c r="K54" s="682">
        <f>+landbouw!J12</f>
        <v>496.40165982248959</v>
      </c>
      <c r="L54" s="682">
        <f>+landbouw!K12</f>
        <v>0</v>
      </c>
      <c r="M54" s="682">
        <f>+landbouw!L12</f>
        <v>0</v>
      </c>
      <c r="N54" s="682">
        <f>+landbouw!M12</f>
        <v>0</v>
      </c>
      <c r="O54" s="682">
        <f>+landbouw!N12</f>
        <v>0</v>
      </c>
      <c r="P54" s="682">
        <f>+landbouw!O12</f>
        <v>0</v>
      </c>
      <c r="Q54" s="683">
        <f>+landbouw!P12</f>
        <v>0</v>
      </c>
      <c r="R54" s="710">
        <f ca="1">SUM(C54:Q54)</f>
        <v>51980.754418019969</v>
      </c>
    </row>
    <row r="55" spans="1:18" ht="15" thickBot="1">
      <c r="A55" s="807" t="s">
        <v>833</v>
      </c>
      <c r="B55" s="817"/>
      <c r="C55" s="682">
        <f ca="1">C25*'EF ele_warmte'!B12</f>
        <v>157.46268127486056</v>
      </c>
      <c r="D55" s="682"/>
      <c r="E55" s="682">
        <f>E25*EF_CO2_aardgas</f>
        <v>593.65679165924416</v>
      </c>
      <c r="F55" s="682"/>
      <c r="G55" s="682"/>
      <c r="H55" s="682"/>
      <c r="I55" s="682"/>
      <c r="J55" s="682"/>
      <c r="K55" s="682"/>
      <c r="L55" s="682"/>
      <c r="M55" s="682"/>
      <c r="N55" s="682"/>
      <c r="O55" s="682"/>
      <c r="P55" s="682"/>
      <c r="Q55" s="683"/>
      <c r="R55" s="710">
        <f ca="1">SUM(C55:Q55)</f>
        <v>751.11947293410469</v>
      </c>
    </row>
    <row r="56" spans="1:18" ht="15.75" thickBot="1">
      <c r="A56" s="805" t="s">
        <v>834</v>
      </c>
      <c r="B56" s="818"/>
      <c r="C56" s="711">
        <f ca="1">SUM(C54:C55)</f>
        <v>2142.1978432608521</v>
      </c>
      <c r="D56" s="711">
        <f t="shared" ref="D56:Q56" ca="1" si="7">SUM(D54:D55)</f>
        <v>23883.090513030802</v>
      </c>
      <c r="E56" s="711">
        <f t="shared" si="7"/>
        <v>17593.834657087245</v>
      </c>
      <c r="F56" s="711">
        <f t="shared" si="7"/>
        <v>26.672010692932378</v>
      </c>
      <c r="G56" s="711">
        <f t="shared" si="7"/>
        <v>8589.6772070597453</v>
      </c>
      <c r="H56" s="711">
        <f t="shared" si="7"/>
        <v>0</v>
      </c>
      <c r="I56" s="711">
        <f t="shared" si="7"/>
        <v>0</v>
      </c>
      <c r="J56" s="711">
        <f t="shared" si="7"/>
        <v>0</v>
      </c>
      <c r="K56" s="711">
        <f t="shared" si="7"/>
        <v>496.40165982248959</v>
      </c>
      <c r="L56" s="711">
        <f t="shared" si="7"/>
        <v>0</v>
      </c>
      <c r="M56" s="711">
        <f t="shared" si="7"/>
        <v>0</v>
      </c>
      <c r="N56" s="711">
        <f t="shared" si="7"/>
        <v>0</v>
      </c>
      <c r="O56" s="711">
        <f t="shared" si="7"/>
        <v>0</v>
      </c>
      <c r="P56" s="711">
        <f t="shared" si="7"/>
        <v>0</v>
      </c>
      <c r="Q56" s="712">
        <f t="shared" si="7"/>
        <v>0</v>
      </c>
      <c r="R56" s="713">
        <f ca="1">SUM(R54:R55)</f>
        <v>52731.873890954077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37196.00591843557</v>
      </c>
      <c r="D61" s="719">
        <f t="shared" ref="D61:Q61" ca="1" si="8">D46+D52+D56</f>
        <v>26118.360581182278</v>
      </c>
      <c r="E61" s="719">
        <f t="shared" ca="1" si="8"/>
        <v>111292.69599718836</v>
      </c>
      <c r="F61" s="719">
        <f t="shared" si="8"/>
        <v>782.01141482126764</v>
      </c>
      <c r="G61" s="719">
        <f t="shared" ca="1" si="8"/>
        <v>22550.334263314562</v>
      </c>
      <c r="H61" s="719">
        <f t="shared" si="8"/>
        <v>10013.097506706035</v>
      </c>
      <c r="I61" s="719">
        <f t="shared" si="8"/>
        <v>1576.1542504774418</v>
      </c>
      <c r="J61" s="719">
        <f t="shared" si="8"/>
        <v>0</v>
      </c>
      <c r="K61" s="719">
        <f t="shared" si="8"/>
        <v>736.1223801597755</v>
      </c>
      <c r="L61" s="719">
        <f t="shared" si="8"/>
        <v>0</v>
      </c>
      <c r="M61" s="719">
        <f t="shared" ca="1" si="8"/>
        <v>0</v>
      </c>
      <c r="N61" s="719">
        <f t="shared" si="8"/>
        <v>0</v>
      </c>
      <c r="O61" s="719">
        <f t="shared" ca="1" si="8"/>
        <v>0</v>
      </c>
      <c r="P61" s="719">
        <f t="shared" si="8"/>
        <v>0</v>
      </c>
      <c r="Q61" s="719">
        <f t="shared" si="8"/>
        <v>0</v>
      </c>
      <c r="R61" s="719">
        <f ca="1">R46+R52+R56</f>
        <v>210264.78231228533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0.21285684017639944</v>
      </c>
      <c r="D63" s="762">
        <f t="shared" ca="1" si="9"/>
        <v>0.22289017773590214</v>
      </c>
      <c r="E63" s="984">
        <f t="shared" ca="1" si="9"/>
        <v>0.20199999999999999</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7151.0695053030377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5170.7782588645796</v>
      </c>
      <c r="C76" s="729">
        <f>'lokale energieproductie'!B8*IFERROR(SUM(D76:H76)/SUM(D76:O76),0)</f>
        <v>78100.221741135407</v>
      </c>
      <c r="D76" s="994">
        <f>'lokale energieproductie'!C8</f>
        <v>91882.613813100514</v>
      </c>
      <c r="E76" s="995">
        <f>'lokale energieproductie'!D8</f>
        <v>0</v>
      </c>
      <c r="F76" s="995">
        <f>'lokale energieproductie'!E8</f>
        <v>0</v>
      </c>
      <c r="G76" s="995">
        <f>'lokale energieproductie'!F8</f>
        <v>0</v>
      </c>
      <c r="H76" s="995">
        <f>'lokale energieproductie'!G8</f>
        <v>0</v>
      </c>
      <c r="I76" s="995">
        <f>'lokale energieproductie'!I8</f>
        <v>6083.2685398406829</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18560.287990246306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12321.847764167618</v>
      </c>
      <c r="C78" s="734">
        <f>SUM(C72:C77)</f>
        <v>78100.221741135407</v>
      </c>
      <c r="D78" s="735">
        <f t="shared" ref="D78:H78" si="10">SUM(D76:D77)</f>
        <v>91882.613813100514</v>
      </c>
      <c r="E78" s="735">
        <f t="shared" si="10"/>
        <v>0</v>
      </c>
      <c r="F78" s="735">
        <f t="shared" si="10"/>
        <v>0</v>
      </c>
      <c r="G78" s="735">
        <f t="shared" si="10"/>
        <v>0</v>
      </c>
      <c r="H78" s="735">
        <f t="shared" si="10"/>
        <v>0</v>
      </c>
      <c r="I78" s="735">
        <f>SUM(I76:I77)</f>
        <v>6083.2685398406829</v>
      </c>
      <c r="J78" s="735">
        <f>SUM(J76:J77)</f>
        <v>0</v>
      </c>
      <c r="K78" s="735">
        <f t="shared" ref="K78:L78" si="11">SUM(K76:K77)</f>
        <v>0</v>
      </c>
      <c r="L78" s="735">
        <f t="shared" si="11"/>
        <v>0</v>
      </c>
      <c r="M78" s="735">
        <f>SUM(M76:M77)</f>
        <v>0</v>
      </c>
      <c r="N78" s="735">
        <f>SUM(N76:N77)</f>
        <v>0</v>
      </c>
      <c r="O78" s="842">
        <f>SUM(O76:O77)</f>
        <v>0</v>
      </c>
      <c r="P78" s="736">
        <v>0</v>
      </c>
      <c r="Q78" s="736">
        <f>SUM(Q76:Q77)</f>
        <v>18560.287990246306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7276.4092411354204</v>
      </c>
      <c r="C87" s="745">
        <f>'lokale energieproductie'!B17*IFERROR(SUM(D87:H87)/SUM(D87:O87),0)</f>
        <v>109903.99254457887</v>
      </c>
      <c r="D87" s="756">
        <f>'lokale energieproductie'!C17</f>
        <v>129298.8147583281</v>
      </c>
      <c r="E87" s="756">
        <f>'lokale energieproductie'!D17</f>
        <v>0</v>
      </c>
      <c r="F87" s="756">
        <f>'lokale energieproductie'!E17</f>
        <v>0</v>
      </c>
      <c r="G87" s="756">
        <f>'lokale energieproductie'!F17</f>
        <v>0</v>
      </c>
      <c r="H87" s="756">
        <f>'lokale energieproductie'!G17</f>
        <v>0</v>
      </c>
      <c r="I87" s="756">
        <f>'lokale energieproductie'!I17</f>
        <v>8560.4814601593189</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26118.360581182278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7276.4092411354204</v>
      </c>
      <c r="C90" s="734">
        <f>SUM(C87:C89)</f>
        <v>109903.99254457887</v>
      </c>
      <c r="D90" s="734">
        <f t="shared" ref="D90:H90" si="12">SUM(D87:D89)</f>
        <v>129298.8147583281</v>
      </c>
      <c r="E90" s="734">
        <f t="shared" si="12"/>
        <v>0</v>
      </c>
      <c r="F90" s="734">
        <f t="shared" si="12"/>
        <v>0</v>
      </c>
      <c r="G90" s="734">
        <f t="shared" si="12"/>
        <v>0</v>
      </c>
      <c r="H90" s="734">
        <f t="shared" si="12"/>
        <v>0</v>
      </c>
      <c r="I90" s="734">
        <f>SUM(I87:I89)</f>
        <v>8560.4814601593189</v>
      </c>
      <c r="J90" s="734">
        <f>SUM(J87:J89)</f>
        <v>0</v>
      </c>
      <c r="K90" s="734">
        <f t="shared" ref="K90:L90" si="13">SUM(K87:K89)</f>
        <v>0</v>
      </c>
      <c r="L90" s="734">
        <f t="shared" si="13"/>
        <v>0</v>
      </c>
      <c r="M90" s="734">
        <f>SUM(M87:M89)</f>
        <v>0</v>
      </c>
      <c r="N90" s="734">
        <f>SUM(N87:N89)</f>
        <v>0</v>
      </c>
      <c r="O90" s="734">
        <f>SUM(O87:O89)</f>
        <v>0</v>
      </c>
      <c r="P90" s="734">
        <v>0</v>
      </c>
      <c r="Q90" s="734">
        <f>SUM(Q87:Q89)</f>
        <v>26118.360581182278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29514.453771159853</v>
      </c>
      <c r="C4" s="448">
        <f>huishoudens!C8</f>
        <v>0</v>
      </c>
      <c r="D4" s="448">
        <f>huishoudens!D8</f>
        <v>87850.807850066427</v>
      </c>
      <c r="E4" s="448">
        <f>huishoudens!E8</f>
        <v>1107.2121385699757</v>
      </c>
      <c r="F4" s="448">
        <f>huishoudens!F8</f>
        <v>33931.03942831466</v>
      </c>
      <c r="G4" s="448">
        <f>huishoudens!G8</f>
        <v>0</v>
      </c>
      <c r="H4" s="448">
        <f>huishoudens!H8</f>
        <v>0</v>
      </c>
      <c r="I4" s="448">
        <f>huishoudens!I8</f>
        <v>0</v>
      </c>
      <c r="J4" s="448">
        <f>huishoudens!J8</f>
        <v>642.58632415564261</v>
      </c>
      <c r="K4" s="448">
        <f>huishoudens!K8</f>
        <v>0</v>
      </c>
      <c r="L4" s="448">
        <f>huishoudens!L8</f>
        <v>0</v>
      </c>
      <c r="M4" s="448">
        <f>huishoudens!M8</f>
        <v>0</v>
      </c>
      <c r="N4" s="448">
        <f>huishoudens!N8</f>
        <v>10611.578885765372</v>
      </c>
      <c r="O4" s="448">
        <f>huishoudens!O8</f>
        <v>173.53000000000003</v>
      </c>
      <c r="P4" s="449">
        <f>huishoudens!P8</f>
        <v>381.33333333333337</v>
      </c>
      <c r="Q4" s="450">
        <f>SUM(B4:P4)</f>
        <v>164212.54173136526</v>
      </c>
    </row>
    <row r="5" spans="1:17">
      <c r="A5" s="447" t="s">
        <v>149</v>
      </c>
      <c r="B5" s="448">
        <f ca="1">tertiair!B16</f>
        <v>34949.8353447345</v>
      </c>
      <c r="C5" s="448">
        <f ca="1">tertiair!C16</f>
        <v>0</v>
      </c>
      <c r="D5" s="448">
        <f ca="1">tertiair!D16</f>
        <v>43625.982303281584</v>
      </c>
      <c r="E5" s="448">
        <f>tertiair!E16</f>
        <v>254.08447746297543</v>
      </c>
      <c r="F5" s="448">
        <f ca="1">tertiair!F16</f>
        <v>8222.0346536772322</v>
      </c>
      <c r="G5" s="448">
        <f>tertiair!G16</f>
        <v>0</v>
      </c>
      <c r="H5" s="448">
        <f>tertiair!H16</f>
        <v>0</v>
      </c>
      <c r="I5" s="448">
        <f>tertiair!I16</f>
        <v>0</v>
      </c>
      <c r="J5" s="448">
        <f>tertiair!J16</f>
        <v>0</v>
      </c>
      <c r="K5" s="448">
        <f>tertiair!K16</f>
        <v>0</v>
      </c>
      <c r="L5" s="448">
        <f ca="1">tertiair!L16</f>
        <v>0</v>
      </c>
      <c r="M5" s="448">
        <f>tertiair!M16</f>
        <v>0</v>
      </c>
      <c r="N5" s="448">
        <f ca="1">tertiair!N16</f>
        <v>11421.247110694621</v>
      </c>
      <c r="O5" s="448">
        <f>tertiair!O16</f>
        <v>0</v>
      </c>
      <c r="P5" s="449">
        <f>tertiair!P16</f>
        <v>0</v>
      </c>
      <c r="Q5" s="447">
        <f t="shared" ref="Q5:Q14" ca="1" si="0">SUM(B5:P5)</f>
        <v>98473.183889850916</v>
      </c>
    </row>
    <row r="6" spans="1:17">
      <c r="A6" s="447" t="s">
        <v>187</v>
      </c>
      <c r="B6" s="448">
        <f>'openbare verlichting'!B8</f>
        <v>1272.7650000000001</v>
      </c>
      <c r="C6" s="448"/>
      <c r="D6" s="448"/>
      <c r="E6" s="448"/>
      <c r="F6" s="448"/>
      <c r="G6" s="448"/>
      <c r="H6" s="448"/>
      <c r="I6" s="448"/>
      <c r="J6" s="448"/>
      <c r="K6" s="448"/>
      <c r="L6" s="448"/>
      <c r="M6" s="448"/>
      <c r="N6" s="448"/>
      <c r="O6" s="448"/>
      <c r="P6" s="449"/>
      <c r="Q6" s="447">
        <f t="shared" si="0"/>
        <v>1272.7650000000001</v>
      </c>
    </row>
    <row r="7" spans="1:17">
      <c r="A7" s="447" t="s">
        <v>105</v>
      </c>
      <c r="B7" s="448">
        <f>landbouw!B8</f>
        <v>9324.2724092925309</v>
      </c>
      <c r="C7" s="448">
        <f>landbouw!C8</f>
        <v>107151.83035714284</v>
      </c>
      <c r="D7" s="448">
        <f>landbouw!D8</f>
        <v>84159.296363504953</v>
      </c>
      <c r="E7" s="448">
        <f>landbouw!E8</f>
        <v>117.49784446225718</v>
      </c>
      <c r="F7" s="448">
        <f>landbouw!F8</f>
        <v>32171.075681871702</v>
      </c>
      <c r="G7" s="448">
        <f>landbouw!G8</f>
        <v>0</v>
      </c>
      <c r="H7" s="448">
        <f>landbouw!H8</f>
        <v>0</v>
      </c>
      <c r="I7" s="448">
        <f>landbouw!I8</f>
        <v>0</v>
      </c>
      <c r="J7" s="448">
        <f>landbouw!J8</f>
        <v>1402.2645757697446</v>
      </c>
      <c r="K7" s="448">
        <f>landbouw!K8</f>
        <v>0</v>
      </c>
      <c r="L7" s="448">
        <f>landbouw!L8</f>
        <v>0</v>
      </c>
      <c r="M7" s="448">
        <f>landbouw!M8</f>
        <v>0</v>
      </c>
      <c r="N7" s="448">
        <f>landbouw!N8</f>
        <v>0</v>
      </c>
      <c r="O7" s="448">
        <f>landbouw!O8</f>
        <v>0</v>
      </c>
      <c r="P7" s="449">
        <f>landbouw!P8</f>
        <v>0</v>
      </c>
      <c r="Q7" s="447">
        <f t="shared" si="0"/>
        <v>234326.23723204402</v>
      </c>
    </row>
    <row r="8" spans="1:17">
      <c r="A8" s="447" t="s">
        <v>639</v>
      </c>
      <c r="B8" s="448">
        <f>industrie!B18</f>
        <v>98934.672387810642</v>
      </c>
      <c r="C8" s="448">
        <f>industrie!C18</f>
        <v>10028.571428571429</v>
      </c>
      <c r="D8" s="448">
        <f>industrie!D18</f>
        <v>332375.27599799709</v>
      </c>
      <c r="E8" s="448">
        <f>industrie!E18</f>
        <v>1834.6372375474823</v>
      </c>
      <c r="F8" s="448">
        <f>industrie!F18</f>
        <v>10134.030997614165</v>
      </c>
      <c r="G8" s="448">
        <f>industrie!G18</f>
        <v>0</v>
      </c>
      <c r="H8" s="448">
        <f>industrie!H18</f>
        <v>0</v>
      </c>
      <c r="I8" s="448">
        <f>industrie!I18</f>
        <v>0</v>
      </c>
      <c r="J8" s="448">
        <f>industrie!J18</f>
        <v>34.590851938385597</v>
      </c>
      <c r="K8" s="448">
        <f>industrie!K18</f>
        <v>0</v>
      </c>
      <c r="L8" s="448">
        <f>industrie!L18</f>
        <v>0</v>
      </c>
      <c r="M8" s="448">
        <f>industrie!M18</f>
        <v>0</v>
      </c>
      <c r="N8" s="448">
        <f>industrie!N18</f>
        <v>14984.967736124448</v>
      </c>
      <c r="O8" s="448">
        <f>industrie!O18</f>
        <v>0</v>
      </c>
      <c r="P8" s="449">
        <f>industrie!P18</f>
        <v>0</v>
      </c>
      <c r="Q8" s="447">
        <f t="shared" si="0"/>
        <v>468326.74663760368</v>
      </c>
    </row>
    <row r="9" spans="1:17" s="453" customFormat="1">
      <c r="A9" s="451" t="s">
        <v>557</v>
      </c>
      <c r="B9" s="452">
        <f>transport!B14</f>
        <v>3.9629571918539632</v>
      </c>
      <c r="C9" s="452">
        <f>transport!C14</f>
        <v>0</v>
      </c>
      <c r="D9" s="452">
        <f>transport!D14</f>
        <v>3.6830570763397374</v>
      </c>
      <c r="E9" s="452">
        <f>transport!E14</f>
        <v>131.55250821840031</v>
      </c>
      <c r="F9" s="452">
        <f>transport!F14</f>
        <v>0</v>
      </c>
      <c r="G9" s="452">
        <f>transport!G14</f>
        <v>36166.095511971929</v>
      </c>
      <c r="H9" s="452">
        <f>transport!H14</f>
        <v>6329.9367489053884</v>
      </c>
      <c r="I9" s="452">
        <f>transport!I14</f>
        <v>0</v>
      </c>
      <c r="J9" s="452">
        <f>transport!J14</f>
        <v>0</v>
      </c>
      <c r="K9" s="452">
        <f>transport!K14</f>
        <v>0</v>
      </c>
      <c r="L9" s="452">
        <f>transport!L14</f>
        <v>0</v>
      </c>
      <c r="M9" s="452">
        <f>transport!M14</f>
        <v>1921.4841085603362</v>
      </c>
      <c r="N9" s="452">
        <f>transport!N14</f>
        <v>0</v>
      </c>
      <c r="O9" s="452">
        <f>transport!O14</f>
        <v>0</v>
      </c>
      <c r="P9" s="452">
        <f>transport!P14</f>
        <v>0</v>
      </c>
      <c r="Q9" s="451">
        <f>SUM(B9:P9)</f>
        <v>44556.714891924246</v>
      </c>
    </row>
    <row r="10" spans="1:17">
      <c r="A10" s="447" t="s">
        <v>547</v>
      </c>
      <c r="B10" s="448">
        <f>transport!B54</f>
        <v>6.8645323166318457</v>
      </c>
      <c r="C10" s="448">
        <f>transport!C54</f>
        <v>0</v>
      </c>
      <c r="D10" s="448">
        <f>transport!D54</f>
        <v>0</v>
      </c>
      <c r="E10" s="448">
        <f>transport!E54</f>
        <v>0</v>
      </c>
      <c r="F10" s="448">
        <f>transport!F54</f>
        <v>0</v>
      </c>
      <c r="G10" s="448">
        <f>transport!G54</f>
        <v>1336.1423408596606</v>
      </c>
      <c r="H10" s="448">
        <f>transport!H54</f>
        <v>0</v>
      </c>
      <c r="I10" s="448">
        <f>transport!I54</f>
        <v>0</v>
      </c>
      <c r="J10" s="448">
        <f>transport!J54</f>
        <v>0</v>
      </c>
      <c r="K10" s="448">
        <f>transport!K54</f>
        <v>0</v>
      </c>
      <c r="L10" s="448">
        <f>transport!L54</f>
        <v>0</v>
      </c>
      <c r="M10" s="448">
        <f>transport!M54</f>
        <v>59.913745257727712</v>
      </c>
      <c r="N10" s="448">
        <f>transport!N54</f>
        <v>0</v>
      </c>
      <c r="O10" s="448">
        <f>transport!O54</f>
        <v>0</v>
      </c>
      <c r="P10" s="449">
        <f>transport!P54</f>
        <v>0</v>
      </c>
      <c r="Q10" s="447">
        <f t="shared" si="0"/>
        <v>1402.9206184340201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739.75861496566199</v>
      </c>
      <c r="C14" s="455"/>
      <c r="D14" s="455">
        <f>'SEAP template'!E25</f>
        <v>2938.8950082140796</v>
      </c>
      <c r="E14" s="455"/>
      <c r="F14" s="455"/>
      <c r="G14" s="455"/>
      <c r="H14" s="455"/>
      <c r="I14" s="455"/>
      <c r="J14" s="455"/>
      <c r="K14" s="455"/>
      <c r="L14" s="455"/>
      <c r="M14" s="455"/>
      <c r="N14" s="455"/>
      <c r="O14" s="455"/>
      <c r="P14" s="456"/>
      <c r="Q14" s="447">
        <f t="shared" si="0"/>
        <v>3678.6536231797418</v>
      </c>
    </row>
    <row r="15" spans="1:17" s="460" customFormat="1">
      <c r="A15" s="457" t="s">
        <v>551</v>
      </c>
      <c r="B15" s="458">
        <f ca="1">SUM(B4:B14)</f>
        <v>174746.58501747169</v>
      </c>
      <c r="C15" s="458">
        <f t="shared" ref="C15:Q15" ca="1" si="1">SUM(C4:C14)</f>
        <v>117180.40178571428</v>
      </c>
      <c r="D15" s="458">
        <f t="shared" ca="1" si="1"/>
        <v>550953.94058014033</v>
      </c>
      <c r="E15" s="458">
        <f t="shared" si="1"/>
        <v>3444.984206261091</v>
      </c>
      <c r="F15" s="458">
        <f t="shared" ca="1" si="1"/>
        <v>84458.180761477764</v>
      </c>
      <c r="G15" s="458">
        <f t="shared" si="1"/>
        <v>37502.237852831589</v>
      </c>
      <c r="H15" s="458">
        <f t="shared" si="1"/>
        <v>6329.9367489053884</v>
      </c>
      <c r="I15" s="458">
        <f t="shared" si="1"/>
        <v>0</v>
      </c>
      <c r="J15" s="458">
        <f t="shared" si="1"/>
        <v>2079.4417518637729</v>
      </c>
      <c r="K15" s="458">
        <f t="shared" si="1"/>
        <v>0</v>
      </c>
      <c r="L15" s="458">
        <f t="shared" ca="1" si="1"/>
        <v>0</v>
      </c>
      <c r="M15" s="458">
        <f t="shared" si="1"/>
        <v>1981.3978538180638</v>
      </c>
      <c r="N15" s="458">
        <f t="shared" ca="1" si="1"/>
        <v>37017.79373258444</v>
      </c>
      <c r="O15" s="458">
        <f t="shared" si="1"/>
        <v>173.53000000000003</v>
      </c>
      <c r="P15" s="458">
        <f t="shared" si="1"/>
        <v>381.33333333333337</v>
      </c>
      <c r="Q15" s="458">
        <f t="shared" ca="1" si="1"/>
        <v>1016249.763624402</v>
      </c>
    </row>
    <row r="17" spans="1:17">
      <c r="A17" s="461" t="s">
        <v>552</v>
      </c>
      <c r="B17" s="767">
        <f ca="1">huishoudens!B10</f>
        <v>0.2128568401763995</v>
      </c>
      <c r="C17" s="767">
        <f ca="1">huishoudens!C10</f>
        <v>0.22289017773590214</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6282.3533692615047</v>
      </c>
      <c r="C22" s="448">
        <f t="shared" ref="C22:C32" ca="1" si="3">C4*$C$17</f>
        <v>0</v>
      </c>
      <c r="D22" s="448">
        <f t="shared" ref="D22:D32" si="4">D4*$D$17</f>
        <v>17745.863185713421</v>
      </c>
      <c r="E22" s="448">
        <f t="shared" ref="E22:E32" si="5">E4*$E$17</f>
        <v>251.33715545538448</v>
      </c>
      <c r="F22" s="448">
        <f t="shared" ref="F22:F32" si="6">F4*$F$17</f>
        <v>9059.5875273600141</v>
      </c>
      <c r="G22" s="448">
        <f t="shared" ref="G22:G32" si="7">G4*$G$17</f>
        <v>0</v>
      </c>
      <c r="H22" s="448">
        <f t="shared" ref="H22:H32" si="8">H4*$H$17</f>
        <v>0</v>
      </c>
      <c r="I22" s="448">
        <f t="shared" ref="I22:I32" si="9">I4*$I$17</f>
        <v>0</v>
      </c>
      <c r="J22" s="448">
        <f t="shared" ref="J22:J32" si="10">J4*$J$17</f>
        <v>227.47555875109748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33566.616796541421</v>
      </c>
    </row>
    <row r="23" spans="1:17">
      <c r="A23" s="447" t="s">
        <v>149</v>
      </c>
      <c r="B23" s="448">
        <f t="shared" ca="1" si="2"/>
        <v>7439.3115161656297</v>
      </c>
      <c r="C23" s="448">
        <f t="shared" ca="1" si="3"/>
        <v>0</v>
      </c>
      <c r="D23" s="448">
        <f t="shared" ca="1" si="4"/>
        <v>8812.4484252628808</v>
      </c>
      <c r="E23" s="448">
        <f t="shared" si="5"/>
        <v>57.677176384095425</v>
      </c>
      <c r="F23" s="448">
        <f t="shared" ca="1" si="6"/>
        <v>2195.2832525318213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18504.720370344428</v>
      </c>
    </row>
    <row r="24" spans="1:17">
      <c r="A24" s="447" t="s">
        <v>187</v>
      </c>
      <c r="B24" s="448">
        <f t="shared" ca="1" si="2"/>
        <v>270.91673618711513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270.91673618711513</v>
      </c>
    </row>
    <row r="25" spans="1:17">
      <c r="A25" s="447" t="s">
        <v>105</v>
      </c>
      <c r="B25" s="448">
        <f t="shared" ca="1" si="2"/>
        <v>1984.7351619859917</v>
      </c>
      <c r="C25" s="448">
        <f t="shared" ca="1" si="3"/>
        <v>23883.090513030802</v>
      </c>
      <c r="D25" s="448">
        <f t="shared" si="4"/>
        <v>17000.177865428002</v>
      </c>
      <c r="E25" s="448">
        <f t="shared" si="5"/>
        <v>26.672010692932378</v>
      </c>
      <c r="F25" s="448">
        <f t="shared" si="6"/>
        <v>8589.6772070597453</v>
      </c>
      <c r="G25" s="448">
        <f t="shared" si="7"/>
        <v>0</v>
      </c>
      <c r="H25" s="448">
        <f t="shared" si="8"/>
        <v>0</v>
      </c>
      <c r="I25" s="448">
        <f t="shared" si="9"/>
        <v>0</v>
      </c>
      <c r="J25" s="448">
        <f t="shared" si="10"/>
        <v>496.40165982248959</v>
      </c>
      <c r="K25" s="448">
        <f t="shared" si="11"/>
        <v>0</v>
      </c>
      <c r="L25" s="448">
        <f t="shared" si="12"/>
        <v>0</v>
      </c>
      <c r="M25" s="448">
        <f t="shared" si="13"/>
        <v>0</v>
      </c>
      <c r="N25" s="448">
        <f t="shared" si="14"/>
        <v>0</v>
      </c>
      <c r="O25" s="448">
        <f t="shared" si="15"/>
        <v>0</v>
      </c>
      <c r="P25" s="449">
        <f t="shared" si="16"/>
        <v>0</v>
      </c>
      <c r="Q25" s="447">
        <f t="shared" ca="1" si="17"/>
        <v>51980.754418019969</v>
      </c>
    </row>
    <row r="26" spans="1:17">
      <c r="A26" s="447" t="s">
        <v>639</v>
      </c>
      <c r="B26" s="448">
        <f t="shared" ca="1" si="2"/>
        <v>21058.921748356654</v>
      </c>
      <c r="C26" s="448">
        <f t="shared" ca="1" si="3"/>
        <v>2235.2700681514757</v>
      </c>
      <c r="D26" s="448">
        <f t="shared" si="4"/>
        <v>67139.805751595413</v>
      </c>
      <c r="E26" s="448">
        <f t="shared" si="5"/>
        <v>416.46265292327848</v>
      </c>
      <c r="F26" s="448">
        <f t="shared" si="6"/>
        <v>2705.7862763629823</v>
      </c>
      <c r="G26" s="448">
        <f t="shared" si="7"/>
        <v>0</v>
      </c>
      <c r="H26" s="448">
        <f t="shared" si="8"/>
        <v>0</v>
      </c>
      <c r="I26" s="448">
        <f t="shared" si="9"/>
        <v>0</v>
      </c>
      <c r="J26" s="448">
        <f t="shared" si="10"/>
        <v>12.245161586188502</v>
      </c>
      <c r="K26" s="448">
        <f t="shared" si="11"/>
        <v>0</v>
      </c>
      <c r="L26" s="448">
        <f t="shared" si="12"/>
        <v>0</v>
      </c>
      <c r="M26" s="448">
        <f t="shared" si="13"/>
        <v>0</v>
      </c>
      <c r="N26" s="448">
        <f t="shared" si="14"/>
        <v>0</v>
      </c>
      <c r="O26" s="448">
        <f t="shared" si="15"/>
        <v>0</v>
      </c>
      <c r="P26" s="449">
        <f t="shared" si="16"/>
        <v>0</v>
      </c>
      <c r="Q26" s="447">
        <f t="shared" ca="1" si="17"/>
        <v>93568.491658975996</v>
      </c>
    </row>
    <row r="27" spans="1:17" s="453" customFormat="1">
      <c r="A27" s="451" t="s">
        <v>557</v>
      </c>
      <c r="B27" s="761">
        <f t="shared" ca="1" si="2"/>
        <v>0.84354254561237196</v>
      </c>
      <c r="C27" s="452">
        <f t="shared" ca="1" si="3"/>
        <v>0</v>
      </c>
      <c r="D27" s="452">
        <f t="shared" si="4"/>
        <v>0.743977529420627</v>
      </c>
      <c r="E27" s="452">
        <f t="shared" si="5"/>
        <v>29.862419365576869</v>
      </c>
      <c r="F27" s="452">
        <f t="shared" si="6"/>
        <v>0</v>
      </c>
      <c r="G27" s="452">
        <f t="shared" si="7"/>
        <v>9656.3475016965058</v>
      </c>
      <c r="H27" s="452">
        <f t="shared" si="8"/>
        <v>1576.1542504774418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11263.951691614559</v>
      </c>
    </row>
    <row r="28" spans="1:17">
      <c r="A28" s="447" t="s">
        <v>547</v>
      </c>
      <c r="B28" s="448">
        <f t="shared" ca="1" si="2"/>
        <v>1.4611626582070343</v>
      </c>
      <c r="C28" s="448">
        <f t="shared" ca="1" si="3"/>
        <v>0</v>
      </c>
      <c r="D28" s="448">
        <f t="shared" si="4"/>
        <v>0</v>
      </c>
      <c r="E28" s="448">
        <f t="shared" si="5"/>
        <v>0</v>
      </c>
      <c r="F28" s="448">
        <f t="shared" si="6"/>
        <v>0</v>
      </c>
      <c r="G28" s="448">
        <f t="shared" si="7"/>
        <v>356.75000500952939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358.21116766773645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157.46268127486056</v>
      </c>
      <c r="C32" s="448">
        <f t="shared" ca="1" si="3"/>
        <v>0</v>
      </c>
      <c r="D32" s="448">
        <f t="shared" si="4"/>
        <v>593.65679165924416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751.11947293410469</v>
      </c>
    </row>
    <row r="33" spans="1:17" s="460" customFormat="1">
      <c r="A33" s="457" t="s">
        <v>551</v>
      </c>
      <c r="B33" s="458">
        <f ca="1">SUM(B22:B32)</f>
        <v>37196.00591843557</v>
      </c>
      <c r="C33" s="458">
        <f t="shared" ref="C33:Q33" ca="1" si="18">SUM(C22:C32)</f>
        <v>26118.360581182278</v>
      </c>
      <c r="D33" s="458">
        <f t="shared" ca="1" si="18"/>
        <v>111292.69599718838</v>
      </c>
      <c r="E33" s="458">
        <f t="shared" si="18"/>
        <v>782.01141482126764</v>
      </c>
      <c r="F33" s="458">
        <f t="shared" ca="1" si="18"/>
        <v>22550.334263314562</v>
      </c>
      <c r="G33" s="458">
        <f t="shared" si="18"/>
        <v>10013.097506706035</v>
      </c>
      <c r="H33" s="458">
        <f t="shared" si="18"/>
        <v>1576.1542504774418</v>
      </c>
      <c r="I33" s="458">
        <f t="shared" si="18"/>
        <v>0</v>
      </c>
      <c r="J33" s="458">
        <f t="shared" si="18"/>
        <v>736.1223801597755</v>
      </c>
      <c r="K33" s="458">
        <f t="shared" si="18"/>
        <v>0</v>
      </c>
      <c r="L33" s="458">
        <f t="shared" ca="1" si="18"/>
        <v>0</v>
      </c>
      <c r="M33" s="458">
        <f t="shared" si="18"/>
        <v>0</v>
      </c>
      <c r="N33" s="458">
        <f t="shared" ca="1" si="18"/>
        <v>0</v>
      </c>
      <c r="O33" s="458">
        <f t="shared" si="18"/>
        <v>0</v>
      </c>
      <c r="P33" s="458">
        <f t="shared" si="18"/>
        <v>0</v>
      </c>
      <c r="Q33" s="458">
        <f t="shared" ca="1" si="18"/>
        <v>210264.78231228533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7151.0695053030377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5170.7782588645796</v>
      </c>
      <c r="C8" s="1020">
        <f>'SEAP template'!C76</f>
        <v>78100.221741135407</v>
      </c>
      <c r="D8" s="1020">
        <f>'SEAP template'!D76</f>
        <v>91882.613813100514</v>
      </c>
      <c r="E8" s="1020">
        <f>'SEAP template'!E76</f>
        <v>0</v>
      </c>
      <c r="F8" s="1020">
        <f>'SEAP template'!F76</f>
        <v>0</v>
      </c>
      <c r="G8" s="1020">
        <f>'SEAP template'!G76</f>
        <v>0</v>
      </c>
      <c r="H8" s="1020">
        <f>'SEAP template'!H76</f>
        <v>0</v>
      </c>
      <c r="I8" s="1020">
        <f>'SEAP template'!I76</f>
        <v>6083.2685398406829</v>
      </c>
      <c r="J8" s="1020">
        <f>'SEAP template'!J76</f>
        <v>0</v>
      </c>
      <c r="K8" s="1020">
        <f>'SEAP template'!K76</f>
        <v>0</v>
      </c>
      <c r="L8" s="1020">
        <f>'SEAP template'!L76</f>
        <v>0</v>
      </c>
      <c r="M8" s="1020">
        <f>'SEAP template'!M76</f>
        <v>0</v>
      </c>
      <c r="N8" s="1020">
        <f>'SEAP template'!N76</f>
        <v>0</v>
      </c>
      <c r="O8" s="1020">
        <f>'SEAP template'!O76</f>
        <v>0</v>
      </c>
      <c r="P8" s="1021">
        <f>'SEAP template'!Q76</f>
        <v>18560.287990246306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12321.847764167618</v>
      </c>
      <c r="C10" s="1024">
        <f>SUM(C4:C9)</f>
        <v>78100.221741135407</v>
      </c>
      <c r="D10" s="1024">
        <f t="shared" ref="D10:H10" si="0">SUM(D8:D9)</f>
        <v>91882.613813100514</v>
      </c>
      <c r="E10" s="1024">
        <f t="shared" si="0"/>
        <v>0</v>
      </c>
      <c r="F10" s="1024">
        <f t="shared" si="0"/>
        <v>0</v>
      </c>
      <c r="G10" s="1024">
        <f t="shared" si="0"/>
        <v>0</v>
      </c>
      <c r="H10" s="1024">
        <f t="shared" si="0"/>
        <v>0</v>
      </c>
      <c r="I10" s="1024">
        <f>SUM(I8:I9)</f>
        <v>6083.2685398406829</v>
      </c>
      <c r="J10" s="1024">
        <f>SUM(J8:J9)</f>
        <v>0</v>
      </c>
      <c r="K10" s="1024">
        <f t="shared" ref="K10:L10" si="1">SUM(K8:K9)</f>
        <v>0</v>
      </c>
      <c r="L10" s="1024">
        <f t="shared" si="1"/>
        <v>0</v>
      </c>
      <c r="M10" s="1024">
        <f>SUM(M8:M9)</f>
        <v>0</v>
      </c>
      <c r="N10" s="1024">
        <f>SUM(N8:N9)</f>
        <v>0</v>
      </c>
      <c r="O10" s="1024">
        <f>SUM(O8:O9)</f>
        <v>0</v>
      </c>
      <c r="P10" s="1024">
        <f>SUM(P8:P9)</f>
        <v>18560.287990246306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0.2128568401763995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7276.4092411354204</v>
      </c>
      <c r="C17" s="1026">
        <f>'SEAP template'!C87</f>
        <v>109903.99254457887</v>
      </c>
      <c r="D17" s="1021">
        <f>'SEAP template'!D87</f>
        <v>129298.8147583281</v>
      </c>
      <c r="E17" s="1021">
        <f>'SEAP template'!E87</f>
        <v>0</v>
      </c>
      <c r="F17" s="1021">
        <f>'SEAP template'!F87</f>
        <v>0</v>
      </c>
      <c r="G17" s="1021">
        <f>'SEAP template'!G87</f>
        <v>0</v>
      </c>
      <c r="H17" s="1021">
        <f>'SEAP template'!H87</f>
        <v>0</v>
      </c>
      <c r="I17" s="1021">
        <f>'SEAP template'!I87</f>
        <v>8560.4814601593189</v>
      </c>
      <c r="J17" s="1021">
        <f>'SEAP template'!J87</f>
        <v>0</v>
      </c>
      <c r="K17" s="1021">
        <f>'SEAP template'!K87</f>
        <v>0</v>
      </c>
      <c r="L17" s="1021">
        <f>'SEAP template'!L87</f>
        <v>0</v>
      </c>
      <c r="M17" s="1021">
        <f>'SEAP template'!M87</f>
        <v>0</v>
      </c>
      <c r="N17" s="1021">
        <f>'SEAP template'!N87</f>
        <v>0</v>
      </c>
      <c r="O17" s="1021">
        <f>'SEAP template'!O87</f>
        <v>0</v>
      </c>
      <c r="P17" s="1021">
        <f>'SEAP template'!Q87</f>
        <v>26118.360581182278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7276.4092411354204</v>
      </c>
      <c r="C20" s="1024">
        <f>SUM(C17:C19)</f>
        <v>109903.99254457887</v>
      </c>
      <c r="D20" s="1024">
        <f t="shared" ref="D20:H20" si="2">SUM(D17:D19)</f>
        <v>129298.8147583281</v>
      </c>
      <c r="E20" s="1024">
        <f t="shared" si="2"/>
        <v>0</v>
      </c>
      <c r="F20" s="1024">
        <f t="shared" si="2"/>
        <v>0</v>
      </c>
      <c r="G20" s="1024">
        <f t="shared" si="2"/>
        <v>0</v>
      </c>
      <c r="H20" s="1024">
        <f t="shared" si="2"/>
        <v>0</v>
      </c>
      <c r="I20" s="1024">
        <f>SUM(I17:I19)</f>
        <v>8560.4814601593189</v>
      </c>
      <c r="J20" s="1024">
        <f>SUM(J17:J19)</f>
        <v>0</v>
      </c>
      <c r="K20" s="1024">
        <f t="shared" ref="K20:L20" si="3">SUM(K17:K19)</f>
        <v>0</v>
      </c>
      <c r="L20" s="1024">
        <f t="shared" si="3"/>
        <v>0</v>
      </c>
      <c r="M20" s="1024">
        <f>SUM(M17:M19)</f>
        <v>0</v>
      </c>
      <c r="N20" s="1024">
        <f>SUM(N17:N19)</f>
        <v>0</v>
      </c>
      <c r="O20" s="1024">
        <f>SUM(O17:O19)</f>
        <v>0</v>
      </c>
      <c r="P20" s="1024">
        <f>SUM(P17:P19)</f>
        <v>26118.360581182278</v>
      </c>
    </row>
    <row r="22" spans="1:16">
      <c r="A22" s="461" t="s">
        <v>856</v>
      </c>
      <c r="B22" s="767" t="s">
        <v>850</v>
      </c>
      <c r="C22" s="767">
        <f ca="1">'EF ele_warmte'!B22</f>
        <v>0.22289017773590214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0.2128568401763995</v>
      </c>
      <c r="C17" s="498">
        <f ca="1">'EF ele_warmte'!B22</f>
        <v>0.22289017773590214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0.2128568401763995</v>
      </c>
      <c r="C17" s="498">
        <f ca="1">'EF ele_warmte'!B22</f>
        <v>0.22289017773590214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0.2128568401763995</v>
      </c>
      <c r="C29" s="499">
        <f ca="1">'EF ele_warmte'!B22</f>
        <v>0.22289017773590214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7043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646</v>
      </c>
      <c r="C14" s="327"/>
      <c r="D14" s="327"/>
      <c r="E14" s="327"/>
      <c r="F14" s="327"/>
    </row>
    <row r="15" spans="1:6">
      <c r="A15" s="1296" t="s">
        <v>177</v>
      </c>
      <c r="B15" s="1297">
        <v>5</v>
      </c>
      <c r="C15" s="327"/>
      <c r="D15" s="327"/>
      <c r="E15" s="327"/>
      <c r="F15" s="327"/>
    </row>
    <row r="16" spans="1:6">
      <c r="A16" s="1296" t="s">
        <v>6</v>
      </c>
      <c r="B16" s="1297">
        <v>121</v>
      </c>
      <c r="C16" s="327"/>
      <c r="D16" s="327"/>
      <c r="E16" s="327"/>
      <c r="F16" s="327"/>
    </row>
    <row r="17" spans="1:6">
      <c r="A17" s="1296" t="s">
        <v>7</v>
      </c>
      <c r="B17" s="1297">
        <v>88</v>
      </c>
      <c r="C17" s="327"/>
      <c r="D17" s="327"/>
      <c r="E17" s="327"/>
      <c r="F17" s="327"/>
    </row>
    <row r="18" spans="1:6">
      <c r="A18" s="1296" t="s">
        <v>8</v>
      </c>
      <c r="B18" s="1297">
        <v>131</v>
      </c>
      <c r="C18" s="327"/>
      <c r="D18" s="327"/>
      <c r="E18" s="327"/>
      <c r="F18" s="327"/>
    </row>
    <row r="19" spans="1:6">
      <c r="A19" s="1296" t="s">
        <v>9</v>
      </c>
      <c r="B19" s="1297">
        <v>121</v>
      </c>
      <c r="C19" s="327"/>
      <c r="D19" s="327"/>
      <c r="E19" s="327"/>
      <c r="F19" s="327"/>
    </row>
    <row r="20" spans="1:6">
      <c r="A20" s="1296" t="s">
        <v>10</v>
      </c>
      <c r="B20" s="1297">
        <v>168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159</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111</v>
      </c>
      <c r="C29" s="327"/>
      <c r="D29" s="327"/>
      <c r="E29" s="327"/>
      <c r="F29" s="327"/>
    </row>
    <row r="30" spans="1:6">
      <c r="A30" s="1291" t="s">
        <v>923</v>
      </c>
      <c r="B30" s="1299">
        <v>31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17903.178028396502</v>
      </c>
    </row>
    <row r="37" spans="1:6">
      <c r="A37" s="1296" t="s">
        <v>24</v>
      </c>
      <c r="B37" s="1296" t="s">
        <v>27</v>
      </c>
      <c r="C37" s="1297">
        <v>0</v>
      </c>
      <c r="D37" s="1297">
        <v>0</v>
      </c>
      <c r="E37" s="1297">
        <v>0</v>
      </c>
      <c r="F37" s="1297">
        <v>0</v>
      </c>
    </row>
    <row r="38" spans="1:6">
      <c r="A38" s="1296" t="s">
        <v>24</v>
      </c>
      <c r="B38" s="1296" t="s">
        <v>28</v>
      </c>
      <c r="C38" s="1297">
        <v>1</v>
      </c>
      <c r="D38" s="1297">
        <v>45381191.363899998</v>
      </c>
      <c r="E38" s="1297">
        <v>4</v>
      </c>
      <c r="F38" s="1297">
        <v>1463398.8142879501</v>
      </c>
    </row>
    <row r="39" spans="1:6">
      <c r="A39" s="1296" t="s">
        <v>29</v>
      </c>
      <c r="B39" s="1296" t="s">
        <v>30</v>
      </c>
      <c r="C39" s="1297">
        <v>5363</v>
      </c>
      <c r="D39" s="1297">
        <v>97395574.113155693</v>
      </c>
      <c r="E39" s="1297">
        <v>6909</v>
      </c>
      <c r="F39" s="1297">
        <v>27326613.229554798</v>
      </c>
    </row>
    <row r="40" spans="1:6">
      <c r="A40" s="1296" t="s">
        <v>29</v>
      </c>
      <c r="B40" s="1296" t="s">
        <v>28</v>
      </c>
      <c r="C40" s="1297">
        <v>0</v>
      </c>
      <c r="D40" s="1297">
        <v>0</v>
      </c>
      <c r="E40" s="1297">
        <v>0</v>
      </c>
      <c r="F40" s="1297">
        <v>0</v>
      </c>
    </row>
    <row r="41" spans="1:6">
      <c r="A41" s="1296" t="s">
        <v>31</v>
      </c>
      <c r="B41" s="1296" t="s">
        <v>32</v>
      </c>
      <c r="C41" s="1297">
        <v>33</v>
      </c>
      <c r="D41" s="1297">
        <v>969340.87676507502</v>
      </c>
      <c r="E41" s="1297">
        <v>87</v>
      </c>
      <c r="F41" s="1297">
        <v>871782.25471929205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235519.63957870399</v>
      </c>
      <c r="E44" s="1297">
        <v>12</v>
      </c>
      <c r="F44" s="1297">
        <v>390691.45209125202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51096.727454994398</v>
      </c>
      <c r="E47" s="1297">
        <v>9</v>
      </c>
      <c r="F47" s="1297">
        <v>76788688.236027807</v>
      </c>
    </row>
    <row r="48" spans="1:6">
      <c r="A48" s="1296" t="s">
        <v>31</v>
      </c>
      <c r="B48" s="1296" t="s">
        <v>28</v>
      </c>
      <c r="C48" s="1297">
        <v>33</v>
      </c>
      <c r="D48" s="1297">
        <v>389300379.16651303</v>
      </c>
      <c r="E48" s="1297">
        <v>33</v>
      </c>
      <c r="F48" s="1297">
        <v>13493997.324123001</v>
      </c>
    </row>
    <row r="49" spans="1:6">
      <c r="A49" s="1296" t="s">
        <v>31</v>
      </c>
      <c r="B49" s="1296" t="s">
        <v>39</v>
      </c>
      <c r="C49" s="1297">
        <v>0</v>
      </c>
      <c r="D49" s="1297">
        <v>0</v>
      </c>
      <c r="E49" s="1297">
        <v>0</v>
      </c>
      <c r="F49" s="1297">
        <v>0</v>
      </c>
    </row>
    <row r="50" spans="1:6">
      <c r="A50" s="1296" t="s">
        <v>31</v>
      </c>
      <c r="B50" s="1296" t="s">
        <v>40</v>
      </c>
      <c r="C50" s="1297">
        <v>6</v>
      </c>
      <c r="D50" s="1297">
        <v>166966.08984336301</v>
      </c>
      <c r="E50" s="1297">
        <v>6</v>
      </c>
      <c r="F50" s="1297">
        <v>369513.12084927701</v>
      </c>
    </row>
    <row r="51" spans="1:6">
      <c r="A51" s="1296" t="s">
        <v>41</v>
      </c>
      <c r="B51" s="1296" t="s">
        <v>42</v>
      </c>
      <c r="C51" s="1297">
        <v>24</v>
      </c>
      <c r="D51" s="1297">
        <v>304399117.34307802</v>
      </c>
      <c r="E51" s="1297">
        <v>70</v>
      </c>
      <c r="F51" s="1297">
        <v>1776919.8567409499</v>
      </c>
    </row>
    <row r="52" spans="1:6">
      <c r="A52" s="1296" t="s">
        <v>41</v>
      </c>
      <c r="B52" s="1296" t="s">
        <v>28</v>
      </c>
      <c r="C52" s="1297">
        <v>5</v>
      </c>
      <c r="D52" s="1297">
        <v>11879798.4859582</v>
      </c>
      <c r="E52" s="1297">
        <v>13</v>
      </c>
      <c r="F52" s="1297">
        <v>7547352.5525515797</v>
      </c>
    </row>
    <row r="53" spans="1:6">
      <c r="A53" s="1296" t="s">
        <v>43</v>
      </c>
      <c r="B53" s="1296" t="s">
        <v>44</v>
      </c>
      <c r="C53" s="1297">
        <v>101</v>
      </c>
      <c r="D53" s="1297">
        <v>2938895.0082140798</v>
      </c>
      <c r="E53" s="1297">
        <v>190</v>
      </c>
      <c r="F53" s="1297">
        <v>739758.61496566201</v>
      </c>
    </row>
    <row r="54" spans="1:6">
      <c r="A54" s="1296" t="s">
        <v>45</v>
      </c>
      <c r="B54" s="1296" t="s">
        <v>46</v>
      </c>
      <c r="C54" s="1297">
        <v>0</v>
      </c>
      <c r="D54" s="1297">
        <v>0</v>
      </c>
      <c r="E54" s="1297">
        <v>1</v>
      </c>
      <c r="F54" s="1297">
        <v>1272765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56</v>
      </c>
      <c r="D57" s="1297">
        <v>6549267.9112943299</v>
      </c>
      <c r="E57" s="1297">
        <v>129</v>
      </c>
      <c r="F57" s="1297">
        <v>15900238.256693</v>
      </c>
    </row>
    <row r="58" spans="1:6">
      <c r="A58" s="1296" t="s">
        <v>48</v>
      </c>
      <c r="B58" s="1296" t="s">
        <v>50</v>
      </c>
      <c r="C58" s="1297">
        <v>48</v>
      </c>
      <c r="D58" s="1297">
        <v>21785834.6308522</v>
      </c>
      <c r="E58" s="1297">
        <v>53</v>
      </c>
      <c r="F58" s="1297">
        <v>7571573.8285648497</v>
      </c>
    </row>
    <row r="59" spans="1:6">
      <c r="A59" s="1296" t="s">
        <v>48</v>
      </c>
      <c r="B59" s="1296" t="s">
        <v>51</v>
      </c>
      <c r="C59" s="1297">
        <v>83</v>
      </c>
      <c r="D59" s="1297">
        <v>2579538.5731214299</v>
      </c>
      <c r="E59" s="1297">
        <v>142</v>
      </c>
      <c r="F59" s="1297">
        <v>3369943.26929323</v>
      </c>
    </row>
    <row r="60" spans="1:6">
      <c r="A60" s="1296" t="s">
        <v>48</v>
      </c>
      <c r="B60" s="1296" t="s">
        <v>52</v>
      </c>
      <c r="C60" s="1297">
        <v>31</v>
      </c>
      <c r="D60" s="1297">
        <v>1908216.1362733401</v>
      </c>
      <c r="E60" s="1297">
        <v>48</v>
      </c>
      <c r="F60" s="1297">
        <v>1269554.1324183401</v>
      </c>
    </row>
    <row r="61" spans="1:6">
      <c r="A61" s="1296" t="s">
        <v>48</v>
      </c>
      <c r="B61" s="1296" t="s">
        <v>53</v>
      </c>
      <c r="C61" s="1297">
        <v>127</v>
      </c>
      <c r="D61" s="1297">
        <v>5440736.8299941001</v>
      </c>
      <c r="E61" s="1297">
        <v>229</v>
      </c>
      <c r="F61" s="1297">
        <v>3129838.5043310001</v>
      </c>
    </row>
    <row r="62" spans="1:6">
      <c r="A62" s="1296" t="s">
        <v>48</v>
      </c>
      <c r="B62" s="1296" t="s">
        <v>54</v>
      </c>
      <c r="C62" s="1297">
        <v>4</v>
      </c>
      <c r="D62" s="1297">
        <v>1085967.72973672</v>
      </c>
      <c r="E62" s="1297">
        <v>4</v>
      </c>
      <c r="F62" s="1297">
        <v>389038.68970901403</v>
      </c>
    </row>
    <row r="63" spans="1:6">
      <c r="A63" s="1296" t="s">
        <v>48</v>
      </c>
      <c r="B63" s="1296" t="s">
        <v>28</v>
      </c>
      <c r="C63" s="1297">
        <v>69</v>
      </c>
      <c r="D63" s="1297">
        <v>9016272.2278427202</v>
      </c>
      <c r="E63" s="1297">
        <v>93</v>
      </c>
      <c r="F63" s="1297">
        <v>3319648.6637250702</v>
      </c>
    </row>
    <row r="64" spans="1:6">
      <c r="A64" s="1296" t="s">
        <v>55</v>
      </c>
      <c r="B64" s="1296" t="s">
        <v>56</v>
      </c>
      <c r="C64" s="1297">
        <v>0</v>
      </c>
      <c r="D64" s="1297">
        <v>0</v>
      </c>
      <c r="E64" s="1297">
        <v>0</v>
      </c>
      <c r="F64" s="1297">
        <v>0</v>
      </c>
    </row>
    <row r="65" spans="1:6">
      <c r="A65" s="1296" t="s">
        <v>55</v>
      </c>
      <c r="B65" s="1296" t="s">
        <v>28</v>
      </c>
      <c r="C65" s="1297">
        <v>2</v>
      </c>
      <c r="D65" s="1297">
        <v>178681.72703189499</v>
      </c>
      <c r="E65" s="1297">
        <v>2</v>
      </c>
      <c r="F65" s="1297">
        <v>8131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60841.730664351999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48084832</v>
      </c>
      <c r="E73" s="446"/>
      <c r="F73" s="327"/>
    </row>
    <row r="74" spans="1:6">
      <c r="A74" s="1296" t="s">
        <v>63</v>
      </c>
      <c r="B74" s="1296" t="s">
        <v>706</v>
      </c>
      <c r="C74" s="1309" t="s">
        <v>707</v>
      </c>
      <c r="D74" s="1297">
        <v>3863572.2052388755</v>
      </c>
      <c r="E74" s="446"/>
      <c r="F74" s="327"/>
    </row>
    <row r="75" spans="1:6">
      <c r="A75" s="1296" t="s">
        <v>64</v>
      </c>
      <c r="B75" s="1296" t="s">
        <v>704</v>
      </c>
      <c r="C75" s="1309" t="s">
        <v>708</v>
      </c>
      <c r="D75" s="1297">
        <v>5278233</v>
      </c>
      <c r="E75" s="446"/>
      <c r="F75" s="327"/>
    </row>
    <row r="76" spans="1:6">
      <c r="A76" s="1296" t="s">
        <v>64</v>
      </c>
      <c r="B76" s="1296" t="s">
        <v>706</v>
      </c>
      <c r="C76" s="1309" t="s">
        <v>709</v>
      </c>
      <c r="D76" s="1297">
        <v>136175.20523887558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371311.58952224883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2187.8405416050573</v>
      </c>
      <c r="C91" s="327"/>
      <c r="D91" s="327"/>
      <c r="E91" s="327"/>
      <c r="F91" s="327"/>
    </row>
    <row r="92" spans="1:6">
      <c r="A92" s="1291" t="s">
        <v>68</v>
      </c>
      <c r="B92" s="1292">
        <v>4963.2289636979804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3973</v>
      </c>
      <c r="C97" s="327"/>
      <c r="D97" s="327"/>
      <c r="E97" s="327"/>
      <c r="F97" s="327"/>
    </row>
    <row r="98" spans="1:6">
      <c r="A98" s="1296" t="s">
        <v>71</v>
      </c>
      <c r="B98" s="1297">
        <v>11</v>
      </c>
      <c r="C98" s="327"/>
      <c r="D98" s="327"/>
      <c r="E98" s="327"/>
      <c r="F98" s="327"/>
    </row>
    <row r="99" spans="1:6">
      <c r="A99" s="1296" t="s">
        <v>72</v>
      </c>
      <c r="B99" s="1297">
        <v>28</v>
      </c>
      <c r="C99" s="327"/>
      <c r="D99" s="327"/>
      <c r="E99" s="327"/>
      <c r="F99" s="327"/>
    </row>
    <row r="100" spans="1:6">
      <c r="A100" s="1296" t="s">
        <v>73</v>
      </c>
      <c r="B100" s="1297">
        <v>541</v>
      </c>
      <c r="C100" s="327"/>
      <c r="D100" s="327"/>
      <c r="E100" s="327"/>
      <c r="F100" s="327"/>
    </row>
    <row r="101" spans="1:6">
      <c r="A101" s="1296" t="s">
        <v>74</v>
      </c>
      <c r="B101" s="1297">
        <v>56</v>
      </c>
      <c r="C101" s="327"/>
      <c r="D101" s="327"/>
      <c r="E101" s="327"/>
      <c r="F101" s="327"/>
    </row>
    <row r="102" spans="1:6">
      <c r="A102" s="1296" t="s">
        <v>75</v>
      </c>
      <c r="B102" s="1297">
        <v>72</v>
      </c>
      <c r="C102" s="327"/>
      <c r="D102" s="327"/>
      <c r="E102" s="327"/>
      <c r="F102" s="327"/>
    </row>
    <row r="103" spans="1:6">
      <c r="A103" s="1296" t="s">
        <v>76</v>
      </c>
      <c r="B103" s="1297">
        <v>142</v>
      </c>
      <c r="C103" s="327"/>
      <c r="D103" s="327"/>
      <c r="E103" s="327"/>
      <c r="F103" s="327"/>
    </row>
    <row r="104" spans="1:6">
      <c r="A104" s="1296" t="s">
        <v>77</v>
      </c>
      <c r="B104" s="1297">
        <v>1380</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42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69</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174746.58501747169</v>
      </c>
      <c r="C3" s="43" t="s">
        <v>163</v>
      </c>
      <c r="D3" s="43"/>
      <c r="E3" s="156"/>
      <c r="F3" s="43"/>
      <c r="G3" s="43"/>
      <c r="H3" s="43"/>
      <c r="I3" s="43"/>
      <c r="J3" s="43"/>
      <c r="K3" s="96"/>
    </row>
    <row r="4" spans="1:11">
      <c r="A4" s="353" t="s">
        <v>164</v>
      </c>
      <c r="B4" s="49">
        <f>IF(ISERROR('SEAP template'!B78+'SEAP template'!C78),0,'SEAP template'!B78+'SEAP template'!C78)</f>
        <v>90422.069505303021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18560.287990246306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0.2128568401763995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26118.360581182278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117180.40178571428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0.22289017773590214</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1272.7650000000001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1272.7650000000001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0.2128568401763995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270.91673618711513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27326.613229554798</v>
      </c>
      <c r="C5" s="17">
        <f>IF(ISERROR('Eigen informatie GS &amp; warmtenet'!B57),0,'Eigen informatie GS &amp; warmtenet'!B57)</f>
        <v>0</v>
      </c>
      <c r="D5" s="30">
        <f>(SUM(HH_hh_gas_kWh,HH_rest_gas_kWh)/1000)*0.902</f>
        <v>87850.807850066427</v>
      </c>
      <c r="E5" s="17">
        <f>B32*B41</f>
        <v>1107.2121385699757</v>
      </c>
      <c r="F5" s="17">
        <f>B36*B45</f>
        <v>33931.03942831466</v>
      </c>
      <c r="G5" s="18"/>
      <c r="H5" s="17"/>
      <c r="I5" s="17"/>
      <c r="J5" s="17">
        <f>B35*B44+C35*C44</f>
        <v>642.58632415564261</v>
      </c>
      <c r="K5" s="17"/>
      <c r="L5" s="17"/>
      <c r="M5" s="17"/>
      <c r="N5" s="17">
        <f>B34*B43+C34*C43</f>
        <v>10611.578885765372</v>
      </c>
      <c r="O5" s="17">
        <f>B52*B53*B54</f>
        <v>173.53000000000003</v>
      </c>
      <c r="P5" s="17">
        <f>B60*B61*B62/1000-B60*B61*B62/1000/B63</f>
        <v>381.33333333333337</v>
      </c>
    </row>
    <row r="6" spans="1:16">
      <c r="A6" s="16" t="s">
        <v>617</v>
      </c>
      <c r="B6" s="769">
        <f>kWh_PV_kleiner_dan_10kW</f>
        <v>2187.8405416050573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29514.453771159853</v>
      </c>
      <c r="C8" s="21">
        <f>C5</f>
        <v>0</v>
      </c>
      <c r="D8" s="21">
        <f>D5</f>
        <v>87850.807850066427</v>
      </c>
      <c r="E8" s="21">
        <f>E5</f>
        <v>1107.2121385699757</v>
      </c>
      <c r="F8" s="21">
        <f>F5</f>
        <v>33931.03942831466</v>
      </c>
      <c r="G8" s="21"/>
      <c r="H8" s="21"/>
      <c r="I8" s="21"/>
      <c r="J8" s="21">
        <f>J5</f>
        <v>642.58632415564261</v>
      </c>
      <c r="K8" s="21"/>
      <c r="L8" s="21">
        <f>L5</f>
        <v>0</v>
      </c>
      <c r="M8" s="21">
        <f>M5</f>
        <v>0</v>
      </c>
      <c r="N8" s="21">
        <f>N5</f>
        <v>10611.578885765372</v>
      </c>
      <c r="O8" s="21">
        <f>O5</f>
        <v>173.53000000000003</v>
      </c>
      <c r="P8" s="21">
        <f>P5</f>
        <v>381.33333333333337</v>
      </c>
    </row>
    <row r="9" spans="1:16">
      <c r="B9" s="19"/>
      <c r="C9" s="19"/>
      <c r="D9" s="257"/>
      <c r="E9" s="19"/>
      <c r="F9" s="19"/>
      <c r="G9" s="19"/>
      <c r="H9" s="19"/>
      <c r="I9" s="19"/>
      <c r="J9" s="19"/>
      <c r="K9" s="19"/>
      <c r="L9" s="19"/>
      <c r="M9" s="19"/>
      <c r="N9" s="19"/>
      <c r="O9" s="19"/>
      <c r="P9" s="19"/>
    </row>
    <row r="10" spans="1:16">
      <c r="A10" s="24" t="s">
        <v>207</v>
      </c>
      <c r="B10" s="25">
        <f ca="1">'EF ele_warmte'!B12</f>
        <v>0.2128568401763995</v>
      </c>
      <c r="C10" s="25">
        <f ca="1">'EF ele_warmte'!B22</f>
        <v>0.22289017773590214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6282.3533692615047</v>
      </c>
      <c r="C12" s="23">
        <f ca="1">C10*C8</f>
        <v>0</v>
      </c>
      <c r="D12" s="23">
        <f>D8*D10</f>
        <v>17745.863185713421</v>
      </c>
      <c r="E12" s="23">
        <f>E10*E8</f>
        <v>251.33715545538448</v>
      </c>
      <c r="F12" s="23">
        <f>F10*F8</f>
        <v>9059.5875273600141</v>
      </c>
      <c r="G12" s="23"/>
      <c r="H12" s="23"/>
      <c r="I12" s="23"/>
      <c r="J12" s="23">
        <f>J10*J8</f>
        <v>227.47555875109748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7043</v>
      </c>
      <c r="C26" s="36"/>
      <c r="D26" s="227"/>
    </row>
    <row r="27" spans="1:5" s="15" customFormat="1">
      <c r="A27" s="229" t="s">
        <v>722</v>
      </c>
      <c r="B27" s="37">
        <f>SUM(HH_hh_gas_aantal,HH_rest_gas_aantal)</f>
        <v>5363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5094.8500000000004</v>
      </c>
      <c r="C31" s="34" t="s">
        <v>104</v>
      </c>
      <c r="D31" s="173"/>
    </row>
    <row r="32" spans="1:5">
      <c r="A32" s="170" t="s">
        <v>72</v>
      </c>
      <c r="B32" s="33">
        <f>IF((B21*($B$26-($B$27-0.05*$B$27)-$B$60))&lt;0,0,B21*($B$26-($B$27-0.05*$B$27)-$B$60))</f>
        <v>48.283887879446794</v>
      </c>
      <c r="C32" s="34" t="s">
        <v>104</v>
      </c>
      <c r="D32" s="173"/>
    </row>
    <row r="33" spans="1:6">
      <c r="A33" s="170" t="s">
        <v>73</v>
      </c>
      <c r="B33" s="33">
        <f>IF((B22*($B$26-($B$27-0.05*$B$27)-$B$60))&lt;0,0,B22*($B$26-($B$27-0.05*$B$27)-$B$60))</f>
        <v>325.00719467989364</v>
      </c>
      <c r="C33" s="34" t="s">
        <v>104</v>
      </c>
      <c r="D33" s="173"/>
    </row>
    <row r="34" spans="1:6">
      <c r="A34" s="170" t="s">
        <v>74</v>
      </c>
      <c r="B34" s="33">
        <f>IF((B24*($B$26-($B$27-0.05*$B$27)-$B$60))&lt;0,0,B24*($B$26-($B$27-0.05*$B$27)-$B$60))</f>
        <v>82.458730606104737</v>
      </c>
      <c r="C34" s="33">
        <f>B26*C24</f>
        <v>1440.7165563094895</v>
      </c>
      <c r="D34" s="232"/>
    </row>
    <row r="35" spans="1:6">
      <c r="A35" s="170" t="s">
        <v>76</v>
      </c>
      <c r="B35" s="33">
        <f>IF((B19*($B$26-($B$27-0.05*$B$27)-$B$60))&lt;0,0,B19*($B$26-($B$27-0.05*$B$27)-$B$60))</f>
        <v>30.644372873282641</v>
      </c>
      <c r="C35" s="33">
        <f>B35/2</f>
        <v>15.322186436641321</v>
      </c>
      <c r="D35" s="232"/>
    </row>
    <row r="36" spans="1:6">
      <c r="A36" s="170" t="s">
        <v>77</v>
      </c>
      <c r="B36" s="33">
        <f>IF((B18*($B$26-($B$27-0.05*$B$27)-$B$60))&lt;0,0,B18*($B$26-($B$27-0.05*$B$27)-$B$60))</f>
        <v>1441.755813961272</v>
      </c>
      <c r="C36" s="34" t="s">
        <v>104</v>
      </c>
      <c r="D36" s="173"/>
    </row>
    <row r="37" spans="1:6">
      <c r="A37" s="170" t="s">
        <v>78</v>
      </c>
      <c r="B37" s="33">
        <f>B60</f>
        <v>20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34949.8353447345</v>
      </c>
      <c r="C5" s="17">
        <f>IF(ISERROR('Eigen informatie GS &amp; warmtenet'!B58),0,'Eigen informatie GS &amp; warmtenet'!B58)</f>
        <v>0</v>
      </c>
      <c r="D5" s="30">
        <f>SUM(D6:D12)</f>
        <v>43625.982303281584</v>
      </c>
      <c r="E5" s="17">
        <f>SUM(E6:E12)</f>
        <v>254.08447746297543</v>
      </c>
      <c r="F5" s="17">
        <f>SUM(F6:F12)</f>
        <v>8222.0346536772322</v>
      </c>
      <c r="G5" s="18"/>
      <c r="H5" s="17"/>
      <c r="I5" s="17"/>
      <c r="J5" s="17">
        <f>SUM(J6:J12)</f>
        <v>0</v>
      </c>
      <c r="K5" s="17"/>
      <c r="L5" s="17"/>
      <c r="M5" s="17"/>
      <c r="N5" s="17">
        <f>SUM(N6:N12)</f>
        <v>11421.247110694621</v>
      </c>
      <c r="O5" s="17">
        <f>B38*B39*B40</f>
        <v>0</v>
      </c>
      <c r="P5" s="17">
        <f>B46*B47*B48/1000-B46*B47*B48/1000/B49</f>
        <v>0</v>
      </c>
      <c r="R5" s="32"/>
    </row>
    <row r="6" spans="1:18">
      <c r="A6" s="32" t="s">
        <v>53</v>
      </c>
      <c r="B6" s="37">
        <f>B26</f>
        <v>3129.838504331</v>
      </c>
      <c r="C6" s="33"/>
      <c r="D6" s="37">
        <f>IF(ISERROR(TER_kantoor_gas_kWh/1000),0,TER_kantoor_gas_kWh/1000)*0.902</f>
        <v>4907.5446206546785</v>
      </c>
      <c r="E6" s="33">
        <f>$C$26*'E Balans VL '!I12/100/3.6*1000000</f>
        <v>12.160085214745067</v>
      </c>
      <c r="F6" s="33">
        <f>$C$26*('E Balans VL '!L12+'E Balans VL '!N12)/100/3.6*1000000</f>
        <v>476.0199572489193</v>
      </c>
      <c r="G6" s="34"/>
      <c r="H6" s="33"/>
      <c r="I6" s="33"/>
      <c r="J6" s="33">
        <f>$C$26*('E Balans VL '!D12+'E Balans VL '!E12)/100/3.6*1000000</f>
        <v>0</v>
      </c>
      <c r="K6" s="33"/>
      <c r="L6" s="33"/>
      <c r="M6" s="33"/>
      <c r="N6" s="33">
        <f>$C$26*'E Balans VL '!Y12/100/3.6*1000000</f>
        <v>1.7249159613054401</v>
      </c>
      <c r="O6" s="33"/>
      <c r="P6" s="33"/>
      <c r="R6" s="32"/>
    </row>
    <row r="7" spans="1:18">
      <c r="A7" s="32" t="s">
        <v>52</v>
      </c>
      <c r="B7" s="37">
        <f t="shared" ref="B7:B12" si="0">B27</f>
        <v>1269.55413241834</v>
      </c>
      <c r="C7" s="33"/>
      <c r="D7" s="37">
        <f>IF(ISERROR(TER_horeca_gas_kWh/1000),0,TER_horeca_gas_kWh/1000)*0.902</f>
        <v>1721.2109549185527</v>
      </c>
      <c r="E7" s="33">
        <f>$C$27*'E Balans VL '!I9/100/3.6*1000000</f>
        <v>71.514323701663741</v>
      </c>
      <c r="F7" s="33">
        <f>$C$27*('E Balans VL '!L9+'E Balans VL '!N9)/100/3.6*1000000</f>
        <v>366.06340513514107</v>
      </c>
      <c r="G7" s="34"/>
      <c r="H7" s="33"/>
      <c r="I7" s="33"/>
      <c r="J7" s="33">
        <f>$C$27*('E Balans VL '!D9+'E Balans VL '!E9)/100/3.6*1000000</f>
        <v>0</v>
      </c>
      <c r="K7" s="33"/>
      <c r="L7" s="33"/>
      <c r="M7" s="33"/>
      <c r="N7" s="33">
        <f>$C$27*'E Balans VL '!Y9/100/3.6*1000000</f>
        <v>0.35051729873671916</v>
      </c>
      <c r="O7" s="33"/>
      <c r="P7" s="33"/>
      <c r="R7" s="32"/>
    </row>
    <row r="8" spans="1:18">
      <c r="A8" s="6" t="s">
        <v>51</v>
      </c>
      <c r="B8" s="37">
        <f t="shared" si="0"/>
        <v>3369.9432692932301</v>
      </c>
      <c r="C8" s="33"/>
      <c r="D8" s="37">
        <f>IF(ISERROR(TER_handel_gas_kWh/1000),0,TER_handel_gas_kWh/1000)*0.902</f>
        <v>2326.7437929555299</v>
      </c>
      <c r="E8" s="33">
        <f>$C$28*'E Balans VL '!I13/100/3.6*1000000</f>
        <v>48.572315590714773</v>
      </c>
      <c r="F8" s="33">
        <f>$C$28*('E Balans VL '!L13+'E Balans VL '!N13)/100/3.6*1000000</f>
        <v>585.43762655918943</v>
      </c>
      <c r="G8" s="34"/>
      <c r="H8" s="33"/>
      <c r="I8" s="33"/>
      <c r="J8" s="33">
        <f>$C$28*('E Balans VL '!D13+'E Balans VL '!E13)/100/3.6*1000000</f>
        <v>0</v>
      </c>
      <c r="K8" s="33"/>
      <c r="L8" s="33"/>
      <c r="M8" s="33"/>
      <c r="N8" s="33">
        <f>$C$28*'E Balans VL '!Y13/100/3.6*1000000</f>
        <v>10.0967251846154</v>
      </c>
      <c r="O8" s="33"/>
      <c r="P8" s="33"/>
      <c r="R8" s="32"/>
    </row>
    <row r="9" spans="1:18">
      <c r="A9" s="32" t="s">
        <v>50</v>
      </c>
      <c r="B9" s="37">
        <f t="shared" si="0"/>
        <v>7571.5738285648495</v>
      </c>
      <c r="C9" s="33"/>
      <c r="D9" s="37">
        <f>IF(ISERROR(TER_gezond_gas_kWh/1000),0,TER_gezond_gas_kWh/1000)*0.902</f>
        <v>19650.822837028685</v>
      </c>
      <c r="E9" s="33">
        <f>$C$29*'E Balans VL '!I10/100/3.6*1000000</f>
        <v>8.0884033287738326</v>
      </c>
      <c r="F9" s="33">
        <f>$C$29*('E Balans VL '!L10+'E Balans VL '!N10)/100/3.6*1000000</f>
        <v>1235.1538002024631</v>
      </c>
      <c r="G9" s="34"/>
      <c r="H9" s="33"/>
      <c r="I9" s="33"/>
      <c r="J9" s="33">
        <f>$C$29*('E Balans VL '!D10+'E Balans VL '!E10)/100/3.6*1000000</f>
        <v>0</v>
      </c>
      <c r="K9" s="33"/>
      <c r="L9" s="33"/>
      <c r="M9" s="33"/>
      <c r="N9" s="33">
        <f>$C$29*'E Balans VL '!Y10/100/3.6*1000000</f>
        <v>77.945032311238919</v>
      </c>
      <c r="O9" s="33"/>
      <c r="P9" s="33"/>
      <c r="R9" s="32"/>
    </row>
    <row r="10" spans="1:18">
      <c r="A10" s="32" t="s">
        <v>49</v>
      </c>
      <c r="B10" s="37">
        <f t="shared" si="0"/>
        <v>15900.238256692999</v>
      </c>
      <c r="C10" s="33"/>
      <c r="D10" s="37">
        <f>IF(ISERROR(TER_ander_gas_kWh/1000),0,TER_ander_gas_kWh/1000)*0.902</f>
        <v>5907.4396559874858</v>
      </c>
      <c r="E10" s="33">
        <f>$C$30*'E Balans VL '!I14/100/3.6*1000000</f>
        <v>73.122777136750372</v>
      </c>
      <c r="F10" s="33">
        <f>$C$30*('E Balans VL '!L14+'E Balans VL '!N14)/100/3.6*1000000</f>
        <v>4765.8029441229428</v>
      </c>
      <c r="G10" s="34"/>
      <c r="H10" s="33"/>
      <c r="I10" s="33"/>
      <c r="J10" s="33">
        <f>$C$30*('E Balans VL '!D14+'E Balans VL '!E14)/100/3.6*1000000</f>
        <v>0</v>
      </c>
      <c r="K10" s="33"/>
      <c r="L10" s="33"/>
      <c r="M10" s="33"/>
      <c r="N10" s="33">
        <f>$C$30*'E Balans VL '!Y14/100/3.6*1000000</f>
        <v>11067.615413607933</v>
      </c>
      <c r="O10" s="33"/>
      <c r="P10" s="33"/>
      <c r="R10" s="32"/>
    </row>
    <row r="11" spans="1:18">
      <c r="A11" s="32" t="s">
        <v>54</v>
      </c>
      <c r="B11" s="37">
        <f t="shared" si="0"/>
        <v>389.03868970901402</v>
      </c>
      <c r="C11" s="33"/>
      <c r="D11" s="37">
        <f>IF(ISERROR(TER_onderwijs_gas_kWh/1000),0,TER_onderwijs_gas_kWh/1000)*0.902</f>
        <v>979.54289222252146</v>
      </c>
      <c r="E11" s="33">
        <f>$C$31*'E Balans VL '!I11/100/3.6*1000000</f>
        <v>0.36088454670787584</v>
      </c>
      <c r="F11" s="33">
        <f>$C$31*('E Balans VL '!L11+'E Balans VL '!N11)/100/3.6*1000000</f>
        <v>136.66035028334727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3319.64866372507</v>
      </c>
      <c r="C12" s="33"/>
      <c r="D12" s="37">
        <f>IF(ISERROR(TER_rest_gas_kWh/1000),0,TER_rest_gas_kWh/1000)*0.902</f>
        <v>8132.6775495141346</v>
      </c>
      <c r="E12" s="33">
        <f>$C$32*'E Balans VL '!I8/100/3.6*1000000</f>
        <v>40.265687943619767</v>
      </c>
      <c r="F12" s="33">
        <f>$C$32*('E Balans VL '!L8+'E Balans VL '!N8)/100/3.6*1000000</f>
        <v>656.89657012522844</v>
      </c>
      <c r="G12" s="34"/>
      <c r="H12" s="33"/>
      <c r="I12" s="33"/>
      <c r="J12" s="33">
        <f>$C$32*('E Balans VL '!D8+'E Balans VL '!E8)/100/3.6*1000000</f>
        <v>0</v>
      </c>
      <c r="K12" s="33"/>
      <c r="L12" s="33"/>
      <c r="M12" s="33"/>
      <c r="N12" s="33">
        <f>$C$32*'E Balans VL '!Y8/100/3.6*1000000</f>
        <v>263.5145063307919</v>
      </c>
      <c r="O12" s="33"/>
      <c r="P12" s="33"/>
      <c r="R12" s="32"/>
    </row>
    <row r="13" spans="1:18">
      <c r="A13" s="16" t="s">
        <v>484</v>
      </c>
      <c r="B13" s="245">
        <f ca="1">'lokale energieproductie'!N47+'lokale energieproductie'!N40</f>
        <v>0</v>
      </c>
      <c r="C13" s="245">
        <f ca="1">'lokale energieproductie'!O47+'lokale energieproductie'!O40</f>
        <v>0</v>
      </c>
      <c r="D13" s="305">
        <f ca="1">('lokale energieproductie'!P40+'lokale energieproductie'!P47)*(-1)</f>
        <v>0</v>
      </c>
      <c r="E13" s="246"/>
      <c r="F13" s="305">
        <f ca="1">('lokale energieproductie'!S40+'lokale energieproductie'!S47)*(-1)</f>
        <v>0</v>
      </c>
      <c r="G13" s="247"/>
      <c r="H13" s="246"/>
      <c r="I13" s="246"/>
      <c r="J13" s="246"/>
      <c r="K13" s="246"/>
      <c r="L13" s="305">
        <f ca="1">('lokale energieproductie'!U40+'lokale energieproductie'!T40+'lokale energieproductie'!U47+'lokale energieproductie'!T47)*(-1)</f>
        <v>0</v>
      </c>
      <c r="M13" s="246"/>
      <c r="N13" s="305">
        <f ca="1">('lokale energieproductie'!Q40+'lokale energieproductie'!R40+'lokale energieproductie'!V40+'lokale energieproductie'!Q47+'lokale energieproductie'!R47+'lokale energieproductie'!V47)*(-1)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34949.8353447345</v>
      </c>
      <c r="C16" s="21">
        <f t="shared" ca="1" si="1"/>
        <v>0</v>
      </c>
      <c r="D16" s="21">
        <f t="shared" ca="1" si="1"/>
        <v>43625.982303281584</v>
      </c>
      <c r="E16" s="21">
        <f t="shared" si="1"/>
        <v>254.08447746297543</v>
      </c>
      <c r="F16" s="21">
        <f t="shared" ca="1" si="1"/>
        <v>8222.0346536772322</v>
      </c>
      <c r="G16" s="21">
        <f t="shared" si="1"/>
        <v>0</v>
      </c>
      <c r="H16" s="21">
        <f t="shared" si="1"/>
        <v>0</v>
      </c>
      <c r="I16" s="21">
        <f t="shared" si="1"/>
        <v>0</v>
      </c>
      <c r="J16" s="21">
        <f t="shared" si="1"/>
        <v>0</v>
      </c>
      <c r="K16" s="21">
        <f t="shared" si="1"/>
        <v>0</v>
      </c>
      <c r="L16" s="21">
        <f t="shared" ca="1" si="1"/>
        <v>0</v>
      </c>
      <c r="M16" s="21">
        <f t="shared" si="1"/>
        <v>0</v>
      </c>
      <c r="N16" s="21">
        <f t="shared" ca="1" si="1"/>
        <v>11421.247110694621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0.2128568401763995</v>
      </c>
      <c r="C18" s="25">
        <f ca="1">'EF ele_warmte'!B22</f>
        <v>0.22289017773590214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7439.3115161656297</v>
      </c>
      <c r="C20" s="23">
        <f t="shared" ref="C20:P20" ca="1" si="2">C16*C18</f>
        <v>0</v>
      </c>
      <c r="D20" s="23">
        <f t="shared" ca="1" si="2"/>
        <v>8812.4484252628808</v>
      </c>
      <c r="E20" s="23">
        <f t="shared" si="2"/>
        <v>57.677176384095425</v>
      </c>
      <c r="F20" s="23">
        <f t="shared" ca="1" si="2"/>
        <v>2195.2832525318213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3129.838504331</v>
      </c>
      <c r="C26" s="39">
        <f>IF(ISERROR(B26*3.6/1000000/'E Balans VL '!Z12*100),0,B26*3.6/1000000/'E Balans VL '!Z12*100)</f>
        <v>6.6479320152446578E-2</v>
      </c>
      <c r="D26" s="235" t="s">
        <v>672</v>
      </c>
      <c r="F26" s="6"/>
    </row>
    <row r="27" spans="1:18">
      <c r="A27" s="230" t="s">
        <v>52</v>
      </c>
      <c r="B27" s="33">
        <f>IF(ISERROR(TER_horeca_ele_kWh/1000),0,TER_horeca_ele_kWh/1000)</f>
        <v>1269.55413241834</v>
      </c>
      <c r="C27" s="39">
        <f>IF(ISERROR(B27*3.6/1000000/'E Balans VL '!Z9*100),0,B27*3.6/1000000/'E Balans VL '!Z9*100)</f>
        <v>9.871556547959312E-2</v>
      </c>
      <c r="D27" s="235" t="s">
        <v>672</v>
      </c>
      <c r="F27" s="6"/>
    </row>
    <row r="28" spans="1:18">
      <c r="A28" s="170" t="s">
        <v>51</v>
      </c>
      <c r="B28" s="33">
        <f>IF(ISERROR(TER_handel_ele_kWh/1000),0,TER_handel_ele_kWh/1000)</f>
        <v>3369.9432692932301</v>
      </c>
      <c r="C28" s="39">
        <f>IF(ISERROR(B28*3.6/1000000/'E Balans VL '!Z13*100),0,B28*3.6/1000000/'E Balans VL '!Z13*100)</f>
        <v>9.6418042960965497E-2</v>
      </c>
      <c r="D28" s="235" t="s">
        <v>672</v>
      </c>
      <c r="F28" s="6"/>
    </row>
    <row r="29" spans="1:18">
      <c r="A29" s="230" t="s">
        <v>50</v>
      </c>
      <c r="B29" s="33">
        <f>IF(ISERROR(TER_gezond_ele_kWh/1000),0,TER_gezond_ele_kWh/1000)</f>
        <v>7571.5738285648495</v>
      </c>
      <c r="C29" s="39">
        <f>IF(ISERROR(B29*3.6/1000000/'E Balans VL '!Z10*100),0,B29*3.6/1000000/'E Balans VL '!Z10*100)</f>
        <v>0.82547748958826606</v>
      </c>
      <c r="D29" s="235" t="s">
        <v>672</v>
      </c>
      <c r="F29" s="6"/>
    </row>
    <row r="30" spans="1:18">
      <c r="A30" s="230" t="s">
        <v>49</v>
      </c>
      <c r="B30" s="33">
        <f>IF(ISERROR(TER_ander_ele_kWh/1000),0,TER_ander_ele_kWh/1000)</f>
        <v>15900.238256692999</v>
      </c>
      <c r="C30" s="39">
        <f>IF(ISERROR(B30*3.6/1000000/'E Balans VL '!Z14*100),0,B30*3.6/1000000/'E Balans VL '!Z14*100)</f>
        <v>1.1635433667893362</v>
      </c>
      <c r="D30" s="235" t="s">
        <v>672</v>
      </c>
      <c r="F30" s="6"/>
    </row>
    <row r="31" spans="1:18">
      <c r="A31" s="230" t="s">
        <v>54</v>
      </c>
      <c r="B31" s="33">
        <f>IF(ISERROR(TER_onderwijs_ele_kWh/1000),0,TER_onderwijs_ele_kWh/1000)</f>
        <v>389.03868970901402</v>
      </c>
      <c r="C31" s="39">
        <f>IF(ISERROR(B31*3.6/1000000/'E Balans VL '!Z11*100),0,B31*3.6/1000000/'E Balans VL '!Z11*100)</f>
        <v>7.8138709720220273E-2</v>
      </c>
      <c r="D31" s="235" t="s">
        <v>672</v>
      </c>
    </row>
    <row r="32" spans="1:18">
      <c r="A32" s="230" t="s">
        <v>249</v>
      </c>
      <c r="B32" s="33">
        <f>IF(ISERROR(TER_rest_ele_kWh/1000),0,TER_rest_ele_kWh/1000)</f>
        <v>3319.64866372507</v>
      </c>
      <c r="C32" s="39">
        <f>IF(ISERROR(B32*3.6/1000000/'E Balans VL '!Z8*100),0,B32*3.6/1000000/'E Balans VL '!Z8*100)</f>
        <v>2.7053122016945121E-2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91914.672387810642</v>
      </c>
      <c r="C5" s="17">
        <f>IF(ISERROR('Eigen informatie GS &amp; warmtenet'!B59),0,'Eigen informatie GS &amp; warmtenet'!B59)</f>
        <v>0</v>
      </c>
      <c r="D5" s="30">
        <f>SUM(D6:D15)</f>
        <v>352432.41885513993</v>
      </c>
      <c r="E5" s="17">
        <f>SUM(E6:E15)</f>
        <v>1834.6372375474823</v>
      </c>
      <c r="F5" s="17">
        <f>SUM(F6:F15)</f>
        <v>10134.030997614165</v>
      </c>
      <c r="G5" s="18"/>
      <c r="H5" s="17"/>
      <c r="I5" s="17"/>
      <c r="J5" s="17">
        <f>SUM(J6:J15)</f>
        <v>34.590851938385597</v>
      </c>
      <c r="K5" s="17"/>
      <c r="L5" s="17"/>
      <c r="M5" s="17"/>
      <c r="N5" s="17">
        <f>SUM(N6:N15)</f>
        <v>14984.967736124448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390.69145209125202</v>
      </c>
      <c r="C8" s="33"/>
      <c r="D8" s="37">
        <f>IF( ISERROR(IND_metaal_Gas_kWH/1000),0,IND_metaal_Gas_kWH/1000)*0.902</f>
        <v>212.438714899991</v>
      </c>
      <c r="E8" s="33">
        <f>C30*'E Balans VL '!I18/100/3.6*1000000</f>
        <v>11.222124979866775</v>
      </c>
      <c r="F8" s="33">
        <f>C30*'E Balans VL '!L18/100/3.6*1000000+C30*'E Balans VL '!N18/100/3.6*1000000</f>
        <v>100.20484338492484</v>
      </c>
      <c r="G8" s="34"/>
      <c r="H8" s="33"/>
      <c r="I8" s="33"/>
      <c r="J8" s="40">
        <f>C30*'E Balans VL '!D18/100/3.6*1000000+C30*'E Balans VL '!E18/100/3.6*1000000</f>
        <v>0</v>
      </c>
      <c r="K8" s="33"/>
      <c r="L8" s="33"/>
      <c r="M8" s="33"/>
      <c r="N8" s="33">
        <f>C30*'E Balans VL '!Y18/100/3.6*1000000</f>
        <v>10.608070438521212</v>
      </c>
      <c r="O8" s="33"/>
      <c r="P8" s="33"/>
      <c r="R8" s="32"/>
    </row>
    <row r="9" spans="1:18">
      <c r="A9" s="6" t="s">
        <v>32</v>
      </c>
      <c r="B9" s="37">
        <f t="shared" si="0"/>
        <v>871.78225471929204</v>
      </c>
      <c r="C9" s="33"/>
      <c r="D9" s="37">
        <f>IF( ISERROR(IND_andere_gas_kWh/1000),0,IND_andere_gas_kWh/1000)*0.902</f>
        <v>874.34547084209771</v>
      </c>
      <c r="E9" s="33">
        <f>C31*'E Balans VL '!I19/100/3.6*1000000</f>
        <v>235.9700218069556</v>
      </c>
      <c r="F9" s="33">
        <f>C31*'E Balans VL '!L19/100/3.6*1000000+C31*'E Balans VL '!N19/100/3.6*1000000</f>
        <v>580.69923547652411</v>
      </c>
      <c r="G9" s="34"/>
      <c r="H9" s="33"/>
      <c r="I9" s="33"/>
      <c r="J9" s="40">
        <f>C31*'E Balans VL '!D19/100/3.6*1000000+C31*'E Balans VL '!E19/100/3.6*1000000</f>
        <v>0</v>
      </c>
      <c r="K9" s="33"/>
      <c r="L9" s="33"/>
      <c r="M9" s="33"/>
      <c r="N9" s="33">
        <f>C31*'E Balans VL '!Y19/100/3.6*1000000</f>
        <v>73.703414738536026</v>
      </c>
      <c r="O9" s="33"/>
      <c r="P9" s="33"/>
      <c r="R9" s="32"/>
    </row>
    <row r="10" spans="1:18">
      <c r="A10" s="6" t="s">
        <v>40</v>
      </c>
      <c r="B10" s="37">
        <f t="shared" si="0"/>
        <v>369.51312084927702</v>
      </c>
      <c r="C10" s="33"/>
      <c r="D10" s="37">
        <f>IF( ISERROR(IND_voed_gas_kWh/1000),0,IND_voed_gas_kWh/1000)*0.902</f>
        <v>150.60341303871343</v>
      </c>
      <c r="E10" s="33">
        <f>C32*'E Balans VL '!I20/100/3.6*1000000</f>
        <v>30.138339070771764</v>
      </c>
      <c r="F10" s="33">
        <f>C32*'E Balans VL '!L20/100/3.6*1000000+C32*'E Balans VL '!N20/100/3.6*1000000</f>
        <v>550.97758835411389</v>
      </c>
      <c r="G10" s="34"/>
      <c r="H10" s="33"/>
      <c r="I10" s="33"/>
      <c r="J10" s="40">
        <f>C32*'E Balans VL '!D20/100/3.6*1000000+C32*'E Balans VL '!E20/100/3.6*1000000</f>
        <v>4.88821006007763E-3</v>
      </c>
      <c r="K10" s="33"/>
      <c r="L10" s="33"/>
      <c r="M10" s="33"/>
      <c r="N10" s="33">
        <f>C32*'E Balans VL '!Y20/100/3.6*1000000</f>
        <v>108.54991619341924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76788.68823602781</v>
      </c>
      <c r="C13" s="33"/>
      <c r="D13" s="37">
        <f>IF( ISERROR(IND_papier_gas_kWh/1000),0,IND_papier_gas_kWh/1000)*0.902</f>
        <v>46.08924816440495</v>
      </c>
      <c r="E13" s="33">
        <f>C35*'E Balans VL '!I23/100/3.6*1000000</f>
        <v>804.50140118991203</v>
      </c>
      <c r="F13" s="33">
        <f>C35*'E Balans VL '!L23/100/3.6*1000000+C35*'E Balans VL '!N23/100/3.6*1000000</f>
        <v>5729.9855266627646</v>
      </c>
      <c r="G13" s="34"/>
      <c r="H13" s="33"/>
      <c r="I13" s="33"/>
      <c r="J13" s="40">
        <f>C35*'E Balans VL '!D23/100/3.6*1000000+C35*'E Balans VL '!E23/100/3.6*1000000</f>
        <v>0</v>
      </c>
      <c r="K13" s="33"/>
      <c r="L13" s="33"/>
      <c r="M13" s="33"/>
      <c r="N13" s="33">
        <f>C35*'E Balans VL '!Y23/100/3.6*1000000</f>
        <v>14165.852617559613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13493.997324123</v>
      </c>
      <c r="C15" s="33"/>
      <c r="D15" s="37">
        <f>IF( ISERROR(IND_rest_gas_kWh/1000),0,IND_rest_gas_kWh/1000)*0.902</f>
        <v>351148.94200819475</v>
      </c>
      <c r="E15" s="33">
        <f>C37*'E Balans VL '!I15/100/3.6*1000000</f>
        <v>752.80535049997616</v>
      </c>
      <c r="F15" s="33">
        <f>C37*'E Balans VL '!L15/100/3.6*1000000+C37*'E Balans VL '!N15/100/3.6*1000000</f>
        <v>3172.1638037358375</v>
      </c>
      <c r="G15" s="34"/>
      <c r="H15" s="33"/>
      <c r="I15" s="33"/>
      <c r="J15" s="40">
        <f>C37*'E Balans VL '!D15/100/3.6*1000000+C37*'E Balans VL '!E15/100/3.6*1000000</f>
        <v>34.585963728325517</v>
      </c>
      <c r="K15" s="33"/>
      <c r="L15" s="33"/>
      <c r="M15" s="33"/>
      <c r="N15" s="33">
        <f>C37*'E Balans VL '!Y15/100/3.6*1000000</f>
        <v>626.25371719435907</v>
      </c>
      <c r="O15" s="33"/>
      <c r="P15" s="33"/>
      <c r="R15" s="32"/>
    </row>
    <row r="16" spans="1:18">
      <c r="A16" s="16" t="s">
        <v>484</v>
      </c>
      <c r="B16" s="245">
        <f>'lokale energieproductie'!N46+'lokale energieproductie'!N39</f>
        <v>7020</v>
      </c>
      <c r="C16" s="245">
        <f>'lokale energieproductie'!O46+'lokale energieproductie'!O39</f>
        <v>10028.571428571429</v>
      </c>
      <c r="D16" s="305">
        <f>('lokale energieproductie'!P39+'lokale energieproductie'!P46)*(-1)</f>
        <v>-20057.142857142859</v>
      </c>
      <c r="E16" s="246"/>
      <c r="F16" s="305">
        <f>('lokale energieproductie'!S39+'lokale energieproductie'!S46)*(-1)</f>
        <v>0</v>
      </c>
      <c r="G16" s="247"/>
      <c r="H16" s="246"/>
      <c r="I16" s="246"/>
      <c r="J16" s="246"/>
      <c r="K16" s="246"/>
      <c r="L16" s="305">
        <f>('lokale energieproductie'!T39+'lokale energieproductie'!U39+'lokale energieproductie'!T46+'lokale energieproductie'!U46)*(-1)</f>
        <v>0</v>
      </c>
      <c r="M16" s="246"/>
      <c r="N16" s="305">
        <f>('lokale energieproductie'!Q39+'lokale energieproductie'!R39+'lokale energieproductie'!V39+'lokale energieproductie'!Q46+'lokale energieproductie'!R46+'lokale energieproductie'!V46)*(-1)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98934.672387810642</v>
      </c>
      <c r="C18" s="21">
        <f>C5+C16</f>
        <v>10028.571428571429</v>
      </c>
      <c r="D18" s="21">
        <f>MAX((D5+D16),0)</f>
        <v>332375.27599799709</v>
      </c>
      <c r="E18" s="21">
        <f>MAX((E5+E16),0)</f>
        <v>1834.6372375474823</v>
      </c>
      <c r="F18" s="21">
        <f>MAX((F5+F16),0)</f>
        <v>10134.030997614165</v>
      </c>
      <c r="G18" s="21"/>
      <c r="H18" s="21"/>
      <c r="I18" s="21"/>
      <c r="J18" s="21">
        <f>MAX((J5+J16),0)</f>
        <v>34.590851938385597</v>
      </c>
      <c r="K18" s="21"/>
      <c r="L18" s="21">
        <f>MAX((L5+L16),0)</f>
        <v>0</v>
      </c>
      <c r="M18" s="21"/>
      <c r="N18" s="21">
        <f>MAX((N5+N16),0)</f>
        <v>14984.967736124448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0.2128568401763995</v>
      </c>
      <c r="C20" s="25">
        <f ca="1">'EF ele_warmte'!B22</f>
        <v>0.22289017773590214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21058.921748356654</v>
      </c>
      <c r="C22" s="23">
        <f ca="1">C18*C20</f>
        <v>2235.2700681514757</v>
      </c>
      <c r="D22" s="23">
        <f>D18*D20</f>
        <v>67139.805751595413</v>
      </c>
      <c r="E22" s="23">
        <f>E18*E20</f>
        <v>416.46265292327848</v>
      </c>
      <c r="F22" s="23">
        <f>F18*F20</f>
        <v>2705.7862763629823</v>
      </c>
      <c r="G22" s="23"/>
      <c r="H22" s="23"/>
      <c r="I22" s="23"/>
      <c r="J22" s="23">
        <f>J18*J20</f>
        <v>12.245161586188502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390.69145209125202</v>
      </c>
      <c r="C30" s="39">
        <f>IF(ISERROR(B30*3.6/1000000/'E Balans VL '!Z18*100),0,B30*3.6/1000000/'E Balans VL '!Z18*100)</f>
        <v>3.8443041556742545E-2</v>
      </c>
      <c r="D30" s="235" t="s">
        <v>672</v>
      </c>
    </row>
    <row r="31" spans="1:18">
      <c r="A31" s="6" t="s">
        <v>32</v>
      </c>
      <c r="B31" s="37">
        <f>IF( ISERROR(IND_ander_ele_kWh/1000),0,IND_ander_ele_kWh/1000)</f>
        <v>871.78225471929204</v>
      </c>
      <c r="C31" s="39">
        <f>IF(ISERROR(B31*3.6/1000000/'E Balans VL '!Z19*100),0,B31*3.6/1000000/'E Balans VL '!Z19*100)</f>
        <v>3.7965421779170852E-2</v>
      </c>
      <c r="D31" s="235" t="s">
        <v>672</v>
      </c>
    </row>
    <row r="32" spans="1:18">
      <c r="A32" s="170" t="s">
        <v>40</v>
      </c>
      <c r="B32" s="37">
        <f>IF( ISERROR(IND_voed_ele_kWh/1000),0,IND_voed_ele_kWh/1000)</f>
        <v>369.51312084927702</v>
      </c>
      <c r="C32" s="39">
        <f>IF(ISERROR(B32*3.6/1000000/'E Balans VL '!Z20*100),0,B32*3.6/1000000/'E Balans VL '!Z20*100)</f>
        <v>7.0109785722226203E-2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76788.68823602781</v>
      </c>
      <c r="C35" s="39">
        <f>IF(ISERROR(B35*3.6/1000000/'E Balans VL '!Z22*100),0,B35*3.6/1000000/'E Balans VL '!Z22*100)</f>
        <v>10.797260653958247</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13493.997324123</v>
      </c>
      <c r="C37" s="39">
        <f>IF(ISERROR(B37*3.6/1000000/'E Balans VL '!Z15*100),0,B37*3.6/1000000/'E Balans VL '!Z15*100)</f>
        <v>0.10398782342746558</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9324.2724092925309</v>
      </c>
      <c r="C5" s="17">
        <f>'Eigen informatie GS &amp; warmtenet'!B60</f>
        <v>0</v>
      </c>
      <c r="D5" s="30">
        <f>IF(ISERROR(SUM(LB_lb_gas_kWh,LB_rest_gas_kWh)/1000),0,SUM(LB_lb_gas_kWh,LB_rest_gas_kWh)/1000)*0.902</f>
        <v>285283.58207779069</v>
      </c>
      <c r="E5" s="17">
        <f>B17*'E Balans VL '!I25/3.6*1000000/100</f>
        <v>117.49784446225718</v>
      </c>
      <c r="F5" s="17">
        <f>B17*('E Balans VL '!L25/3.6*1000000+'E Balans VL '!N25/3.6*1000000)/100</f>
        <v>32171.075681871702</v>
      </c>
      <c r="G5" s="18"/>
      <c r="H5" s="17"/>
      <c r="I5" s="17"/>
      <c r="J5" s="17">
        <f>('E Balans VL '!D25+'E Balans VL '!E25)/3.6*1000000*landbouw!B17/100</f>
        <v>1402.2645757697446</v>
      </c>
      <c r="K5" s="17"/>
      <c r="L5" s="17">
        <f>L6*(-1)</f>
        <v>14643.75</v>
      </c>
      <c r="M5" s="17"/>
      <c r="N5" s="17">
        <f>N6*(-1)</f>
        <v>0</v>
      </c>
      <c r="O5" s="17"/>
      <c r="P5" s="17"/>
      <c r="R5" s="32"/>
    </row>
    <row r="6" spans="1:18">
      <c r="A6" s="16" t="s">
        <v>484</v>
      </c>
      <c r="B6" s="17" t="s">
        <v>204</v>
      </c>
      <c r="C6" s="17">
        <f>'lokale energieproductie'!O48+'lokale energieproductie'!O41</f>
        <v>107151.83035714284</v>
      </c>
      <c r="D6" s="305">
        <f>('lokale energieproductie'!P41+'lokale energieproductie'!P48)*(-1)</f>
        <v>-201124.28571428574</v>
      </c>
      <c r="E6" s="246"/>
      <c r="F6" s="305">
        <f>('lokale energieproductie'!S41+'lokale energieproductie'!S48)*(-1)</f>
        <v>0</v>
      </c>
      <c r="G6" s="247"/>
      <c r="H6" s="246"/>
      <c r="I6" s="246"/>
      <c r="J6" s="246"/>
      <c r="K6" s="246"/>
      <c r="L6" s="305">
        <f>('lokale energieproductie'!T41+'lokale energieproductie'!U41+'lokale energieproductie'!T48+'lokale energieproductie'!U48)*(-1)</f>
        <v>-14643.75</v>
      </c>
      <c r="M6" s="246"/>
      <c r="N6" s="1016">
        <f>('lokale energieproductie'!V41+'lokale energieproductie'!R41+'lokale energieproductie'!Q41+'lokale energieproductie'!Q48+'lokale energieproductie'!R48+'lokale energieproductie'!V48)*(-1)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9324.2724092925309</v>
      </c>
      <c r="C8" s="21">
        <f>C5+C6</f>
        <v>107151.83035714284</v>
      </c>
      <c r="D8" s="21">
        <f>MAX((D5+D6),0)</f>
        <v>84159.296363504953</v>
      </c>
      <c r="E8" s="21">
        <f>MAX((E5+E6),0)</f>
        <v>117.49784446225718</v>
      </c>
      <c r="F8" s="21">
        <f>MAX((F5+F6),0)</f>
        <v>32171.075681871702</v>
      </c>
      <c r="G8" s="21"/>
      <c r="H8" s="21"/>
      <c r="I8" s="21"/>
      <c r="J8" s="21">
        <f>MAX((J5+J6),0)</f>
        <v>1402.2645757697446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0.2128568401763995</v>
      </c>
      <c r="C10" s="31">
        <f ca="1">'EF ele_warmte'!B22</f>
        <v>0.22289017773590214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1984.7351619859917</v>
      </c>
      <c r="C12" s="23">
        <f ca="1">C8*C10</f>
        <v>23883.090513030802</v>
      </c>
      <c r="D12" s="23">
        <f>D8*D10</f>
        <v>17000.177865428002</v>
      </c>
      <c r="E12" s="23">
        <f>E8*E10</f>
        <v>26.672010692932378</v>
      </c>
      <c r="F12" s="23">
        <f>F8*F10</f>
        <v>8589.6772070597453</v>
      </c>
      <c r="G12" s="23"/>
      <c r="H12" s="23"/>
      <c r="I12" s="23"/>
      <c r="J12" s="23">
        <f>J8*J10</f>
        <v>496.40165982248959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1.3004421170888463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41.40149035279974</v>
      </c>
      <c r="C26" s="245">
        <f>B26*'GWP N2O_CH4'!B5</f>
        <v>869.43129740879453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5.3985091008914248</v>
      </c>
      <c r="C27" s="245">
        <f>B27*'GWP N2O_CH4'!B5</f>
        <v>113.36869111871992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0.59509718175641269</v>
      </c>
      <c r="C28" s="245">
        <f>B28*'GWP N2O_CH4'!B4</f>
        <v>184.48012634448793</v>
      </c>
      <c r="D28" s="50"/>
    </row>
    <row r="29" spans="1:4">
      <c r="A29" s="41" t="s">
        <v>266</v>
      </c>
      <c r="B29" s="245">
        <f>B34*'ha_N2O bodem landbouw'!B4</f>
        <v>3.8479792045683032</v>
      </c>
      <c r="C29" s="245">
        <f>B29*'GWP N2O_CH4'!B4</f>
        <v>1192.873553416174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9.6080195729934337E-4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1.4266645890674268E-5</v>
      </c>
      <c r="C5" s="434" t="s">
        <v>204</v>
      </c>
      <c r="D5" s="419">
        <f>SUM(D6:D11)</f>
        <v>1.3259005474823053E-5</v>
      </c>
      <c r="E5" s="419">
        <f>SUM(E6:E11)</f>
        <v>4.7358902958624113E-4</v>
      </c>
      <c r="F5" s="432" t="s">
        <v>204</v>
      </c>
      <c r="G5" s="419">
        <f>SUM(G6:G11)</f>
        <v>0.13019794384309893</v>
      </c>
      <c r="H5" s="419">
        <f>SUM(H6:H11)</f>
        <v>2.27877722960594E-2</v>
      </c>
      <c r="I5" s="434" t="s">
        <v>204</v>
      </c>
      <c r="J5" s="434" t="s">
        <v>204</v>
      </c>
      <c r="K5" s="434" t="s">
        <v>204</v>
      </c>
      <c r="L5" s="434" t="s">
        <v>204</v>
      </c>
      <c r="M5" s="419">
        <f>SUM(M6:M11)</f>
        <v>6.9173427908172103E-3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1.2536494110654866E-5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1.1168528561812239E-5</v>
      </c>
      <c r="E6" s="873">
        <f>vkm_GW_PW*SUMIFS(TableVerdeelsleutelVkm[LPG],TableVerdeelsleutelVkm[Voertuigtype],"Lichte voertuigen")*SUMIFS(TableECFTransport[EnergieConsumptieFactor (PJ per km)],TableECFTransport[Index],CONCATENATE($A6,"_LPG_LPG"))</f>
        <v>4.0198140159074296E-4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7.8790524740687165E-2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1.9316157304012413E-2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4.4380093627823108E-3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2.3367954454462405E-7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3.6567574295047936E-2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8.3354804504690715E-7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1.6510823238300831E-3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1.4882359820160382E-6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2.0904769130108138E-6</v>
      </c>
      <c r="E8" s="422">
        <f>vkm_NGW_PW*SUMIFS(TableVerdeelsleutelVkm[LPG],TableVerdeelsleutelVkm[Voertuigtype],"Lichte voertuigen")*SUMIFS(TableECFTransport[EnergieConsumptieFactor (PJ per km)],TableECFTransport[Index],CONCATENATE($A8,"_LPG_LPG"))</f>
        <v>7.1607627995498181E-5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1.3184283726252228E-2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3.470745982584665E-3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7.5350007424196559E-4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8.2362534587401895E-9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1.6555610811116082E-3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3.5461417276957962E-8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7.475102996285055E-5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3.9629571918539632</v>
      </c>
      <c r="C14" s="21"/>
      <c r="D14" s="21">
        <f t="shared" ref="D14:M14" si="0">((D5)*10^9/3600)+D12</f>
        <v>3.6830570763397374</v>
      </c>
      <c r="E14" s="21">
        <f t="shared" si="0"/>
        <v>131.55250821840031</v>
      </c>
      <c r="F14" s="21"/>
      <c r="G14" s="21">
        <f t="shared" si="0"/>
        <v>36166.095511971929</v>
      </c>
      <c r="H14" s="21">
        <f t="shared" si="0"/>
        <v>6329.9367489053884</v>
      </c>
      <c r="I14" s="21"/>
      <c r="J14" s="21"/>
      <c r="K14" s="21"/>
      <c r="L14" s="21"/>
      <c r="M14" s="21">
        <f t="shared" si="0"/>
        <v>1921.4841085603362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0.2128568401763995</v>
      </c>
      <c r="C16" s="56">
        <f ca="1">'EF ele_warmte'!B22</f>
        <v>0.22289017773590214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0.84354254561237196</v>
      </c>
      <c r="C18" s="23"/>
      <c r="D18" s="23">
        <f t="shared" ref="D18:M18" si="1">D14*D16</f>
        <v>0.743977529420627</v>
      </c>
      <c r="E18" s="23">
        <f t="shared" si="1"/>
        <v>29.862419365576869</v>
      </c>
      <c r="F18" s="23"/>
      <c r="G18" s="23">
        <f t="shared" si="1"/>
        <v>9656.3475016965058</v>
      </c>
      <c r="H18" s="23">
        <f t="shared" si="1"/>
        <v>1576.1542504774418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2.4712316339874644E-5</v>
      </c>
      <c r="C50" s="316">
        <f t="shared" ref="C50:P50" si="2">SUM(C51:C52)</f>
        <v>0</v>
      </c>
      <c r="D50" s="316">
        <f t="shared" si="2"/>
        <v>0</v>
      </c>
      <c r="E50" s="316">
        <f t="shared" si="2"/>
        <v>0</v>
      </c>
      <c r="F50" s="316">
        <f t="shared" si="2"/>
        <v>0</v>
      </c>
      <c r="G50" s="316">
        <f t="shared" si="2"/>
        <v>4.810112427094778E-3</v>
      </c>
      <c r="H50" s="316">
        <f t="shared" si="2"/>
        <v>0</v>
      </c>
      <c r="I50" s="316">
        <f t="shared" si="2"/>
        <v>0</v>
      </c>
      <c r="J50" s="316">
        <f t="shared" si="2"/>
        <v>0</v>
      </c>
      <c r="K50" s="316">
        <f t="shared" si="2"/>
        <v>0</v>
      </c>
      <c r="L50" s="316">
        <f t="shared" si="2"/>
        <v>0</v>
      </c>
      <c r="M50" s="316">
        <f t="shared" si="2"/>
        <v>2.1568948292781978E-4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2.4712316339874644E-5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4.810112427094778E-3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2.1568948292781978E-4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6.8645323166318457</v>
      </c>
      <c r="C54" s="21">
        <f t="shared" ref="C54:P54" si="3">(C50)*10^9/3600</f>
        <v>0</v>
      </c>
      <c r="D54" s="21">
        <f t="shared" si="3"/>
        <v>0</v>
      </c>
      <c r="E54" s="21">
        <f t="shared" si="3"/>
        <v>0</v>
      </c>
      <c r="F54" s="21">
        <f t="shared" si="3"/>
        <v>0</v>
      </c>
      <c r="G54" s="21">
        <f t="shared" si="3"/>
        <v>1336.1423408596606</v>
      </c>
      <c r="H54" s="21">
        <f t="shared" si="3"/>
        <v>0</v>
      </c>
      <c r="I54" s="21">
        <f t="shared" si="3"/>
        <v>0</v>
      </c>
      <c r="J54" s="21">
        <f t="shared" si="3"/>
        <v>0</v>
      </c>
      <c r="K54" s="21">
        <f t="shared" si="3"/>
        <v>0</v>
      </c>
      <c r="L54" s="21">
        <f t="shared" si="3"/>
        <v>0</v>
      </c>
      <c r="M54" s="21">
        <f t="shared" si="3"/>
        <v>59.913745257727712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0.2128568401763995</v>
      </c>
      <c r="C56" s="56">
        <f ca="1">'EF ele_warmte'!B22</f>
        <v>0.22289017773590214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1.4611626582070343</v>
      </c>
      <c r="C58" s="23">
        <f t="shared" ref="C58:P58" ca="1" si="4">C54*C56</f>
        <v>0</v>
      </c>
      <c r="D58" s="23">
        <f t="shared" si="4"/>
        <v>0</v>
      </c>
      <c r="E58" s="23">
        <f t="shared" si="4"/>
        <v>0</v>
      </c>
      <c r="F58" s="23">
        <f t="shared" si="4"/>
        <v>0</v>
      </c>
      <c r="G58" s="23">
        <f t="shared" si="4"/>
        <v>356.75000500952939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60"/>
  <sheetViews>
    <sheetView showGridLines="0" zoomScale="65" zoomScaleNormal="65" workbookViewId="0">
      <selection activeCell="A28" sqref="A28:XFD3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7151.0695053030377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N38</f>
        <v>83271</v>
      </c>
      <c r="C8" s="546">
        <f>B57</f>
        <v>91882.613813100514</v>
      </c>
      <c r="D8" s="1001"/>
      <c r="E8" s="1001">
        <f>E57</f>
        <v>0</v>
      </c>
      <c r="F8" s="1002"/>
      <c r="G8" s="547"/>
      <c r="H8" s="1001">
        <f>I57</f>
        <v>0</v>
      </c>
      <c r="I8" s="1001">
        <f>G57+F57</f>
        <v>6083.2685398406829</v>
      </c>
      <c r="J8" s="1001">
        <f>H57+D57+C57</f>
        <v>0</v>
      </c>
      <c r="K8" s="1001"/>
      <c r="L8" s="1001"/>
      <c r="M8" s="1001"/>
      <c r="N8" s="548"/>
      <c r="O8" s="549">
        <f>C8*$C$12+D8*$D$12+E8*$E$12+F8*$F$12+G8*$G$12+H8*$H$12+I8*$I$12+J8*$J$12</f>
        <v>18560.287990246306</v>
      </c>
      <c r="P8" s="1244"/>
      <c r="Q8" s="1245"/>
      <c r="S8" s="1013"/>
      <c r="T8" s="1265"/>
      <c r="U8" s="1265"/>
    </row>
    <row r="9" spans="1:21" s="534" customFormat="1" ht="17.45" customHeight="1" thickBot="1">
      <c r="A9" s="550" t="s">
        <v>237</v>
      </c>
      <c r="B9" s="551">
        <f>N45+'Eigen informatie GS &amp; warmtenet'!B12</f>
        <v>0</v>
      </c>
      <c r="C9" s="552">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90422.069505303036</v>
      </c>
      <c r="C10" s="559">
        <f t="shared" ref="C10:L10" si="0">SUM(C8:C9)</f>
        <v>91882.613813100514</v>
      </c>
      <c r="D10" s="559">
        <f t="shared" si="0"/>
        <v>0</v>
      </c>
      <c r="E10" s="559">
        <f t="shared" si="0"/>
        <v>0</v>
      </c>
      <c r="F10" s="559">
        <f t="shared" si="0"/>
        <v>0</v>
      </c>
      <c r="G10" s="559">
        <f t="shared" si="0"/>
        <v>0</v>
      </c>
      <c r="H10" s="559">
        <f t="shared" si="0"/>
        <v>0</v>
      </c>
      <c r="I10" s="559">
        <f t="shared" si="0"/>
        <v>6083.2685398406829</v>
      </c>
      <c r="J10" s="559">
        <f t="shared" si="0"/>
        <v>0</v>
      </c>
      <c r="K10" s="559">
        <f t="shared" si="0"/>
        <v>0</v>
      </c>
      <c r="L10" s="559">
        <f t="shared" si="0"/>
        <v>0</v>
      </c>
      <c r="M10" s="1004"/>
      <c r="N10" s="1004"/>
      <c r="O10" s="560">
        <f>SUM(O4:O9)</f>
        <v>18560.287990246306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O38</f>
        <v>117180.40178571428</v>
      </c>
      <c r="C17" s="571">
        <f>B58</f>
        <v>129298.8147583281</v>
      </c>
      <c r="D17" s="572"/>
      <c r="E17" s="572">
        <f>E58</f>
        <v>0</v>
      </c>
      <c r="F17" s="1007"/>
      <c r="G17" s="573"/>
      <c r="H17" s="571">
        <f>I58</f>
        <v>0</v>
      </c>
      <c r="I17" s="572">
        <f>G58+F58</f>
        <v>8560.4814601593189</v>
      </c>
      <c r="J17" s="572">
        <f>H58+D58+C58</f>
        <v>0</v>
      </c>
      <c r="K17" s="572"/>
      <c r="L17" s="572"/>
      <c r="M17" s="572"/>
      <c r="N17" s="1008"/>
      <c r="O17" s="574">
        <f>C17*$C$22+E17*$E$22+H17*$H$22+I17*$I$22+J17*$J$22+D17*$D$22+F17*$F$22+G17*$G$22+K17*$K$22+L17*$L$22</f>
        <v>26118.360581182278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117180.40178571428</v>
      </c>
      <c r="C20" s="558">
        <f>SUM(C17:C19)</f>
        <v>129298.8147583281</v>
      </c>
      <c r="D20" s="558">
        <f t="shared" ref="D20:L20" si="1">SUM(D17:D19)</f>
        <v>0</v>
      </c>
      <c r="E20" s="558">
        <f t="shared" si="1"/>
        <v>0</v>
      </c>
      <c r="F20" s="558">
        <f t="shared" si="1"/>
        <v>0</v>
      </c>
      <c r="G20" s="558">
        <f t="shared" si="1"/>
        <v>0</v>
      </c>
      <c r="H20" s="558">
        <f t="shared" si="1"/>
        <v>0</v>
      </c>
      <c r="I20" s="558">
        <f t="shared" si="1"/>
        <v>8560.4814601593189</v>
      </c>
      <c r="J20" s="558">
        <f t="shared" si="1"/>
        <v>0</v>
      </c>
      <c r="K20" s="558">
        <f t="shared" si="1"/>
        <v>0</v>
      </c>
      <c r="L20" s="558">
        <f t="shared" si="1"/>
        <v>0</v>
      </c>
      <c r="M20" s="558"/>
      <c r="N20" s="558"/>
      <c r="O20" s="578">
        <f>SUM(O17:O19)</f>
        <v>26118.360581182278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12009</v>
      </c>
      <c r="C28" s="777">
        <v>2570</v>
      </c>
      <c r="D28" s="630"/>
      <c r="E28" s="629"/>
      <c r="F28" s="629"/>
      <c r="G28" s="629" t="s">
        <v>926</v>
      </c>
      <c r="H28" s="629" t="s">
        <v>927</v>
      </c>
      <c r="I28" s="629"/>
      <c r="J28" s="776"/>
      <c r="K28" s="776"/>
      <c r="L28" s="629" t="s">
        <v>928</v>
      </c>
      <c r="M28" s="629">
        <v>2000</v>
      </c>
      <c r="N28" s="629">
        <v>9000</v>
      </c>
      <c r="O28" s="629">
        <v>12857.142857142857</v>
      </c>
      <c r="P28" s="629">
        <v>25714.285714285717</v>
      </c>
      <c r="Q28" s="629">
        <v>0</v>
      </c>
      <c r="R28" s="629">
        <v>0</v>
      </c>
      <c r="S28" s="629">
        <v>0</v>
      </c>
      <c r="T28" s="629">
        <v>0</v>
      </c>
      <c r="U28" s="629">
        <v>0</v>
      </c>
      <c r="V28" s="629">
        <v>0</v>
      </c>
      <c r="W28" s="629">
        <v>0</v>
      </c>
      <c r="X28" s="629">
        <v>10</v>
      </c>
      <c r="Y28" s="629" t="s">
        <v>105</v>
      </c>
      <c r="Z28" s="631" t="s">
        <v>105</v>
      </c>
    </row>
    <row r="29" spans="1:26" s="583" customFormat="1" ht="25.5" hidden="1">
      <c r="A29" s="582"/>
      <c r="B29" s="777">
        <v>12009</v>
      </c>
      <c r="C29" s="777">
        <v>2570</v>
      </c>
      <c r="D29" s="630"/>
      <c r="E29" s="629"/>
      <c r="F29" s="629"/>
      <c r="G29" s="629" t="s">
        <v>926</v>
      </c>
      <c r="H29" s="629" t="s">
        <v>927</v>
      </c>
      <c r="I29" s="629"/>
      <c r="J29" s="776"/>
      <c r="K29" s="776"/>
      <c r="L29" s="629" t="s">
        <v>928</v>
      </c>
      <c r="M29" s="629">
        <v>1147</v>
      </c>
      <c r="N29" s="629">
        <v>5161.5</v>
      </c>
      <c r="O29" s="629">
        <v>7373.5714285714284</v>
      </c>
      <c r="P29" s="629">
        <v>14747.142857142859</v>
      </c>
      <c r="Q29" s="629">
        <v>0</v>
      </c>
      <c r="R29" s="629">
        <v>0</v>
      </c>
      <c r="S29" s="629">
        <v>0</v>
      </c>
      <c r="T29" s="629">
        <v>0</v>
      </c>
      <c r="U29" s="629">
        <v>0</v>
      </c>
      <c r="V29" s="629">
        <v>0</v>
      </c>
      <c r="W29" s="629">
        <v>0</v>
      </c>
      <c r="X29" s="629">
        <v>10</v>
      </c>
      <c r="Y29" s="629" t="s">
        <v>105</v>
      </c>
      <c r="Z29" s="631" t="s">
        <v>105</v>
      </c>
    </row>
    <row r="30" spans="1:26" s="583" customFormat="1" ht="25.5" hidden="1">
      <c r="A30" s="582"/>
      <c r="B30" s="777">
        <v>12009</v>
      </c>
      <c r="C30" s="777">
        <v>2570</v>
      </c>
      <c r="D30" s="630"/>
      <c r="E30" s="629"/>
      <c r="F30" s="629"/>
      <c r="G30" s="629" t="s">
        <v>926</v>
      </c>
      <c r="H30" s="629" t="s">
        <v>927</v>
      </c>
      <c r="I30" s="629"/>
      <c r="J30" s="776"/>
      <c r="K30" s="776"/>
      <c r="L30" s="629" t="s">
        <v>928</v>
      </c>
      <c r="M30" s="629">
        <v>1147</v>
      </c>
      <c r="N30" s="629">
        <v>5161.5</v>
      </c>
      <c r="O30" s="629">
        <v>7373.5714285714284</v>
      </c>
      <c r="P30" s="629">
        <v>14747.142857142859</v>
      </c>
      <c r="Q30" s="629">
        <v>0</v>
      </c>
      <c r="R30" s="629">
        <v>0</v>
      </c>
      <c r="S30" s="629">
        <v>0</v>
      </c>
      <c r="T30" s="629">
        <v>0</v>
      </c>
      <c r="U30" s="629">
        <v>0</v>
      </c>
      <c r="V30" s="629">
        <v>0</v>
      </c>
      <c r="W30" s="629">
        <v>0</v>
      </c>
      <c r="X30" s="629">
        <v>10</v>
      </c>
      <c r="Y30" s="629" t="s">
        <v>105</v>
      </c>
      <c r="Z30" s="631" t="s">
        <v>105</v>
      </c>
    </row>
    <row r="31" spans="1:26" s="583" customFormat="1" ht="25.5" hidden="1">
      <c r="A31" s="582"/>
      <c r="B31" s="777">
        <v>12009</v>
      </c>
      <c r="C31" s="777">
        <v>2570</v>
      </c>
      <c r="D31" s="630"/>
      <c r="E31" s="629"/>
      <c r="F31" s="629"/>
      <c r="G31" s="629" t="s">
        <v>926</v>
      </c>
      <c r="H31" s="629" t="s">
        <v>927</v>
      </c>
      <c r="I31" s="629"/>
      <c r="J31" s="776"/>
      <c r="K31" s="776"/>
      <c r="L31" s="629" t="s">
        <v>928</v>
      </c>
      <c r="M31" s="629">
        <v>2789</v>
      </c>
      <c r="N31" s="629">
        <v>12550.5</v>
      </c>
      <c r="O31" s="629">
        <v>17929.285714285714</v>
      </c>
      <c r="P31" s="629">
        <v>35858.571428571428</v>
      </c>
      <c r="Q31" s="629">
        <v>0</v>
      </c>
      <c r="R31" s="629">
        <v>0</v>
      </c>
      <c r="S31" s="629">
        <v>0</v>
      </c>
      <c r="T31" s="629">
        <v>0</v>
      </c>
      <c r="U31" s="629">
        <v>0</v>
      </c>
      <c r="V31" s="629">
        <v>0</v>
      </c>
      <c r="W31" s="629">
        <v>0</v>
      </c>
      <c r="X31" s="629">
        <v>10</v>
      </c>
      <c r="Y31" s="629" t="s">
        <v>105</v>
      </c>
      <c r="Z31" s="631" t="s">
        <v>105</v>
      </c>
    </row>
    <row r="32" spans="1:26" s="583" customFormat="1" ht="25.5" hidden="1">
      <c r="A32" s="582"/>
      <c r="B32" s="777">
        <v>12009</v>
      </c>
      <c r="C32" s="777">
        <v>2570</v>
      </c>
      <c r="D32" s="630"/>
      <c r="E32" s="629"/>
      <c r="F32" s="629"/>
      <c r="G32" s="629" t="s">
        <v>926</v>
      </c>
      <c r="H32" s="629" t="s">
        <v>927</v>
      </c>
      <c r="I32" s="629"/>
      <c r="J32" s="776"/>
      <c r="K32" s="776"/>
      <c r="L32" s="629" t="s">
        <v>928</v>
      </c>
      <c r="M32" s="629">
        <v>2000</v>
      </c>
      <c r="N32" s="629">
        <v>9000</v>
      </c>
      <c r="O32" s="629">
        <v>12857.142857142857</v>
      </c>
      <c r="P32" s="629">
        <v>25714.285714285717</v>
      </c>
      <c r="Q32" s="629">
        <v>0</v>
      </c>
      <c r="R32" s="629">
        <v>0</v>
      </c>
      <c r="S32" s="629">
        <v>0</v>
      </c>
      <c r="T32" s="629">
        <v>0</v>
      </c>
      <c r="U32" s="629">
        <v>0</v>
      </c>
      <c r="V32" s="629">
        <v>0</v>
      </c>
      <c r="W32" s="629">
        <v>0</v>
      </c>
      <c r="X32" s="629">
        <v>10</v>
      </c>
      <c r="Y32" s="629" t="s">
        <v>105</v>
      </c>
      <c r="Z32" s="631" t="s">
        <v>105</v>
      </c>
    </row>
    <row r="33" spans="1:26" s="583" customFormat="1" ht="25.5" hidden="1">
      <c r="A33" s="582"/>
      <c r="B33" s="777">
        <v>12009</v>
      </c>
      <c r="C33" s="777">
        <v>2570</v>
      </c>
      <c r="D33" s="630"/>
      <c r="E33" s="629"/>
      <c r="F33" s="629"/>
      <c r="G33" s="629" t="s">
        <v>926</v>
      </c>
      <c r="H33" s="629" t="s">
        <v>927</v>
      </c>
      <c r="I33" s="629"/>
      <c r="J33" s="776"/>
      <c r="K33" s="776"/>
      <c r="L33" s="629" t="s">
        <v>928</v>
      </c>
      <c r="M33" s="629">
        <v>2014</v>
      </c>
      <c r="N33" s="629">
        <v>9062.9999999999982</v>
      </c>
      <c r="O33" s="629">
        <v>12947.142857142855</v>
      </c>
      <c r="P33" s="629">
        <v>25894.28571428571</v>
      </c>
      <c r="Q33" s="629">
        <v>0</v>
      </c>
      <c r="R33" s="629">
        <v>0</v>
      </c>
      <c r="S33" s="629">
        <v>0</v>
      </c>
      <c r="T33" s="629">
        <v>0</v>
      </c>
      <c r="U33" s="629">
        <v>0</v>
      </c>
      <c r="V33" s="629">
        <v>0</v>
      </c>
      <c r="W33" s="629">
        <v>0</v>
      </c>
      <c r="X33" s="629">
        <v>10</v>
      </c>
      <c r="Y33" s="629" t="s">
        <v>105</v>
      </c>
      <c r="Z33" s="631" t="s">
        <v>105</v>
      </c>
    </row>
    <row r="34" spans="1:26" s="583" customFormat="1" ht="25.5" hidden="1">
      <c r="A34" s="582"/>
      <c r="B34" s="777">
        <v>12009</v>
      </c>
      <c r="C34" s="777">
        <v>2570</v>
      </c>
      <c r="D34" s="630"/>
      <c r="E34" s="629"/>
      <c r="F34" s="629"/>
      <c r="G34" s="629" t="s">
        <v>926</v>
      </c>
      <c r="H34" s="629" t="s">
        <v>927</v>
      </c>
      <c r="I34" s="629"/>
      <c r="J34" s="776"/>
      <c r="K34" s="776"/>
      <c r="L34" s="629" t="s">
        <v>928</v>
      </c>
      <c r="M34" s="629">
        <v>1008</v>
      </c>
      <c r="N34" s="629">
        <v>4536</v>
      </c>
      <c r="O34" s="629">
        <v>6480</v>
      </c>
      <c r="P34" s="629">
        <v>12960</v>
      </c>
      <c r="Q34" s="629">
        <v>0</v>
      </c>
      <c r="R34" s="629">
        <v>0</v>
      </c>
      <c r="S34" s="629">
        <v>0</v>
      </c>
      <c r="T34" s="629">
        <v>0</v>
      </c>
      <c r="U34" s="629">
        <v>0</v>
      </c>
      <c r="V34" s="629">
        <v>0</v>
      </c>
      <c r="W34" s="629">
        <v>0</v>
      </c>
      <c r="X34" s="629">
        <v>10</v>
      </c>
      <c r="Y34" s="629" t="s">
        <v>105</v>
      </c>
      <c r="Z34" s="631" t="s">
        <v>105</v>
      </c>
    </row>
    <row r="35" spans="1:26" s="583" customFormat="1" ht="25.5" hidden="1">
      <c r="A35" s="582"/>
      <c r="B35" s="777">
        <v>12009</v>
      </c>
      <c r="C35" s="777">
        <v>2570</v>
      </c>
      <c r="D35" s="630"/>
      <c r="E35" s="629"/>
      <c r="F35" s="629"/>
      <c r="G35" s="629" t="s">
        <v>926</v>
      </c>
      <c r="H35" s="629" t="s">
        <v>927</v>
      </c>
      <c r="I35" s="629"/>
      <c r="J35" s="776"/>
      <c r="K35" s="776"/>
      <c r="L35" s="629" t="s">
        <v>928</v>
      </c>
      <c r="M35" s="629">
        <v>1560</v>
      </c>
      <c r="N35" s="629">
        <v>7020</v>
      </c>
      <c r="O35" s="629">
        <v>10028.571428571429</v>
      </c>
      <c r="P35" s="629">
        <v>20057.142857142859</v>
      </c>
      <c r="Q35" s="629">
        <v>0</v>
      </c>
      <c r="R35" s="629">
        <v>0</v>
      </c>
      <c r="S35" s="629">
        <v>0</v>
      </c>
      <c r="T35" s="629">
        <v>0</v>
      </c>
      <c r="U35" s="629">
        <v>0</v>
      </c>
      <c r="V35" s="629">
        <v>0</v>
      </c>
      <c r="W35" s="629">
        <v>0</v>
      </c>
      <c r="X35" s="629">
        <v>16000</v>
      </c>
      <c r="Y35" s="629" t="s">
        <v>32</v>
      </c>
      <c r="Z35" s="631" t="s">
        <v>377</v>
      </c>
    </row>
    <row r="36" spans="1:26" s="583" customFormat="1" ht="25.5" hidden="1">
      <c r="A36" s="582"/>
      <c r="B36" s="777">
        <v>12009</v>
      </c>
      <c r="C36" s="777">
        <v>2570</v>
      </c>
      <c r="D36" s="630"/>
      <c r="E36" s="629"/>
      <c r="F36" s="629"/>
      <c r="G36" s="629" t="s">
        <v>926</v>
      </c>
      <c r="H36" s="629" t="s">
        <v>927</v>
      </c>
      <c r="I36" s="629"/>
      <c r="J36" s="776"/>
      <c r="K36" s="776"/>
      <c r="L36" s="629" t="s">
        <v>928</v>
      </c>
      <c r="M36" s="629">
        <v>3538</v>
      </c>
      <c r="N36" s="629">
        <v>15921</v>
      </c>
      <c r="O36" s="629">
        <v>22744.285714285714</v>
      </c>
      <c r="P36" s="629">
        <v>45488.571428571435</v>
      </c>
      <c r="Q36" s="629">
        <v>0</v>
      </c>
      <c r="R36" s="629">
        <v>0</v>
      </c>
      <c r="S36" s="629">
        <v>0</v>
      </c>
      <c r="T36" s="629">
        <v>0</v>
      </c>
      <c r="U36" s="629">
        <v>0</v>
      </c>
      <c r="V36" s="629">
        <v>0</v>
      </c>
      <c r="W36" s="629">
        <v>0</v>
      </c>
      <c r="X36" s="629">
        <v>10</v>
      </c>
      <c r="Y36" s="629" t="s">
        <v>105</v>
      </c>
      <c r="Z36" s="631" t="s">
        <v>105</v>
      </c>
    </row>
    <row r="37" spans="1:26" s="583" customFormat="1" ht="38.25" hidden="1">
      <c r="A37" s="582"/>
      <c r="B37" s="777">
        <v>12009</v>
      </c>
      <c r="C37" s="777">
        <v>2570</v>
      </c>
      <c r="D37" s="630"/>
      <c r="E37" s="629"/>
      <c r="F37" s="629"/>
      <c r="G37" s="629" t="s">
        <v>926</v>
      </c>
      <c r="H37" s="629" t="s">
        <v>929</v>
      </c>
      <c r="I37" s="629"/>
      <c r="J37" s="776"/>
      <c r="K37" s="776"/>
      <c r="L37" s="629" t="s">
        <v>928</v>
      </c>
      <c r="M37" s="629">
        <v>1562</v>
      </c>
      <c r="N37" s="629">
        <v>5857.5</v>
      </c>
      <c r="O37" s="629">
        <v>6589.6875</v>
      </c>
      <c r="P37" s="629">
        <v>0</v>
      </c>
      <c r="Q37" s="629">
        <v>0</v>
      </c>
      <c r="R37" s="629">
        <v>0</v>
      </c>
      <c r="S37" s="629">
        <v>0</v>
      </c>
      <c r="T37" s="629">
        <v>14643.75</v>
      </c>
      <c r="U37" s="629">
        <v>0</v>
      </c>
      <c r="V37" s="629">
        <v>0</v>
      </c>
      <c r="W37" s="629">
        <v>0</v>
      </c>
      <c r="X37" s="629">
        <v>10</v>
      </c>
      <c r="Y37" s="629" t="s">
        <v>105</v>
      </c>
      <c r="Z37" s="631" t="s">
        <v>105</v>
      </c>
    </row>
    <row r="38" spans="1:26" s="566" customFormat="1" hidden="1">
      <c r="A38" s="585" t="s">
        <v>269</v>
      </c>
      <c r="B38" s="586"/>
      <c r="C38" s="586"/>
      <c r="D38" s="586"/>
      <c r="E38" s="586"/>
      <c r="F38" s="586"/>
      <c r="G38" s="586"/>
      <c r="H38" s="586"/>
      <c r="I38" s="586"/>
      <c r="J38" s="586"/>
      <c r="K38" s="586"/>
      <c r="L38" s="587"/>
      <c r="M38" s="587">
        <f>SUM(M28:M37)</f>
        <v>18765</v>
      </c>
      <c r="N38" s="587">
        <f>SUM(N28:N37)</f>
        <v>83271</v>
      </c>
      <c r="O38" s="587">
        <f>SUM(O28:O37)</f>
        <v>117180.40178571428</v>
      </c>
      <c r="P38" s="587">
        <f>SUM(P28:P37)</f>
        <v>221181.42857142858</v>
      </c>
      <c r="Q38" s="587">
        <f>SUM(Q28:Q37)</f>
        <v>0</v>
      </c>
      <c r="R38" s="587">
        <f>SUM(R28:R37)</f>
        <v>0</v>
      </c>
      <c r="S38" s="587">
        <f>SUM(S28:S37)</f>
        <v>0</v>
      </c>
      <c r="T38" s="587">
        <f>SUM(T28:T37)</f>
        <v>14643.75</v>
      </c>
      <c r="U38" s="587">
        <f>SUM(U28:U37)</f>
        <v>0</v>
      </c>
      <c r="V38" s="587">
        <f>SUM(V28:V37)</f>
        <v>0</v>
      </c>
      <c r="W38" s="587">
        <f>SUM(W28:W37)</f>
        <v>0</v>
      </c>
      <c r="X38" s="588"/>
      <c r="Y38" s="588"/>
      <c r="Z38" s="589"/>
    </row>
    <row r="39" spans="1:26" s="566" customFormat="1">
      <c r="A39" s="585" t="s">
        <v>276</v>
      </c>
      <c r="B39" s="586"/>
      <c r="C39" s="586"/>
      <c r="D39" s="586"/>
      <c r="E39" s="586"/>
      <c r="F39" s="586"/>
      <c r="G39" s="586"/>
      <c r="H39" s="586"/>
      <c r="I39" s="586"/>
      <c r="J39" s="586"/>
      <c r="K39" s="586"/>
      <c r="L39" s="587"/>
      <c r="M39" s="587">
        <f>SUMIF($Z$28:$Z$37,"industrie",M28:M37)</f>
        <v>1560</v>
      </c>
      <c r="N39" s="587">
        <f>SUMIF($Z$28:$Z$37,"industrie",N28:N37)</f>
        <v>7020</v>
      </c>
      <c r="O39" s="587">
        <f>SUMIF($Z$28:$Z$37,"industrie",O28:O37)</f>
        <v>10028.571428571429</v>
      </c>
      <c r="P39" s="587">
        <f>SUMIF($Z$28:$Z$37,"industrie",P28:P37)</f>
        <v>20057.142857142859</v>
      </c>
      <c r="Q39" s="587">
        <f>SUMIF($Z$28:$Z$37,"industrie",Q28:Q37)</f>
        <v>0</v>
      </c>
      <c r="R39" s="587">
        <f>SUMIF($Z$28:$Z$37,"industrie",R28:R37)</f>
        <v>0</v>
      </c>
      <c r="S39" s="587">
        <f>SUMIF($Z$28:$Z$37,"industrie",S28:S37)</f>
        <v>0</v>
      </c>
      <c r="T39" s="587">
        <f>SUMIF($Z$28:$Z$37,"industrie",T28:T37)</f>
        <v>0</v>
      </c>
      <c r="U39" s="587">
        <f>SUMIF($Z$28:$Z$37,"industrie",U28:U37)</f>
        <v>0</v>
      </c>
      <c r="V39" s="587">
        <f>SUMIF($Z$28:$Z$37,"industrie",V28:V37)</f>
        <v>0</v>
      </c>
      <c r="W39" s="587">
        <f>SUMIF($Z$28:$Z$37,"industrie",W28:W37)</f>
        <v>0</v>
      </c>
      <c r="X39" s="588"/>
      <c r="Y39" s="588"/>
      <c r="Z39" s="589"/>
    </row>
    <row r="40" spans="1:26" s="566" customFormat="1">
      <c r="A40" s="585" t="s">
        <v>277</v>
      </c>
      <c r="B40" s="586"/>
      <c r="C40" s="586"/>
      <c r="D40" s="586"/>
      <c r="E40" s="586"/>
      <c r="F40" s="586"/>
      <c r="G40" s="586"/>
      <c r="H40" s="586"/>
      <c r="I40" s="586"/>
      <c r="J40" s="586"/>
      <c r="K40" s="586"/>
      <c r="L40" s="587"/>
      <c r="M40" s="587">
        <f ca="1">SUMIF($Z$28:AC37,"tertiair",M28:M37)</f>
        <v>0</v>
      </c>
      <c r="N40" s="587">
        <f ca="1">SUMIF($Z$28:AD37,"tertiair",N28:N37)</f>
        <v>0</v>
      </c>
      <c r="O40" s="587">
        <f ca="1">SUMIF($Z$28:AE37,"tertiair",O28:O37)</f>
        <v>0</v>
      </c>
      <c r="P40" s="587">
        <f ca="1">SUMIF($Z$28:AF37,"tertiair",P28:P37)</f>
        <v>0</v>
      </c>
      <c r="Q40" s="587">
        <f ca="1">SUMIF($Z$28:AG37,"tertiair",Q28:Q37)</f>
        <v>0</v>
      </c>
      <c r="R40" s="587">
        <f ca="1">SUMIF($Z$28:AH37,"tertiair",R28:R37)</f>
        <v>0</v>
      </c>
      <c r="S40" s="587">
        <f ca="1">SUMIF($Z$28:AI37,"tertiair",S28:S37)</f>
        <v>0</v>
      </c>
      <c r="T40" s="587">
        <f ca="1">SUMIF($Z$28:AJ37,"tertiair",T28:T37)</f>
        <v>0</v>
      </c>
      <c r="U40" s="587">
        <f ca="1">SUMIF($Z$28:AK37,"tertiair",U28:U37)</f>
        <v>0</v>
      </c>
      <c r="V40" s="587">
        <f ca="1">SUMIF($Z$28:AL37,"tertiair",V28:V37)</f>
        <v>0</v>
      </c>
      <c r="W40" s="587">
        <f ca="1">SUMIF($Z$28:AM37,"tertiair",W28:W37)</f>
        <v>0</v>
      </c>
      <c r="X40" s="588"/>
      <c r="Y40" s="588"/>
      <c r="Z40" s="589"/>
    </row>
    <row r="41" spans="1:26" s="566" customFormat="1" ht="15.75" thickBot="1">
      <c r="A41" s="590" t="s">
        <v>278</v>
      </c>
      <c r="B41" s="591"/>
      <c r="C41" s="591"/>
      <c r="D41" s="591"/>
      <c r="E41" s="591"/>
      <c r="F41" s="591"/>
      <c r="G41" s="591"/>
      <c r="H41" s="591"/>
      <c r="I41" s="591"/>
      <c r="J41" s="591"/>
      <c r="K41" s="591"/>
      <c r="L41" s="592"/>
      <c r="M41" s="592">
        <f>SUMIF($Z$28:$Z$37,"landbouw",M28:M37)</f>
        <v>17205</v>
      </c>
      <c r="N41" s="592">
        <f>SUMIF($Z$28:$Z$37,"landbouw",N28:N37)</f>
        <v>76251</v>
      </c>
      <c r="O41" s="592">
        <f>SUMIF($Z$28:$Z$37,"landbouw",O28:O37)</f>
        <v>107151.83035714284</v>
      </c>
      <c r="P41" s="592">
        <f>SUMIF($Z$28:$Z$37,"landbouw",P28:P37)</f>
        <v>201124.28571428574</v>
      </c>
      <c r="Q41" s="592">
        <f>SUMIF($Z$28:$Z$37,"landbouw",Q28:Q37)</f>
        <v>0</v>
      </c>
      <c r="R41" s="592">
        <f>SUMIF($Z$28:$Z$37,"landbouw",R28:R37)</f>
        <v>0</v>
      </c>
      <c r="S41" s="592">
        <f>SUMIF($Z$28:$Z$37,"landbouw",S28:S37)</f>
        <v>0</v>
      </c>
      <c r="T41" s="592">
        <f>SUMIF($Z$28:$Z$37,"landbouw",T28:T37)</f>
        <v>14643.75</v>
      </c>
      <c r="U41" s="592">
        <f>SUMIF($Z$28:$Z$37,"landbouw",U28:U37)</f>
        <v>0</v>
      </c>
      <c r="V41" s="592">
        <f>SUMIF($Z$28:$Z$37,"landbouw",V28:V37)</f>
        <v>0</v>
      </c>
      <c r="W41" s="592">
        <f>SUMIF($Z$28:$Z$37,"landbouw",W28:W37)</f>
        <v>0</v>
      </c>
      <c r="X41" s="593"/>
      <c r="Y41" s="593"/>
      <c r="Z41" s="594"/>
    </row>
    <row r="42" spans="1:26" s="534" customFormat="1" ht="15.75" thickBot="1">
      <c r="A42" s="595"/>
      <c r="B42" s="596"/>
      <c r="C42" s="596"/>
      <c r="D42" s="596"/>
      <c r="E42" s="596"/>
      <c r="F42" s="596"/>
      <c r="G42" s="596"/>
      <c r="H42" s="596"/>
      <c r="I42" s="596"/>
      <c r="J42" s="596"/>
      <c r="K42" s="596"/>
      <c r="L42" s="579"/>
      <c r="M42" s="579"/>
      <c r="N42" s="579"/>
      <c r="O42" s="580"/>
      <c r="P42" s="580"/>
    </row>
    <row r="43" spans="1:26" s="534" customFormat="1" ht="45">
      <c r="A43" s="597" t="s">
        <v>270</v>
      </c>
      <c r="B43" s="626" t="s">
        <v>89</v>
      </c>
      <c r="C43" s="626" t="s">
        <v>90</v>
      </c>
      <c r="D43" s="626"/>
      <c r="E43" s="626"/>
      <c r="F43" s="626"/>
      <c r="G43" s="626" t="s">
        <v>91</v>
      </c>
      <c r="H43" s="626" t="s">
        <v>92</v>
      </c>
      <c r="I43" s="626"/>
      <c r="J43" s="626"/>
      <c r="K43" s="626"/>
      <c r="L43" s="626" t="s">
        <v>93</v>
      </c>
      <c r="M43" s="627" t="s">
        <v>287</v>
      </c>
      <c r="N43" s="627" t="s">
        <v>94</v>
      </c>
      <c r="O43" s="627" t="s">
        <v>95</v>
      </c>
      <c r="P43" s="627" t="s">
        <v>530</v>
      </c>
      <c r="Q43" s="627" t="s">
        <v>96</v>
      </c>
      <c r="R43" s="627" t="s">
        <v>97</v>
      </c>
      <c r="S43" s="627" t="s">
        <v>98</v>
      </c>
      <c r="T43" s="627" t="s">
        <v>99</v>
      </c>
      <c r="U43" s="627" t="s">
        <v>100</v>
      </c>
      <c r="V43" s="627" t="s">
        <v>101</v>
      </c>
      <c r="W43" s="626" t="s">
        <v>102</v>
      </c>
      <c r="X43" s="626" t="s">
        <v>288</v>
      </c>
      <c r="Y43" s="626" t="s">
        <v>103</v>
      </c>
      <c r="Z43" s="628" t="s">
        <v>289</v>
      </c>
    </row>
    <row r="44" spans="1:26" s="598" customFormat="1" ht="12.75" hidden="1">
      <c r="A44" s="584"/>
      <c r="B44" s="777"/>
      <c r="C44" s="777"/>
      <c r="D44" s="632"/>
      <c r="E44" s="632"/>
      <c r="F44" s="632"/>
      <c r="G44" s="632"/>
      <c r="H44" s="632"/>
      <c r="I44" s="632"/>
      <c r="J44" s="776"/>
      <c r="K44" s="776"/>
      <c r="L44" s="632"/>
      <c r="M44" s="632"/>
      <c r="N44" s="632"/>
      <c r="O44" s="632"/>
      <c r="P44" s="632"/>
      <c r="Q44" s="632"/>
      <c r="R44" s="632"/>
      <c r="S44" s="632"/>
      <c r="T44" s="632"/>
      <c r="U44" s="632"/>
      <c r="V44" s="632"/>
      <c r="W44" s="632"/>
      <c r="X44" s="632"/>
      <c r="Y44" s="632"/>
      <c r="Z44" s="633"/>
    </row>
    <row r="45" spans="1:26" s="566" customFormat="1" hidden="1">
      <c r="A45" s="585" t="s">
        <v>269</v>
      </c>
      <c r="B45" s="586"/>
      <c r="C45" s="586"/>
      <c r="D45" s="586"/>
      <c r="E45" s="586"/>
      <c r="F45" s="586"/>
      <c r="G45" s="586"/>
      <c r="H45" s="586"/>
      <c r="I45" s="586"/>
      <c r="J45" s="586"/>
      <c r="K45" s="586"/>
      <c r="L45" s="587"/>
      <c r="M45" s="587">
        <f>SUM(M44:M44)</f>
        <v>0</v>
      </c>
      <c r="N45" s="587">
        <f>SUM(N44:N44)</f>
        <v>0</v>
      </c>
      <c r="O45" s="587">
        <f>SUM(O44:O44)</f>
        <v>0</v>
      </c>
      <c r="P45" s="587">
        <f>SUM(P44:P44)</f>
        <v>0</v>
      </c>
      <c r="Q45" s="587">
        <f>SUM(Q44:Q44)</f>
        <v>0</v>
      </c>
      <c r="R45" s="587">
        <f>SUM(R44:R44)</f>
        <v>0</v>
      </c>
      <c r="S45" s="587">
        <f>SUM(S44:S44)</f>
        <v>0</v>
      </c>
      <c r="T45" s="587">
        <f>SUM(T44:T44)</f>
        <v>0</v>
      </c>
      <c r="U45" s="587">
        <f>SUM(U44:U44)</f>
        <v>0</v>
      </c>
      <c r="V45" s="587">
        <f>SUM(V44:V44)</f>
        <v>0</v>
      </c>
      <c r="W45" s="587">
        <f>SUM(W44:W44)</f>
        <v>0</v>
      </c>
      <c r="X45" s="588"/>
      <c r="Y45" s="588"/>
      <c r="Z45" s="589"/>
    </row>
    <row r="46" spans="1:26" s="566" customFormat="1">
      <c r="A46" s="585" t="s">
        <v>276</v>
      </c>
      <c r="B46" s="586"/>
      <c r="C46" s="586"/>
      <c r="D46" s="586"/>
      <c r="E46" s="586"/>
      <c r="F46" s="586"/>
      <c r="G46" s="586"/>
      <c r="H46" s="586"/>
      <c r="I46" s="586"/>
      <c r="J46" s="586"/>
      <c r="K46" s="586"/>
      <c r="L46" s="587"/>
      <c r="M46" s="587">
        <f>SUMIF($Z$44:$Z$44,"industrie",M44:M44)</f>
        <v>0</v>
      </c>
      <c r="N46" s="587">
        <f>SUMIF($Z$44:$Z$44,"industrie",N44:N44)</f>
        <v>0</v>
      </c>
      <c r="O46" s="587">
        <f>SUMIF($Z$44:$Z$44,"industrie",O44:O44)</f>
        <v>0</v>
      </c>
      <c r="P46" s="587">
        <f>SUMIF($Z$44:$Z$44,"industrie",P44:P44)</f>
        <v>0</v>
      </c>
      <c r="Q46" s="587">
        <f>SUMIF($Z$44:$Z$44,"industrie",Q44:Q44)</f>
        <v>0</v>
      </c>
      <c r="R46" s="587">
        <f>SUMIF($Z$44:$Z$44,"industrie",R44:R44)</f>
        <v>0</v>
      </c>
      <c r="S46" s="587">
        <f>SUMIF($Z$44:$Z$44,"industrie",S44:S44)</f>
        <v>0</v>
      </c>
      <c r="T46" s="587">
        <f>SUMIF($Z$44:$Z$44,"industrie",T44:T44)</f>
        <v>0</v>
      </c>
      <c r="U46" s="587">
        <f>SUMIF($Z$44:$Z$44,"industrie",U44:U44)</f>
        <v>0</v>
      </c>
      <c r="V46" s="587">
        <f>SUMIF($Z$44:$Z$44,"industrie",V44:V44)</f>
        <v>0</v>
      </c>
      <c r="W46" s="587">
        <f>SUMIF($Z$44:$Z$44,"industrie",W44:W44)</f>
        <v>0</v>
      </c>
      <c r="X46" s="588"/>
      <c r="Y46" s="588"/>
      <c r="Z46" s="589"/>
    </row>
    <row r="47" spans="1:26" s="566" customFormat="1">
      <c r="A47" s="585" t="s">
        <v>277</v>
      </c>
      <c r="B47" s="586"/>
      <c r="C47" s="586"/>
      <c r="D47" s="586"/>
      <c r="E47" s="586"/>
      <c r="F47" s="586"/>
      <c r="G47" s="586"/>
      <c r="H47" s="586"/>
      <c r="I47" s="586"/>
      <c r="J47" s="586"/>
      <c r="K47" s="586"/>
      <c r="L47" s="587"/>
      <c r="M47" s="587">
        <f>SUMIF($Z$44:$Z$45,"tertiair",M44:M45)</f>
        <v>0</v>
      </c>
      <c r="N47" s="587">
        <f>SUMIF($Z$44:$Z$45,"tertiair",N44:N45)</f>
        <v>0</v>
      </c>
      <c r="O47" s="587">
        <f>SUMIF($Z$44:$Z$45,"tertiair",O44:O45)</f>
        <v>0</v>
      </c>
      <c r="P47" s="587">
        <f>SUMIF($Z$44:$Z$45,"tertiair",P44:P45)</f>
        <v>0</v>
      </c>
      <c r="Q47" s="587">
        <f>SUMIF($Z$44:$Z$45,"tertiair",Q44:Q45)</f>
        <v>0</v>
      </c>
      <c r="R47" s="587">
        <f>SUMIF($Z$44:$Z$45,"tertiair",R44:R45)</f>
        <v>0</v>
      </c>
      <c r="S47" s="587">
        <f>SUMIF($Z$44:$Z$45,"tertiair",S44:S45)</f>
        <v>0</v>
      </c>
      <c r="T47" s="587">
        <f>SUMIF($Z$44:$Z$45,"tertiair",T44:T45)</f>
        <v>0</v>
      </c>
      <c r="U47" s="587">
        <f>SUMIF($Z$44:$Z$45,"tertiair",U44:U45)</f>
        <v>0</v>
      </c>
      <c r="V47" s="587">
        <f>SUMIF($Z$44:$Z$45,"tertiair",V44:V45)</f>
        <v>0</v>
      </c>
      <c r="W47" s="587">
        <f>SUMIF($Z$44:$Z$45,"tertiair",W44:W45)</f>
        <v>0</v>
      </c>
      <c r="X47" s="588"/>
      <c r="Y47" s="588"/>
      <c r="Z47" s="589"/>
    </row>
    <row r="48" spans="1:26" s="566" customFormat="1" ht="15.75" thickBot="1">
      <c r="A48" s="590" t="s">
        <v>278</v>
      </c>
      <c r="B48" s="591"/>
      <c r="C48" s="591"/>
      <c r="D48" s="591"/>
      <c r="E48" s="591"/>
      <c r="F48" s="591"/>
      <c r="G48" s="591"/>
      <c r="H48" s="591"/>
      <c r="I48" s="591"/>
      <c r="J48" s="591"/>
      <c r="K48" s="591"/>
      <c r="L48" s="592"/>
      <c r="M48" s="592">
        <f>SUMIF($Z$44:$Z$46,"landbouw",M44:M46)</f>
        <v>0</v>
      </c>
      <c r="N48" s="592">
        <f>SUMIF($Z$44:$Z$46,"landbouw",N44:N46)</f>
        <v>0</v>
      </c>
      <c r="O48" s="592">
        <f>SUMIF($Z$44:$Z$46,"landbouw",O44:O46)</f>
        <v>0</v>
      </c>
      <c r="P48" s="592">
        <f>SUMIF($Z$44:$Z$46,"landbouw",P44:P46)</f>
        <v>0</v>
      </c>
      <c r="Q48" s="592">
        <f>SUMIF($Z$44:$Z$46,"landbouw",Q44:Q46)</f>
        <v>0</v>
      </c>
      <c r="R48" s="592">
        <f>SUMIF($Z$44:$Z$46,"landbouw",R44:R46)</f>
        <v>0</v>
      </c>
      <c r="S48" s="592">
        <f>SUMIF($Z$44:$Z$46,"landbouw",S44:S46)</f>
        <v>0</v>
      </c>
      <c r="T48" s="592">
        <f>SUMIF($Z$44:$Z$46,"landbouw",T44:T46)</f>
        <v>0</v>
      </c>
      <c r="U48" s="592">
        <f>SUMIF($Z$44:$Z$46,"landbouw",U44:U46)</f>
        <v>0</v>
      </c>
      <c r="V48" s="592">
        <f>SUMIF($Z$44:$Z$46,"landbouw",V44:V46)</f>
        <v>0</v>
      </c>
      <c r="W48" s="592">
        <f>SUMIF($Z$44:$Z$46,"landbouw",W44:W46)</f>
        <v>0</v>
      </c>
      <c r="X48" s="593"/>
      <c r="Y48" s="593"/>
      <c r="Z48" s="594"/>
    </row>
    <row r="49" spans="1:27" s="599" customForma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row>
    <row r="50" spans="1:27" s="599" customFormat="1" ht="15.75" thickBot="1">
      <c r="A50" s="595"/>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c r="A51" s="600" t="s">
        <v>271</v>
      </c>
      <c r="B51" s="601"/>
      <c r="C51" s="601"/>
      <c r="D51" s="601"/>
      <c r="E51" s="601"/>
      <c r="F51" s="601"/>
      <c r="G51" s="601"/>
      <c r="H51" s="601"/>
      <c r="I51" s="602"/>
      <c r="J51" s="603"/>
      <c r="K51" s="603"/>
      <c r="L51" s="604"/>
      <c r="M51" s="604"/>
      <c r="N51" s="604"/>
      <c r="O51" s="604"/>
      <c r="P51" s="604"/>
    </row>
    <row r="52" spans="1:27">
      <c r="A52" s="606"/>
      <c r="B52" s="596"/>
      <c r="C52" s="596"/>
      <c r="D52" s="596"/>
      <c r="E52" s="596"/>
      <c r="F52" s="596"/>
      <c r="G52" s="596"/>
      <c r="H52" s="596"/>
      <c r="I52" s="607"/>
      <c r="J52" s="596"/>
      <c r="K52" s="596"/>
      <c r="L52" s="604"/>
      <c r="M52" s="604"/>
      <c r="N52" s="604"/>
      <c r="O52" s="604"/>
      <c r="P52" s="604"/>
    </row>
    <row r="53" spans="1:27">
      <c r="A53" s="608"/>
      <c r="B53" s="609" t="s">
        <v>272</v>
      </c>
      <c r="C53" s="609" t="s">
        <v>273</v>
      </c>
      <c r="D53" s="609"/>
      <c r="E53" s="609"/>
      <c r="F53" s="609"/>
      <c r="G53" s="609"/>
      <c r="H53" s="609"/>
      <c r="I53" s="610"/>
      <c r="J53" s="609"/>
      <c r="K53" s="609"/>
      <c r="L53" s="609"/>
      <c r="M53" s="609"/>
      <c r="N53" s="609"/>
      <c r="O53" s="609"/>
      <c r="P53" s="604"/>
    </row>
    <row r="54" spans="1:27">
      <c r="A54" s="606" t="s">
        <v>269</v>
      </c>
      <c r="B54" s="611">
        <f>IF(ISERROR(O38/(O38+N38)),0,O38/(O38+N38))</f>
        <v>0.58458260077912549</v>
      </c>
      <c r="C54" s="612">
        <f>IF(ISERROR(N38/(O38+N38)),0,N38/(N38+O38))</f>
        <v>0.41541739922087462</v>
      </c>
      <c r="D54" s="579"/>
      <c r="E54" s="579"/>
      <c r="F54" s="579"/>
      <c r="G54" s="579"/>
      <c r="H54" s="579"/>
      <c r="I54" s="613"/>
      <c r="J54" s="579"/>
      <c r="K54" s="579"/>
      <c r="L54" s="614"/>
      <c r="M54" s="614"/>
      <c r="N54" s="614"/>
      <c r="O54" s="614"/>
      <c r="P54" s="604"/>
    </row>
    <row r="55" spans="1:27">
      <c r="A55" s="606"/>
      <c r="B55" s="615"/>
      <c r="C55" s="615"/>
      <c r="D55" s="615"/>
      <c r="E55" s="615"/>
      <c r="F55" s="615"/>
      <c r="G55" s="615"/>
      <c r="H55" s="615"/>
      <c r="I55" s="616"/>
      <c r="J55" s="615"/>
      <c r="K55" s="615"/>
      <c r="L55" s="617"/>
      <c r="M55" s="617"/>
      <c r="N55" s="617"/>
      <c r="O55" s="617"/>
      <c r="P55" s="604"/>
    </row>
    <row r="56" spans="1:27" ht="30">
      <c r="A56" s="618"/>
      <c r="B56" s="619" t="s">
        <v>530</v>
      </c>
      <c r="C56" s="619" t="s">
        <v>96</v>
      </c>
      <c r="D56" s="619" t="s">
        <v>97</v>
      </c>
      <c r="E56" s="619" t="s">
        <v>98</v>
      </c>
      <c r="F56" s="619" t="s">
        <v>99</v>
      </c>
      <c r="G56" s="619" t="s">
        <v>100</v>
      </c>
      <c r="H56" s="619" t="s">
        <v>101</v>
      </c>
      <c r="I56" s="620" t="s">
        <v>102</v>
      </c>
      <c r="J56" s="609"/>
      <c r="K56" s="609"/>
      <c r="L56" s="617"/>
      <c r="M56" s="617"/>
      <c r="N56" s="617"/>
      <c r="O56" s="604"/>
      <c r="P56" s="604"/>
    </row>
    <row r="57" spans="1:27">
      <c r="A57" s="608" t="s">
        <v>274</v>
      </c>
      <c r="B57" s="621">
        <f t="shared" ref="B57:I57" si="2">$C$54*P38</f>
        <v>91882.613813100514</v>
      </c>
      <c r="C57" s="621">
        <f t="shared" si="2"/>
        <v>0</v>
      </c>
      <c r="D57" s="621">
        <f t="shared" si="2"/>
        <v>0</v>
      </c>
      <c r="E57" s="621">
        <f t="shared" si="2"/>
        <v>0</v>
      </c>
      <c r="F57" s="621">
        <f t="shared" si="2"/>
        <v>6083.2685398406829</v>
      </c>
      <c r="G57" s="621">
        <f t="shared" si="2"/>
        <v>0</v>
      </c>
      <c r="H57" s="621">
        <f t="shared" si="2"/>
        <v>0</v>
      </c>
      <c r="I57" s="622">
        <f t="shared" si="2"/>
        <v>0</v>
      </c>
      <c r="J57" s="579"/>
      <c r="K57" s="579"/>
      <c r="L57" s="617"/>
      <c r="M57" s="617"/>
      <c r="N57" s="617"/>
      <c r="O57" s="604"/>
      <c r="P57" s="604"/>
    </row>
    <row r="58" spans="1:27" ht="15.75" thickBot="1">
      <c r="A58" s="623" t="s">
        <v>275</v>
      </c>
      <c r="B58" s="624">
        <f t="shared" ref="B58:I58" si="3">$B$54*P38</f>
        <v>129298.8147583281</v>
      </c>
      <c r="C58" s="624">
        <f t="shared" si="3"/>
        <v>0</v>
      </c>
      <c r="D58" s="624">
        <f t="shared" si="3"/>
        <v>0</v>
      </c>
      <c r="E58" s="624">
        <f t="shared" si="3"/>
        <v>0</v>
      </c>
      <c r="F58" s="624">
        <f t="shared" si="3"/>
        <v>8560.4814601593189</v>
      </c>
      <c r="G58" s="624">
        <f t="shared" si="3"/>
        <v>0</v>
      </c>
      <c r="H58" s="624">
        <f t="shared" si="3"/>
        <v>0</v>
      </c>
      <c r="I58" s="625">
        <f t="shared" si="3"/>
        <v>0</v>
      </c>
      <c r="J58" s="579"/>
      <c r="K58" s="579"/>
      <c r="L58" s="617"/>
      <c r="M58" s="617"/>
      <c r="N58" s="617"/>
      <c r="O58" s="604"/>
      <c r="P58" s="604"/>
    </row>
    <row r="59" spans="1:27">
      <c r="J59" s="564"/>
      <c r="K59" s="564"/>
      <c r="L59" s="564"/>
      <c r="M59" s="564"/>
      <c r="N59" s="564"/>
    </row>
    <row r="60" spans="1:27">
      <c r="J60" s="564"/>
      <c r="K60" s="564"/>
      <c r="L60" s="564"/>
      <c r="M60" s="564"/>
      <c r="N60"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2021-11-11T13:18:54Z</dcterms:modified>
</cp:coreProperties>
</file>