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1B7CF8A0-E087-43C4-A769-7201414EFD6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D49" i="18"/>
  <c r="H49" i="18"/>
  <c r="E48" i="18"/>
  <c r="E8" i="18" s="1"/>
  <c r="E10" i="18" s="1"/>
  <c r="N6" i="17"/>
  <c r="F49" i="18" l="1"/>
  <c r="I17" i="18" s="1"/>
  <c r="I20" i="18" s="1"/>
  <c r="E49" i="18"/>
  <c r="E17" i="18" s="1"/>
  <c r="E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<sst xmlns="http://schemas.openxmlformats.org/spreadsheetml/2006/main" count="2511" uniqueCount="926">
  <si>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</si>
  <si>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</si>
  <si>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</si>
  <si>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</si>
  <si>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</si>
  <si>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</si>
  <si>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</si>
  <si>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</si>
  <si>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</si>
  <si>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</si>
  <si>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</si>
  <si>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</si>
  <si>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</si>
  <si>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</si>
  <si>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</si>
  <si>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</si>
  <si>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</si>
  <si>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</si>
  <si>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</si>
  <si>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</si>
  <si>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</si>
  <si>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</si>
  <si>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</si>
  <si>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</si>
  <si>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</si>
  <si>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</si>
  <si>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</si>
  <si>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</si>
  <si>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</si>
  <si>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</si>
  <si>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</si>
  <si>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</si>
  <si>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</si>
  <si>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</si>
  <si>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</si>
  <si>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</si>
  <si>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</si>
  <si>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</si>
  <si>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</si>
  <si>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</si>
  <si>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</si>
  <si>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</si>
  <si>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</si>
  <si>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</si>
  <si>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</si>
  <si>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</si>
  <si>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</si>
  <si>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</si>
  <si>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</si>
  <si>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</si>
  <si>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</si>
  <si>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</si>
  <si>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</si>
  <si>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</si>
  <si>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</si>
  <si>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</si>
  <si>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</si>
  <si>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</si>
  <si>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</si>
  <si>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</si>
  <si>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</si>
  <si>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</si>
  <si>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</si>
  <si>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</si>
  <si>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</si>
  <si>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</si>
  <si>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</si>
  <si>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</si>
  <si>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</si>
  <si>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</si>
  <si>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</si>
  <si>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</si>
  <si>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</si>
  <si>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</si>
  <si>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</si>
  <si>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</si>
  <si>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</si>
  <si>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</si>
  <si>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</si>
  <si>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</si>
  <si>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</si>
  <si>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</si>
  <si>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</si>
  <si>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</si>
  <si>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</si>
  <si>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</si>
  <si>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</si>
  <si>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</si>
  <si>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</si>
  <si>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</si>
  <si>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</si>
  <si>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</si>
  <si>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</si>
  <si>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</si>
  <si>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</si>
  <si>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</si>
  <si>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</si>
  <si>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</si>
  <si>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</si>
  <si>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</si>
  <si>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</si>
  <si>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</si>
  <si>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</si>
  <si>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</si>
  <si>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</si>
  <si>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</si>
  <si>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</si>
  <si>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</si>
  <si>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</si>
  <si>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</si>
  <si>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</si>
  <si>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</si>
  <si>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</si>
  <si>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</si>
  <si>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</si>
  <si>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</si>
  <si>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</si>
  <si>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</si>
  <si>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</si>
  <si>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</si>
  <si>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</si>
  <si>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</si>
  <si>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</si>
  <si>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</si>
  <si>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</si>
  <si>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</si>
  <si>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</si>
  <si>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</si>
  <si>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</si>
  <si>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</si>
  <si>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</si>
  <si>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</si>
  <si>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</si>
  <si>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</si>
  <si>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</si>
  <si>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</si>
  <si>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</si>
  <si>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</si>
  <si>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</si>
  <si>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</si>
  <si>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</si>
  <si>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</si>
  <si>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</si>
  <si>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</si>
  <si>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</si>
  <si>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</si>
  <si>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</si>
  <si>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</si>
  <si>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</si>
  <si>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</si>
  <si>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</si>
  <si>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</si>
  <si>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</si>
  <si>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</si>
  <si>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</si>
  <si>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</si>
  <si>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</si>
  <si>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</si>
  <si>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</si>
  <si>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</si>
  <si>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</si>
  <si>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</si>
  <si>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</si>
  <si>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</si>
  <si>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</si>
  <si>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</si>
  <si>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</si>
  <si>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</si>
  <si>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</si>
  <si>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</si>
  <si>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</si>
  <si>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</si>
  <si>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</si>
  <si>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</si>
  <si>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</si>
  <si>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</si>
  <si>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</si>
  <si>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</si>
  <si>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</si>
  <si>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</si>
  <si>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</si>
  <si>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</si>
  <si>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</si>
  <si>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</si>
  <si>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</si>
  <si>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</si>
  <si>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</si>
  <si>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</si>
  <si>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</si>
  <si>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</si>
  <si>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</si>
  <si>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</si>
  <si>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</si>
  <si>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</si>
  <si>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</si>
  <si>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</si>
  <si>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</si>
  <si>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</si>
  <si>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</si>
  <si>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</si>
  <si>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</si>
  <si>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</si>
  <si>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</si>
  <si>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</si>
  <si>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</si>
  <si>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</si>
  <si>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</si>
  <si>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</si>
  <si>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</si>
  <si>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</si>
  <si>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</si>
  <si>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</si>
  <si>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</si>
  <si>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</si>
  <si>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</si>
  <si>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</si>
  <si>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</si>
  <si>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</si>
  <si>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</si>
  <si>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</si>
  <si>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</si>
  <si>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</si>
  <si>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</si>
  <si>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</si>
  <si>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</si>
  <si>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</si>
  <si>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</si>
  <si>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</si>
  <si>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</si>
  <si>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</si>
  <si>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</si>
  <si>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</si>
  <si>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</si>
  <si>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</si>
  <si>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</si>
  <si>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</si>
  <si>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</si>
  <si>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</si>
  <si>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</si>
  <si>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</si>
  <si>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</si>
  <si>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</si>
  <si>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</si>
  <si>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</si>
  <si>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</si>
  <si>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</si>
  <si>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</si>
  <si>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</si>
  <si>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</si>
  <si>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</si>
  <si>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</si>
  <si>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</si>
  <si>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</si>
  <si>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</si>
  <si>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</si>
  <si>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</si>
  <si>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</si>
  <si>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</si>
  <si>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</si>
  <si>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</si>
  <si>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</si>
  <si>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</si>
  <si>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</si>
  <si>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</si>
  <si>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</si>
  <si>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</si>
  <si>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</si>
  <si>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</si>
  <si>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</si>
  <si>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</si>
  <si>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</si>
  <si>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</si>
  <si>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</si>
  <si>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</si>
  <si>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</si>
  <si>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</si>
  <si>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</si>
  <si>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</si>
  <si>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</si>
  <si>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</si>
  <si>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</si>
  <si>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</si>
  <si>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</si>
  <si>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</si>
  <si>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</si>
  <si>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</si>
  <si>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</si>
  <si>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</si>
  <si>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</si>
  <si>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</si>
  <si>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</si>
  <si>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</si>
  <si>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</si>
  <si>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</si>
  <si>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</si>
  <si>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</si>
  <si>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</si>
  <si>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</si>
  <si>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</si>
  <si>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</si>
  <si>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</si>
  <si>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</si>
  <si>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</si>
  <si>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</si>
  <si>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</si>
  <si>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</si>
  <si>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</si>
  <si>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</si>
  <si>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</si>
  <si>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</si>
  <si>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</si>
  <si>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</si>
  <si>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</si>
  <si>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</si>
  <si>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</si>
  <si>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</si>
  <si>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</si>
  <si>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</si>
  <si>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</si>
  <si>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</si>
  <si>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</si>
  <si>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</si>
  <si>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</si>
  <si>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</si>
  <si>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</si>
  <si>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</si>
  <si>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</si>
  <si>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</si>
  <si>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</si>
  <si>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</si>
  <si>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</si>
  <si>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</si>
  <si>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</si>
  <si>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</si>
  <si>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</si>
  <si>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</si>
  <si>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</si>
  <si>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</si>
  <si>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</si>
  <si>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</si>
  <si>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</si>
  <si>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</si>
  <si>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</si>
  <si>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</si>
  <si>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</si>
  <si>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</si>
  <si>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</si>
  <si>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</si>
  <si>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</si>
  <si>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</si>
  <si>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</si>
  <si>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</si>
  <si>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</si>
  <si>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</si>
  <si>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</si>
  <si>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</si>
  <si>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</si>
  <si>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</si>
  <si>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</si>
  <si>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</si>
  <si>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</si>
  <si>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</si>
  <si>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</si>
  <si>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</si>
  <si>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</si>
  <si>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</si>
  <si>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</si>
  <si>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</si>
  <si>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</si>
  <si>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</si>
  <si>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</si>
  <si>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</si>
  <si>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</si>
  <si>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</si>
  <si>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</si>
  <si>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</si>
  <si>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</si>
  <si>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</si>
  <si>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</si>
  <si>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</si>
  <si>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</si>
  <si>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</si>
  <si>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</si>
  <si>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</si>
  <si>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</si>
  <si>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</si>
  <si>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</si>
  <si>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</si>
  <si>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</si>
  <si>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</si>
  <si>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</si>
  <si>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</si>
  <si>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</si>
  <si>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</si>
  <si>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</si>
  <si>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</si>
  <si>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</si>
  <si>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</si>
  <si>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</si>
  <si>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</si>
  <si>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</si>
  <si>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</si>
  <si>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</si>
  <si>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</si>
  <si>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</si>
  <si>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</si>
  <si>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</si>
  <si>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</si>
  <si>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</si>
  <si>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</si>
  <si>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</si>
  <si>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</si>
  <si>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</si>
  <si>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</si>
  <si>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</si>
  <si>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</si>
  <si>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</si>
  <si>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</si>
  <si>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</si>
  <si>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</si>
  <si>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</si>
  <si>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</si>
  <si>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</si>
  <si>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</si>
  <si>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</si>
  <si>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</si>
  <si>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</si>
  <si>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</si>
  <si>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</si>
  <si>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</si>
  <si>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</si>
  <si>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</si>
  <si>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</si>
  <si>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</si>
  <si>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</si>
  <si>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</si>
  <si>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</si>
  <si>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</si>
  <si>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</si>
  <si>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</si>
  <si>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</si>
  <si>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</si>
  <si>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</si>
  <si>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</si>
  <si>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</si>
  <si>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</si>
  <si>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</si>
  <si>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</si>
  <si>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</si>
  <si>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</si>
  <si>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</si>
  <si>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</si>
  <si>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</si>
  <si>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</si>
  <si>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</si>
  <si>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</si>
  <si>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</si>
  <si>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</si>
  <si>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</si>
  <si>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</si>
  <si>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</si>
  <si>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</si>
  <si>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</si>
  <si>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</si>
  <si>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</si>
  <si>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</si>
  <si>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</si>
  <si>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</si>
  <si>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</si>
  <si>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</si>
  <si>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</si>
  <si>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</si>
  <si>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</si>
  <si>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</si>
  <si>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</si>
  <si>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</si>
  <si>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</si>
  <si>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</si>
  <si>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</si>
  <si>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</si>
  <si>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</si>
  <si>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</si>
  <si>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</si>
  <si>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</si>
  <si>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</si>
  <si>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</si>
  <si>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</si>
  <si>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</si>
  <si>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</si>
  <si>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</si>
  <si>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</si>
  <si>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</si>
  <si>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</si>
  <si>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</si>
  <si>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</si>
  <si>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</si>
  <si>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</si>
  <si>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</si>
  <si>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</si>
  <si>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</si>
  <si>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</si>
  <si>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</si>
  <si>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</si>
  <si>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</si>
  <si>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</si>
  <si>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</si>
  <si>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</si>
  <si>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</si>
  <si>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</si>
  <si>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</si>
  <si>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</si>
  <si>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</si>
  <si>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</si>
  <si>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</si>
  <si>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</si>
  <si>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</si>
  <si>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</si>
  <si>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</si>
  <si>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</si>
  <si>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</si>
  <si>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</si>
  <si>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</si>
  <si>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</si>
  <si>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</si>
  <si>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</si>
  <si>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</si>
  <si>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</si>
  <si>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</si>
  <si>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</si>
  <si>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</si>
  <si>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</si>
  <si>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</si>
  <si>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</si>
  <si>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</si>
  <si>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</si>
  <si>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</si>
  <si>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</si>
  <si>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</si>
  <si>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</si>
  <si>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</si>
  <si>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</si>
  <si>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</si>
  <si>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</si>
  <si>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</si>
  <si>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</si>
  <si>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</si>
  <si>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</si>
  <si>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</si>
  <si>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</si>
  <si>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</si>
  <si>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</si>
  <si>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</si>
  <si>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</si>
  <si>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</si>
  <si>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</si>
  <si>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</si>
  <si>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</si>
  <si>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</si>
  <si>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</si>
  <si>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</si>
  <si>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</si>
  <si>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</si>
  <si>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</si>
  <si>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</si>
  <si>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</si>
  <si>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</si>
  <si>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</si>
  <si>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</si>
  <si>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</si>
  <si>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</si>
  <si>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</si>
  <si>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</si>
  <si>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</si>
  <si>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</si>
  <si>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</si>
  <si>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</si>
  <si>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</si>
  <si>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</si>
  <si>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</si>
  <si>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</si>
  <si>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</si>
  <si>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</si>
  <si>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</si>
  <si>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</si>
  <si>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</si>
  <si>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</si>
  <si>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</si>
  <si>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</si>
  <si>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</si>
  <si>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</si>
  <si>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</si>
  <si>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</si>
  <si>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</si>
  <si>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</si>
  <si>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</si>
  <si>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</si>
  <si>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</si>
  <si>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</si>
  <si>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</si>
  <si>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</si>
  <si>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</si>
  <si>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</si>
  <si>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</si>
  <si>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</si>
  <si>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</si>
  <si>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</si>
  <si>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</si>
  <si>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</si>
  <si>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</si>
  <si>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</si>
  <si>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</si>
  <si>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</si>
  <si>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</si>
  <si>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</si>
  <si>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</si>
  <si>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</si>
  <si>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</si>
  <si>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</si>
  <si>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</si>
  <si>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</si>
  <si>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</si>
  <si>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</si>
  <si>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</si>
  <si>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</si>
  <si>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</si>
  <si>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</si>
  <si>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</si>
  <si>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</si>
  <si>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</si>
  <si>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</si>
  <si>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</si>
  <si>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</si>
  <si>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</si>
  <si>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</si>
  <si>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</si>
  <si>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</si>
  <si>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</si>
  <si>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</si>
  <si>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</si>
  <si>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</si>
  <si>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</si>
  <si>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</si>
  <si>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</si>
  <si>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</si>
  <si>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</si>
  <si>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</si>
  <si>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</si>
  <si>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</si>
  <si>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</si>
  <si>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</si>
  <si>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</si>
  <si>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</si>
  <si>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</si>
  <si>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</si>
  <si>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</si>
  <si>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</si>
  <si>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</si>
  <si>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</si>
  <si>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</si>
  <si>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</si>
  <si>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</si>
  <si>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</si>
  <si>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</si>
  <si>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</si>
  <si>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</si>
  <si>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</si>
  <si>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</si>
  <si>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</si>
  <si>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</si>
  <si>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</si>
  <si>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</si>
  <si>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</si>
  <si>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</si>
  <si>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</si>
  <si>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</si>
  <si>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</si>
  <si>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</si>
  <si>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</si>
  <si>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</si>
  <si>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</si>
  <si>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</si>
  <si>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</si>
  <si>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</si>
  <si>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</si>
  <si>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</si>
  <si>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</si>
  <si>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</si>
  <si>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</si>
  <si>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</si>
  <si>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</si>
  <si>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</si>
  <si>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</si>
  <si>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</si>
  <si>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</si>
  <si>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</si>
  <si>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</si>
  <si>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</si>
  <si>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</si>
  <si>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</si>
  <si>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</si>
  <si>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</si>
  <si>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</si>
  <si>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</si>
  <si>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</si>
  <si>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</si>
  <si>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</si>
  <si>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</si>
  <si>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</si>
  <si>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</si>
  <si>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</si>
  <si>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</si>
  <si>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</si>
  <si>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</si>
  <si>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</si>
  <si>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</si>
  <si>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</si>
  <si>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</si>
  <si>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</si>
  <si>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</si>
  <si>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</si>
  <si>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</si>
  <si>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</si>
  <si>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</si>
  <si>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</si>
  <si>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</si>
  <si>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</si>
  <si>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</si>
  <si>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</si>
  <si>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</si>
  <si>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</si>
  <si>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</si>
  <si>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</si>
  <si>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</si>
  <si>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</si>
  <si>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</si>
  <si>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</si>
  <si>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</si>
  <si>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</si>
  <si>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</si>
  <si>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</si>
  <si>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</si>
  <si>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</si>
  <si>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</si>
  <si>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</si>
  <si>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</si>
  <si>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</si>
  <si>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</si>
  <si>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</si>
  <si>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</si>
  <si>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</si>
  <si>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</si>
  <si>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</si>
  <si>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</si>
  <si>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</si>
  <si>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</si>
  <si>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</si>
  <si>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</si>
  <si>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</si>
  <si>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</si>
  <si>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</si>
  <si>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</si>
  <si>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</si>
  <si>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</si>
  <si>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</si>
  <si>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</si>
  <si>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</si>
  <si>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</si>
  <si>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</si>
  <si>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</si>
  <si>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</si>
  <si>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</si>
  <si>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</si>
  <si>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</si>
  <si>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</si>
  <si>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</si>
  <si>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</si>
  <si>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</si>
  <si>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</si>
  <si>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</si>
  <si>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</si>
  <si>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</si>
  <si>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</si>
  <si>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</si>
  <si>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</si>
  <si>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</si>
  <si>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</si>
  <si>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</si>
  <si>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</si>
  <si>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</si>
  <si>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</si>
  <si>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</si>
  <si>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</si>
  <si>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</si>
  <si>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</si>
  <si>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</si>
  <si>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</si>
  <si>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</si>
  <si>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</si>
  <si>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</si>
  <si>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</si>
  <si>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</si>
  <si>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</si>
  <si>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</si>
  <si>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</si>
  <si>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</si>
  <si>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</si>
  <si>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</si>
  <si>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</si>
  <si>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</si>
  <si>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</si>
  <si>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</si>
  <si>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</si>
  <si>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</si>
  <si>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</si>
  <si>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</si>
  <si>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</si>
  <si>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</si>
  <si>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</si>
  <si>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</si>
  <si>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</si>
  <si>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</si>
  <si>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</si>
  <si>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</si>
  <si>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</si>
  <si>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</si>
  <si>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</si>
  <si>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</si>
  <si>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</si>
  <si>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</si>
  <si>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</si>
  <si>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</si>
  <si>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</si>
  <si>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</si>
  <si>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</si>
  <si>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</si>
  <si>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</si>
  <si>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</si>
  <si>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</si>
  <si>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</si>
  <si>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</si>
  <si>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</si>
  <si>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</si>
  <si>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</si>
  <si>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</si>
  <si>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</si>
  <si>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</si>
  <si>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</si>
  <si>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</si>
  <si>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</si>
  <si>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</si>
  <si>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</si>
  <si>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</si>
  <si>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</si>
  <si>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</si>
  <si>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</si>
  <si>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</si>
  <si>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</si>
  <si>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</si>
  <si>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</si>
  <si>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</si>
  <si>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</si>
  <si>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</si>
  <si>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</si>
  <si>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</si>
  <si>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</si>
  <si>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</si>
  <si>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</si>
  <si>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</si>
  <si>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</si>
  <si>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</si>
  <si>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</si>
  <si>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</si>
  <si>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</si>
  <si>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</si>
  <si>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</si>
  <si>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</si>
  <si>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</si>
  <si>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</si>
  <si>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</si>
  <si>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</si>
  <si>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</si>
  <si>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</si>
  <si>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</si>
  <si>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</si>
  <si>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</si>
  <si>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</si>
  <si>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</si>
  <si>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</si>
  <si>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</si>
  <si>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</si>
  <si>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</si>
  <si>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</si>
  <si>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</si>
  <si>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</si>
  <si>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</si>
  <si>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</si>
  <si>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</si>
  <si>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</si>
  <si>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</si>
  <si>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</si>
  <si>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</si>
  <si>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</si>
  <si>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</si>
  <si>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</si>
  <si>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</si>
  <si>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</si>
  <si>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</si>
  <si>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</si>
  <si>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</si>
  <si>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</si>
  <si>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</si>
  <si>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</si>
  <si>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</si>
  <si>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</si>
  <si>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</si>
  <si>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</si>
  <si>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</si>
  <si>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</si>
  <si>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</si>
  <si>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11055</t>
  </si>
  <si>
    <t>ZOERSEL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</si>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</sst>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48E12B8-9FD8-4E42-A7EF-D34BA3A98A8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238809.03024663834</c:v>
                </c:pt>
                <c:pt idx="1">
                  <c:v>75097.931235567827</c:v>
                </c:pt>
                <c:pt idx="2">
                  <c:v>1266.6579999999999</c:v>
                </c:pt>
                <c:pt idx="3">
                  <c:v>3358.5076033663936</c:v>
                </c:pt>
                <c:pt idx="4">
                  <c:v>9012.9019038253991</c:v>
                </c:pt>
                <c:pt idx="5">
                  <c:v>128868.05483048757</c:v>
                </c:pt>
                <c:pt idx="6">
                  <c:v>1996.1165693368616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238809.03024663834</c:v>
                </c:pt>
                <c:pt idx="1">
                  <c:v>75097.931235567827</c:v>
                </c:pt>
                <c:pt idx="2">
                  <c:v>1266.6579999999999</c:v>
                </c:pt>
                <c:pt idx="3">
                  <c:v>3358.5076033663936</c:v>
                </c:pt>
                <c:pt idx="4">
                  <c:v>9012.9019038253991</c:v>
                </c:pt>
                <c:pt idx="5">
                  <c:v>128868.05483048757</c:v>
                </c:pt>
                <c:pt idx="6">
                  <c:v>1996.1165693368616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49386.542828834434</c:v>
                </c:pt>
                <c:pt idx="2">
                  <c:v>15503.807087046423</c:v>
                </c:pt>
                <c:pt idx="3">
                  <c:v>266.45037952172822</c:v>
                </c:pt>
                <c:pt idx="4">
                  <c:v>811.68444994233653</c:v>
                </c:pt>
                <c:pt idx="5">
                  <c:v>1918.3762778601067</c:v>
                </c:pt>
                <c:pt idx="6">
                  <c:v>32616.941256866667</c:v>
                </c:pt>
                <c:pt idx="7">
                  <c:v>509.64893088726052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49386.542828834434</c:v>
                </c:pt>
                <c:pt idx="2">
                  <c:v>15503.807087046423</c:v>
                </c:pt>
                <c:pt idx="3">
                  <c:v>266.45037952172822</c:v>
                </c:pt>
                <c:pt idx="4">
                  <c:v>811.68444994233653</c:v>
                </c:pt>
                <c:pt idx="5">
                  <c:v>1918.3762778601067</c:v>
                </c:pt>
                <c:pt idx="6">
                  <c:v>32616.941256866667</c:v>
                </c:pt>
                <c:pt idx="7">
                  <c:v>509.64893088726052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11055</v>
      </c>
      <c r="B6" s="385"/>
      <c r="C6" s="386"/>
    </row>
    <row r="7" spans="1:7" s="383" customFormat="1" ht="15.75" customHeight="1">
      <c r="A7" s="387" t="str">
        <f>txtMunicipality</f>
        <v>ZOERSEL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27749.101641360703</v>
      </c>
      <c r="D10" s="676">
        <f ca="1">tertiair!C16</f>
        <v>0</v>
      </c>
      <c r="E10" s="676">
        <f ca="1">tertiair!D16</f>
        <v>42480.31125150009</v>
      </c>
      <c r="F10" s="676">
        <f>tertiair!E16</f>
        <v>273.45094772591881</v>
      </c>
      <c r="G10" s="676">
        <f ca="1">tertiair!F16</f>
        <v>4831.2486792359559</v>
      </c>
      <c r="H10" s="676">
        <f>tertiair!G16</f>
        <v>0</v>
      </c>
      <c r="I10" s="676">
        <f>tertiair!H16</f>
        <v>0</v>
      </c>
      <c r="J10" s="676">
        <f>tertiair!I16</f>
        <v>0</v>
      </c>
      <c r="K10" s="676">
        <f>tertiair!J16</f>
        <v>0</v>
      </c>
      <c r="L10" s="676">
        <f>tertiair!K16</f>
        <v>0</v>
      </c>
      <c r="M10" s="676">
        <f ca="1">tertiair!L16</f>
        <v>0</v>
      </c>
      <c r="N10" s="676">
        <f>tertiair!M16</f>
        <v>0</v>
      </c>
      <c r="O10" s="676">
        <f ca="1">tertiair!N16</f>
        <v>1009.8467157451561</v>
      </c>
      <c r="P10" s="676">
        <f>tertiair!O16</f>
        <v>1.5633333333333335</v>
      </c>
      <c r="Q10" s="677">
        <f>tertiair!P16</f>
        <v>19.066666666666666</v>
      </c>
      <c r="R10" s="679">
        <f ca="1">SUM(C10:Q10)</f>
        <v>76364.589235567822</v>
      </c>
      <c r="S10" s="67"/>
    </row>
    <row r="11" spans="1:19" s="444" customFormat="1">
      <c r="A11" s="791" t="s">
        <v>214</v>
      </c>
      <c r="B11" s="796"/>
      <c r="C11" s="676">
        <f>huishoudens!B8</f>
        <v>46574.27632670405</v>
      </c>
      <c r="D11" s="676">
        <f>huishoudens!C8</f>
        <v>0</v>
      </c>
      <c r="E11" s="676">
        <f>huishoudens!D8</f>
        <v>124399.67267866306</v>
      </c>
      <c r="F11" s="676">
        <f>huishoudens!E8</f>
        <v>1678.5764400388061</v>
      </c>
      <c r="G11" s="676">
        <f>huishoudens!F8</f>
        <v>51440.768563067184</v>
      </c>
      <c r="H11" s="676">
        <f>huishoudens!G8</f>
        <v>0</v>
      </c>
      <c r="I11" s="676">
        <f>huishoudens!H8</f>
        <v>0</v>
      </c>
      <c r="J11" s="676">
        <f>huishoudens!I8</f>
        <v>0</v>
      </c>
      <c r="K11" s="676">
        <f>huishoudens!J8</f>
        <v>974.18572904367738</v>
      </c>
      <c r="L11" s="676">
        <f>huishoudens!K8</f>
        <v>0</v>
      </c>
      <c r="M11" s="676">
        <f>huishoudens!L8</f>
        <v>0</v>
      </c>
      <c r="N11" s="676">
        <f>huishoudens!M8</f>
        <v>0</v>
      </c>
      <c r="O11" s="676">
        <f>huishoudens!N8</f>
        <v>12916.597175788256</v>
      </c>
      <c r="P11" s="676">
        <f>huishoudens!O8</f>
        <v>272.02000000000004</v>
      </c>
      <c r="Q11" s="677">
        <f>huishoudens!P8</f>
        <v>552.93333333333339</v>
      </c>
      <c r="R11" s="679">
        <f>SUM(C11:Q11)</f>
        <v>238809.03024663834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2619.5285001773191</v>
      </c>
      <c r="D13" s="676">
        <f>industrie!C18</f>
        <v>0</v>
      </c>
      <c r="E13" s="676">
        <f>industrie!D18</f>
        <v>3581.5555048817846</v>
      </c>
      <c r="F13" s="676">
        <f>industrie!E18</f>
        <v>460.73398651841933</v>
      </c>
      <c r="G13" s="676">
        <f>industrie!F18</f>
        <v>2018.9068078884115</v>
      </c>
      <c r="H13" s="676">
        <f>industrie!G18</f>
        <v>0</v>
      </c>
      <c r="I13" s="676">
        <f>industrie!H18</f>
        <v>0</v>
      </c>
      <c r="J13" s="676">
        <f>industrie!I18</f>
        <v>0</v>
      </c>
      <c r="K13" s="676">
        <f>industrie!J18</f>
        <v>0.65302572544701121</v>
      </c>
      <c r="L13" s="676">
        <f>industrie!K18</f>
        <v>0</v>
      </c>
      <c r="M13" s="676">
        <f>industrie!L18</f>
        <v>0</v>
      </c>
      <c r="N13" s="676">
        <f>industrie!M18</f>
        <v>0</v>
      </c>
      <c r="O13" s="676">
        <f>industrie!N18</f>
        <v>331.52407863401794</v>
      </c>
      <c r="P13" s="676">
        <f>industrie!O18</f>
        <v>0</v>
      </c>
      <c r="Q13" s="677">
        <f>industrie!P18</f>
        <v>0</v>
      </c>
      <c r="R13" s="679">
        <f>SUM(C13:Q13)</f>
        <v>9012.9019038253991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76942.906468242072</v>
      </c>
      <c r="D16" s="711">
        <f t="shared" ref="D16:R16" ca="1" si="0">SUM(D9:D15)</f>
        <v>0</v>
      </c>
      <c r="E16" s="711">
        <f t="shared" ca="1" si="0"/>
        <v>170461.53943504492</v>
      </c>
      <c r="F16" s="711">
        <f t="shared" si="0"/>
        <v>2412.7613742831445</v>
      </c>
      <c r="G16" s="711">
        <f t="shared" ca="1" si="0"/>
        <v>58290.924050191548</v>
      </c>
      <c r="H16" s="711">
        <f t="shared" si="0"/>
        <v>0</v>
      </c>
      <c r="I16" s="711">
        <f t="shared" si="0"/>
        <v>0</v>
      </c>
      <c r="J16" s="711">
        <f t="shared" si="0"/>
        <v>0</v>
      </c>
      <c r="K16" s="711">
        <f t="shared" si="0"/>
        <v>974.83875476912442</v>
      </c>
      <c r="L16" s="711">
        <f t="shared" si="0"/>
        <v>0</v>
      </c>
      <c r="M16" s="711">
        <f t="shared" ca="1" si="0"/>
        <v>0</v>
      </c>
      <c r="N16" s="711">
        <f t="shared" si="0"/>
        <v>0</v>
      </c>
      <c r="O16" s="711">
        <f t="shared" ca="1" si="0"/>
        <v>14257.96797016743</v>
      </c>
      <c r="P16" s="711">
        <f t="shared" si="0"/>
        <v>273.58333333333337</v>
      </c>
      <c r="Q16" s="711">
        <f t="shared" si="0"/>
        <v>572.00000000000011</v>
      </c>
      <c r="R16" s="711">
        <f t="shared" ca="1" si="0"/>
        <v>324186.52138603159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9.7670577493345228</v>
      </c>
      <c r="D19" s="676">
        <f>transport!C54</f>
        <v>0</v>
      </c>
      <c r="E19" s="676">
        <f>transport!D54</f>
        <v>0</v>
      </c>
      <c r="F19" s="676">
        <f>transport!E54</f>
        <v>0</v>
      </c>
      <c r="G19" s="676">
        <f>transport!F54</f>
        <v>0</v>
      </c>
      <c r="H19" s="676">
        <f>transport!G54</f>
        <v>1901.1024790266447</v>
      </c>
      <c r="I19" s="676">
        <f>transport!H54</f>
        <v>0</v>
      </c>
      <c r="J19" s="676">
        <f>transport!I54</f>
        <v>0</v>
      </c>
      <c r="K19" s="676">
        <f>transport!J54</f>
        <v>0</v>
      </c>
      <c r="L19" s="676">
        <f>transport!K54</f>
        <v>0</v>
      </c>
      <c r="M19" s="676">
        <f>transport!L54</f>
        <v>0</v>
      </c>
      <c r="N19" s="676">
        <f>transport!M54</f>
        <v>85.247032560882332</v>
      </c>
      <c r="O19" s="676">
        <f>transport!N54</f>
        <v>0</v>
      </c>
      <c r="P19" s="676">
        <f>transport!O54</f>
        <v>0</v>
      </c>
      <c r="Q19" s="677">
        <f>transport!P54</f>
        <v>0</v>
      </c>
      <c r="R19" s="679">
        <f>SUM(C19:Q19)</f>
        <v>1996.1165693368616</v>
      </c>
      <c r="S19" s="67"/>
    </row>
    <row r="20" spans="1:19" s="444" customFormat="1">
      <c r="A20" s="791" t="s">
        <v>296</v>
      </c>
      <c r="B20" s="796"/>
      <c r="C20" s="676">
        <f>transport!B14</f>
        <v>9.8433381904296091</v>
      </c>
      <c r="D20" s="676">
        <f>transport!C14</f>
        <v>0</v>
      </c>
      <c r="E20" s="676">
        <f>transport!D14</f>
        <v>9.3459923765997122</v>
      </c>
      <c r="F20" s="676">
        <f>transport!E14</f>
        <v>352.28615393862447</v>
      </c>
      <c r="G20" s="676">
        <f>transport!F14</f>
        <v>0</v>
      </c>
      <c r="H20" s="676">
        <f>transport!G14</f>
        <v>106736.93376055355</v>
      </c>
      <c r="I20" s="676">
        <f>transport!H14</f>
        <v>16201.81718989026</v>
      </c>
      <c r="J20" s="676">
        <f>transport!I14</f>
        <v>0</v>
      </c>
      <c r="K20" s="676">
        <f>transport!J14</f>
        <v>0</v>
      </c>
      <c r="L20" s="676">
        <f>transport!K14</f>
        <v>0</v>
      </c>
      <c r="M20" s="676">
        <f>transport!L14</f>
        <v>0</v>
      </c>
      <c r="N20" s="676">
        <f>transport!M14</f>
        <v>5557.8283955380903</v>
      </c>
      <c r="O20" s="676">
        <f>transport!N14</f>
        <v>0</v>
      </c>
      <c r="P20" s="676">
        <f>transport!O14</f>
        <v>0</v>
      </c>
      <c r="Q20" s="677">
        <f>transport!P14</f>
        <v>0</v>
      </c>
      <c r="R20" s="679">
        <f>SUM(C20:Q20)</f>
        <v>128868.05483048757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19.610395939764132</v>
      </c>
      <c r="D22" s="794">
        <f t="shared" ref="D22:R22" si="1">SUM(D18:D21)</f>
        <v>0</v>
      </c>
      <c r="E22" s="794">
        <f t="shared" si="1"/>
        <v>9.3459923765997122</v>
      </c>
      <c r="F22" s="794">
        <f t="shared" si="1"/>
        <v>352.28615393862447</v>
      </c>
      <c r="G22" s="794">
        <f t="shared" si="1"/>
        <v>0</v>
      </c>
      <c r="H22" s="794">
        <f t="shared" si="1"/>
        <v>108638.03623958019</v>
      </c>
      <c r="I22" s="794">
        <f t="shared" si="1"/>
        <v>16201.81718989026</v>
      </c>
      <c r="J22" s="794">
        <f t="shared" si="1"/>
        <v>0</v>
      </c>
      <c r="K22" s="794">
        <f t="shared" si="1"/>
        <v>0</v>
      </c>
      <c r="L22" s="794">
        <f t="shared" si="1"/>
        <v>0</v>
      </c>
      <c r="M22" s="794">
        <f t="shared" si="1"/>
        <v>0</v>
      </c>
      <c r="N22" s="794">
        <f t="shared" si="1"/>
        <v>5643.0754280989722</v>
      </c>
      <c r="O22" s="794">
        <f t="shared" si="1"/>
        <v>0</v>
      </c>
      <c r="P22" s="794">
        <f t="shared" si="1"/>
        <v>0</v>
      </c>
      <c r="Q22" s="794">
        <f t="shared" si="1"/>
        <v>0</v>
      </c>
      <c r="R22" s="794">
        <f t="shared" si="1"/>
        <v>130864.17139982444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520.98230607542996</v>
      </c>
      <c r="D24" s="676">
        <f>+landbouw!C8</f>
        <v>0</v>
      </c>
      <c r="E24" s="676">
        <f>+landbouw!D8</f>
        <v>955.09096273040643</v>
      </c>
      <c r="F24" s="676">
        <f>+landbouw!E8</f>
        <v>6.5650482182216203</v>
      </c>
      <c r="G24" s="676">
        <f>+landbouw!F8</f>
        <v>1797.5194698264286</v>
      </c>
      <c r="H24" s="676">
        <f>+landbouw!G8</f>
        <v>0</v>
      </c>
      <c r="I24" s="676">
        <f>+landbouw!H8</f>
        <v>0</v>
      </c>
      <c r="J24" s="676">
        <f>+landbouw!I8</f>
        <v>0</v>
      </c>
      <c r="K24" s="676">
        <f>+landbouw!J8</f>
        <v>78.349816515907264</v>
      </c>
      <c r="L24" s="676">
        <f>+landbouw!K8</f>
        <v>0</v>
      </c>
      <c r="M24" s="676">
        <f>+landbouw!L8</f>
        <v>0</v>
      </c>
      <c r="N24" s="676">
        <f>+landbouw!M8</f>
        <v>0</v>
      </c>
      <c r="O24" s="676">
        <f>+landbouw!N8</f>
        <v>0</v>
      </c>
      <c r="P24" s="676">
        <f>+landbouw!O8</f>
        <v>0</v>
      </c>
      <c r="Q24" s="677">
        <f>+landbouw!P8</f>
        <v>0</v>
      </c>
      <c r="R24" s="679">
        <f>SUM(C24:Q24)</f>
        <v>3358.5076033663936</v>
      </c>
      <c r="S24" s="67"/>
    </row>
    <row r="25" spans="1:19" s="444" customFormat="1" ht="15" thickBot="1">
      <c r="A25" s="813" t="s">
        <v>833</v>
      </c>
      <c r="B25" s="977"/>
      <c r="C25" s="978">
        <f>IF(Onbekend_ele_kWh="---",0,Onbekend_ele_kWh)/1000+IF(REST_rest_ele_kWh="---",0,REST_rest_ele_kWh)/1000</f>
        <v>1129.78781992004</v>
      </c>
      <c r="D25" s="978"/>
      <c r="E25" s="978">
        <f>IF(onbekend_gas_kWh="---",0,onbekend_gas_kWh)/1000+IF(REST_rest_gas_kWh="---",0,REST_rest_gas_kWh)/1000</f>
        <v>3547.91968289431</v>
      </c>
      <c r="F25" s="978"/>
      <c r="G25" s="978"/>
      <c r="H25" s="978"/>
      <c r="I25" s="978"/>
      <c r="J25" s="978"/>
      <c r="K25" s="978"/>
      <c r="L25" s="978"/>
      <c r="M25" s="978"/>
      <c r="N25" s="978"/>
      <c r="O25" s="978"/>
      <c r="P25" s="978"/>
      <c r="Q25" s="979"/>
      <c r="R25" s="679">
        <f>SUM(C25:Q25)</f>
        <v>4677.7075028143499</v>
      </c>
      <c r="S25" s="67"/>
    </row>
    <row r="26" spans="1:19" s="444" customFormat="1" ht="15.75" thickBot="1">
      <c r="A26" s="684" t="s">
        <v>834</v>
      </c>
      <c r="B26" s="799"/>
      <c r="C26" s="794">
        <f>SUM(C24:C25)</f>
        <v>1650.7701259954699</v>
      </c>
      <c r="D26" s="794">
        <f t="shared" ref="D26:R26" si="2">SUM(D24:D25)</f>
        <v>0</v>
      </c>
      <c r="E26" s="794">
        <f t="shared" si="2"/>
        <v>4503.0106456247167</v>
      </c>
      <c r="F26" s="794">
        <f t="shared" si="2"/>
        <v>6.5650482182216203</v>
      </c>
      <c r="G26" s="794">
        <f t="shared" si="2"/>
        <v>1797.5194698264286</v>
      </c>
      <c r="H26" s="794">
        <f t="shared" si="2"/>
        <v>0</v>
      </c>
      <c r="I26" s="794">
        <f t="shared" si="2"/>
        <v>0</v>
      </c>
      <c r="J26" s="794">
        <f t="shared" si="2"/>
        <v>0</v>
      </c>
      <c r="K26" s="794">
        <f t="shared" si="2"/>
        <v>78.349816515907264</v>
      </c>
      <c r="L26" s="794">
        <f t="shared" si="2"/>
        <v>0</v>
      </c>
      <c r="M26" s="794">
        <f t="shared" si="2"/>
        <v>0</v>
      </c>
      <c r="N26" s="794">
        <f t="shared" si="2"/>
        <v>0</v>
      </c>
      <c r="O26" s="794">
        <f t="shared" si="2"/>
        <v>0</v>
      </c>
      <c r="P26" s="794">
        <f t="shared" si="2"/>
        <v>0</v>
      </c>
      <c r="Q26" s="794">
        <f t="shared" si="2"/>
        <v>0</v>
      </c>
      <c r="R26" s="794">
        <f t="shared" si="2"/>
        <v>8036.2151061807435</v>
      </c>
      <c r="S26" s="67"/>
    </row>
    <row r="27" spans="1:19" s="444" customFormat="1" ht="17.25" thickTop="1" thickBot="1">
      <c r="A27" s="685" t="s">
        <v>109</v>
      </c>
      <c r="B27" s="786"/>
      <c r="C27" s="686">
        <f ca="1">C22+C16+C26</f>
        <v>78613.286990177294</v>
      </c>
      <c r="D27" s="686">
        <f t="shared" ref="D27:R27" ca="1" si="3">D22+D16+D26</f>
        <v>0</v>
      </c>
      <c r="E27" s="686">
        <f t="shared" ca="1" si="3"/>
        <v>174973.89607304623</v>
      </c>
      <c r="F27" s="686">
        <f t="shared" si="3"/>
        <v>2771.6125764399908</v>
      </c>
      <c r="G27" s="686">
        <f t="shared" ca="1" si="3"/>
        <v>60088.44352001798</v>
      </c>
      <c r="H27" s="686">
        <f t="shared" si="3"/>
        <v>108638.03623958019</v>
      </c>
      <c r="I27" s="686">
        <f t="shared" si="3"/>
        <v>16201.81718989026</v>
      </c>
      <c r="J27" s="686">
        <f t="shared" si="3"/>
        <v>0</v>
      </c>
      <c r="K27" s="686">
        <f t="shared" si="3"/>
        <v>1053.1885712850317</v>
      </c>
      <c r="L27" s="686">
        <f t="shared" si="3"/>
        <v>0</v>
      </c>
      <c r="M27" s="686">
        <f t="shared" ca="1" si="3"/>
        <v>0</v>
      </c>
      <c r="N27" s="686">
        <f t="shared" si="3"/>
        <v>5643.0754280989722</v>
      </c>
      <c r="O27" s="686">
        <f t="shared" ca="1" si="3"/>
        <v>14257.96797016743</v>
      </c>
      <c r="P27" s="686">
        <f t="shared" si="3"/>
        <v>273.58333333333337</v>
      </c>
      <c r="Q27" s="686">
        <f t="shared" si="3"/>
        <v>572.00000000000011</v>
      </c>
      <c r="R27" s="686">
        <f t="shared" ca="1" si="3"/>
        <v>463086.90789203678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5837.2178312753495</v>
      </c>
      <c r="D40" s="676">
        <f ca="1">tertiair!C20</f>
        <v>0</v>
      </c>
      <c r="E40" s="676">
        <f ca="1">tertiair!D20</f>
        <v>8581.0228728030179</v>
      </c>
      <c r="F40" s="676">
        <f>tertiair!E20</f>
        <v>62.073365133783568</v>
      </c>
      <c r="G40" s="676">
        <f ca="1">tertiair!F20</f>
        <v>1289.9433973560003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15770.257466568151</v>
      </c>
    </row>
    <row r="41" spans="1:18">
      <c r="A41" s="804" t="s">
        <v>214</v>
      </c>
      <c r="B41" s="811"/>
      <c r="C41" s="676">
        <f ca="1">huishoudens!B12</f>
        <v>9797.2251414352868</v>
      </c>
      <c r="D41" s="676">
        <f ca="1">huishoudens!C12</f>
        <v>0</v>
      </c>
      <c r="E41" s="676">
        <f>huishoudens!D12</f>
        <v>25128.733881089938</v>
      </c>
      <c r="F41" s="676">
        <f>huishoudens!E12</f>
        <v>381.036851888809</v>
      </c>
      <c r="G41" s="676">
        <f>huishoudens!F12</f>
        <v>13734.68520633894</v>
      </c>
      <c r="H41" s="676">
        <f>huishoudens!G12</f>
        <v>0</v>
      </c>
      <c r="I41" s="676">
        <f>huishoudens!H12</f>
        <v>0</v>
      </c>
      <c r="J41" s="676">
        <f>huishoudens!I12</f>
        <v>0</v>
      </c>
      <c r="K41" s="676">
        <f>huishoudens!J12</f>
        <v>344.86174808146177</v>
      </c>
      <c r="L41" s="676">
        <f>huishoudens!K12</f>
        <v>0</v>
      </c>
      <c r="M41" s="676">
        <f>huishoudens!L12</f>
        <v>0</v>
      </c>
      <c r="N41" s="676">
        <f>huishoudens!M12</f>
        <v>0</v>
      </c>
      <c r="O41" s="676">
        <f>huishoudens!N12</f>
        <v>0</v>
      </c>
      <c r="P41" s="676">
        <f>huishoudens!O12</f>
        <v>0</v>
      </c>
      <c r="Q41" s="753">
        <f>huishoudens!P12</f>
        <v>0</v>
      </c>
      <c r="R41" s="832">
        <f t="shared" ca="1" si="4"/>
        <v>49386.542828834434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551.036162121291</v>
      </c>
      <c r="D43" s="676">
        <f ca="1">industrie!C22</f>
        <v>0</v>
      </c>
      <c r="E43" s="676">
        <f>industrie!D22</f>
        <v>723.47421198612051</v>
      </c>
      <c r="F43" s="676">
        <f>industrie!E22</f>
        <v>104.5866149396812</v>
      </c>
      <c r="G43" s="676">
        <f>industrie!F22</f>
        <v>539.04811770620586</v>
      </c>
      <c r="H43" s="676">
        <f>industrie!G22</f>
        <v>0</v>
      </c>
      <c r="I43" s="676">
        <f>industrie!H22</f>
        <v>0</v>
      </c>
      <c r="J43" s="676">
        <f>industrie!I22</f>
        <v>0</v>
      </c>
      <c r="K43" s="676">
        <f>industrie!J22</f>
        <v>0.23117110680824196</v>
      </c>
      <c r="L43" s="676">
        <f>industrie!K22</f>
        <v>0</v>
      </c>
      <c r="M43" s="676">
        <f>industrie!L22</f>
        <v>0</v>
      </c>
      <c r="N43" s="676">
        <f>industrie!M22</f>
        <v>0</v>
      </c>
      <c r="O43" s="676">
        <f>industrie!N22</f>
        <v>0</v>
      </c>
      <c r="P43" s="676">
        <f>industrie!O22</f>
        <v>0</v>
      </c>
      <c r="Q43" s="753">
        <f>industrie!P22</f>
        <v>0</v>
      </c>
      <c r="R43" s="831">
        <f t="shared" ca="1" si="4"/>
        <v>1918.3762778601067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16185.479134831927</v>
      </c>
      <c r="D46" s="711">
        <f t="shared" ref="D46:Q46" ca="1" si="5">SUM(D39:D45)</f>
        <v>0</v>
      </c>
      <c r="E46" s="711">
        <f t="shared" ca="1" si="5"/>
        <v>34433.230965879076</v>
      </c>
      <c r="F46" s="711">
        <f t="shared" si="5"/>
        <v>547.69683196227379</v>
      </c>
      <c r="G46" s="711">
        <f t="shared" ca="1" si="5"/>
        <v>15563.676721401147</v>
      </c>
      <c r="H46" s="711">
        <f t="shared" si="5"/>
        <v>0</v>
      </c>
      <c r="I46" s="711">
        <f t="shared" si="5"/>
        <v>0</v>
      </c>
      <c r="J46" s="711">
        <f t="shared" si="5"/>
        <v>0</v>
      </c>
      <c r="K46" s="711">
        <f t="shared" si="5"/>
        <v>345.09291918827</v>
      </c>
      <c r="L46" s="711">
        <f t="shared" si="5"/>
        <v>0</v>
      </c>
      <c r="M46" s="711">
        <f t="shared" ca="1" si="5"/>
        <v>0</v>
      </c>
      <c r="N46" s="711">
        <f t="shared" si="5"/>
        <v>0</v>
      </c>
      <c r="O46" s="711">
        <f t="shared" ca="1" si="5"/>
        <v>0</v>
      </c>
      <c r="P46" s="711">
        <f t="shared" si="5"/>
        <v>0</v>
      </c>
      <c r="Q46" s="711">
        <f t="shared" si="5"/>
        <v>0</v>
      </c>
      <c r="R46" s="711">
        <f ca="1">SUM(R39:R45)</f>
        <v>67075.176573262695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2.0545689871463493</v>
      </c>
      <c r="D49" s="676">
        <f ca="1">transport!C58</f>
        <v>0</v>
      </c>
      <c r="E49" s="676">
        <f>transport!D58</f>
        <v>0</v>
      </c>
      <c r="F49" s="676">
        <f>transport!E58</f>
        <v>0</v>
      </c>
      <c r="G49" s="676">
        <f>transport!F58</f>
        <v>0</v>
      </c>
      <c r="H49" s="676">
        <f>transport!G58</f>
        <v>507.59436190011417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509.64893088726052</v>
      </c>
    </row>
    <row r="50" spans="1:18">
      <c r="A50" s="807" t="s">
        <v>296</v>
      </c>
      <c r="B50" s="817"/>
      <c r="C50" s="682">
        <f ca="1">transport!B18</f>
        <v>2.0706151120513123</v>
      </c>
      <c r="D50" s="682">
        <f>transport!C18</f>
        <v>0</v>
      </c>
      <c r="E50" s="682">
        <f>transport!D18</f>
        <v>1.8878904600731419</v>
      </c>
      <c r="F50" s="682">
        <f>transport!E18</f>
        <v>79.968956944067756</v>
      </c>
      <c r="G50" s="682">
        <f>transport!F18</f>
        <v>0</v>
      </c>
      <c r="H50" s="682">
        <f>transport!G18</f>
        <v>28498.7613140678</v>
      </c>
      <c r="I50" s="682">
        <f>transport!H18</f>
        <v>4034.2524802826747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32616.941256866667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4.1251840991976616</v>
      </c>
      <c r="D52" s="711">
        <f t="shared" ref="D52:Q52" ca="1" si="6">SUM(D48:D51)</f>
        <v>0</v>
      </c>
      <c r="E52" s="711">
        <f t="shared" si="6"/>
        <v>1.8878904600731419</v>
      </c>
      <c r="F52" s="711">
        <f t="shared" si="6"/>
        <v>79.968956944067756</v>
      </c>
      <c r="G52" s="711">
        <f t="shared" si="6"/>
        <v>0</v>
      </c>
      <c r="H52" s="711">
        <f t="shared" si="6"/>
        <v>29006.355675967916</v>
      </c>
      <c r="I52" s="711">
        <f t="shared" si="6"/>
        <v>4034.2524802826747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33126.590187753929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109.59227603497037</v>
      </c>
      <c r="D54" s="682">
        <f ca="1">+landbouw!C12</f>
        <v>0</v>
      </c>
      <c r="E54" s="682">
        <f>+landbouw!D12</f>
        <v>192.9283744715421</v>
      </c>
      <c r="F54" s="682">
        <f>+landbouw!E12</f>
        <v>1.4902659455363079</v>
      </c>
      <c r="G54" s="682">
        <f>+landbouw!F12</f>
        <v>479.93769844365647</v>
      </c>
      <c r="H54" s="682">
        <f>+landbouw!G12</f>
        <v>0</v>
      </c>
      <c r="I54" s="682">
        <f>+landbouw!H12</f>
        <v>0</v>
      </c>
      <c r="J54" s="682">
        <f>+landbouw!I12</f>
        <v>0</v>
      </c>
      <c r="K54" s="682">
        <f>+landbouw!J12</f>
        <v>27.73583504663117</v>
      </c>
      <c r="L54" s="682">
        <f>+landbouw!K12</f>
        <v>0</v>
      </c>
      <c r="M54" s="682">
        <f>+landbouw!L12</f>
        <v>0</v>
      </c>
      <c r="N54" s="682">
        <f>+landbouw!M12</f>
        <v>0</v>
      </c>
      <c r="O54" s="682">
        <f>+landbouw!N12</f>
        <v>0</v>
      </c>
      <c r="P54" s="682">
        <f>+landbouw!O12</f>
        <v>0</v>
      </c>
      <c r="Q54" s="683">
        <f>+landbouw!P12</f>
        <v>0</v>
      </c>
      <c r="R54" s="710">
        <f ca="1">SUM(C54:Q54)</f>
        <v>811.68444994233653</v>
      </c>
    </row>
    <row r="55" spans="1:18" ht="15" thickBot="1">
      <c r="A55" s="807" t="s">
        <v>833</v>
      </c>
      <c r="B55" s="817"/>
      <c r="C55" s="682">
        <f ca="1">C25*'EF ele_warmte'!B12</f>
        <v>237.65877876800258</v>
      </c>
      <c r="D55" s="682"/>
      <c r="E55" s="682">
        <f>E25*EF_CO2_aardgas</f>
        <v>716.67977594465071</v>
      </c>
      <c r="F55" s="682"/>
      <c r="G55" s="682"/>
      <c r="H55" s="682"/>
      <c r="I55" s="682"/>
      <c r="J55" s="682"/>
      <c r="K55" s="682"/>
      <c r="L55" s="682"/>
      <c r="M55" s="682"/>
      <c r="N55" s="682"/>
      <c r="O55" s="682"/>
      <c r="P55" s="682"/>
      <c r="Q55" s="683"/>
      <c r="R55" s="710">
        <f ca="1">SUM(C55:Q55)</f>
        <v>954.33855471265326</v>
      </c>
    </row>
    <row r="56" spans="1:18" ht="15.75" thickBot="1">
      <c r="A56" s="805" t="s">
        <v>834</v>
      </c>
      <c r="B56" s="818"/>
      <c r="C56" s="711">
        <f ca="1">SUM(C54:C55)</f>
        <v>347.25105480297293</v>
      </c>
      <c r="D56" s="711">
        <f t="shared" ref="D56:Q56" ca="1" si="7">SUM(D54:D55)</f>
        <v>0</v>
      </c>
      <c r="E56" s="711">
        <f t="shared" si="7"/>
        <v>909.60815041619276</v>
      </c>
      <c r="F56" s="711">
        <f t="shared" si="7"/>
        <v>1.4902659455363079</v>
      </c>
      <c r="G56" s="711">
        <f t="shared" si="7"/>
        <v>479.93769844365647</v>
      </c>
      <c r="H56" s="711">
        <f t="shared" si="7"/>
        <v>0</v>
      </c>
      <c r="I56" s="711">
        <f t="shared" si="7"/>
        <v>0</v>
      </c>
      <c r="J56" s="711">
        <f t="shared" si="7"/>
        <v>0</v>
      </c>
      <c r="K56" s="711">
        <f t="shared" si="7"/>
        <v>27.73583504663117</v>
      </c>
      <c r="L56" s="711">
        <f t="shared" si="7"/>
        <v>0</v>
      </c>
      <c r="M56" s="711">
        <f t="shared" si="7"/>
        <v>0</v>
      </c>
      <c r="N56" s="711">
        <f t="shared" si="7"/>
        <v>0</v>
      </c>
      <c r="O56" s="711">
        <f t="shared" si="7"/>
        <v>0</v>
      </c>
      <c r="P56" s="711">
        <f t="shared" si="7"/>
        <v>0</v>
      </c>
      <c r="Q56" s="712">
        <f t="shared" si="7"/>
        <v>0</v>
      </c>
      <c r="R56" s="713">
        <f ca="1">SUM(R54:R55)</f>
        <v>1766.0230046549898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16536.855373734095</v>
      </c>
      <c r="D61" s="719">
        <f t="shared" ref="D61:Q61" ca="1" si="8">D46+D52+D56</f>
        <v>0</v>
      </c>
      <c r="E61" s="719">
        <f t="shared" ca="1" si="8"/>
        <v>35344.72700675534</v>
      </c>
      <c r="F61" s="719">
        <f t="shared" si="8"/>
        <v>629.1560548518778</v>
      </c>
      <c r="G61" s="719">
        <f t="shared" ca="1" si="8"/>
        <v>16043.614419844804</v>
      </c>
      <c r="H61" s="719">
        <f t="shared" si="8"/>
        <v>29006.355675967916</v>
      </c>
      <c r="I61" s="719">
        <f t="shared" si="8"/>
        <v>4034.2524802826747</v>
      </c>
      <c r="J61" s="719">
        <f t="shared" si="8"/>
        <v>0</v>
      </c>
      <c r="K61" s="719">
        <f t="shared" si="8"/>
        <v>372.82875423490117</v>
      </c>
      <c r="L61" s="719">
        <f t="shared" si="8"/>
        <v>0</v>
      </c>
      <c r="M61" s="719">
        <f t="shared" ca="1" si="8"/>
        <v>0</v>
      </c>
      <c r="N61" s="719">
        <f t="shared" si="8"/>
        <v>0</v>
      </c>
      <c r="O61" s="719">
        <f t="shared" ca="1" si="8"/>
        <v>0</v>
      </c>
      <c r="P61" s="719">
        <f t="shared" si="8"/>
        <v>0</v>
      </c>
      <c r="Q61" s="719">
        <f t="shared" si="8"/>
        <v>0</v>
      </c>
      <c r="R61" s="719">
        <f ca="1">R46+R52+R56</f>
        <v>101967.78976567161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0.21035700206506275</v>
      </c>
      <c r="D63" s="762">
        <f t="shared" ca="1" si="9"/>
        <v>0</v>
      </c>
      <c r="E63" s="984">
        <f t="shared" ca="1" si="9"/>
        <v>0.20200000000000001</v>
      </c>
      <c r="F63" s="762">
        <f t="shared" si="9"/>
        <v>0.22699999999999995</v>
      </c>
      <c r="G63" s="762">
        <f t="shared" ca="1" si="9"/>
        <v>0.26700000000000007</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3785.8871090275393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3785.8871090275393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46574.27632670405</v>
      </c>
      <c r="C4" s="448">
        <f>huishoudens!C8</f>
        <v>0</v>
      </c>
      <c r="D4" s="448">
        <f>huishoudens!D8</f>
        <v>124399.67267866306</v>
      </c>
      <c r="E4" s="448">
        <f>huishoudens!E8</f>
        <v>1678.5764400388061</v>
      </c>
      <c r="F4" s="448">
        <f>huishoudens!F8</f>
        <v>51440.768563067184</v>
      </c>
      <c r="G4" s="448">
        <f>huishoudens!G8</f>
        <v>0</v>
      </c>
      <c r="H4" s="448">
        <f>huishoudens!H8</f>
        <v>0</v>
      </c>
      <c r="I4" s="448">
        <f>huishoudens!I8</f>
        <v>0</v>
      </c>
      <c r="J4" s="448">
        <f>huishoudens!J8</f>
        <v>974.18572904367738</v>
      </c>
      <c r="K4" s="448">
        <f>huishoudens!K8</f>
        <v>0</v>
      </c>
      <c r="L4" s="448">
        <f>huishoudens!L8</f>
        <v>0</v>
      </c>
      <c r="M4" s="448">
        <f>huishoudens!M8</f>
        <v>0</v>
      </c>
      <c r="N4" s="448">
        <f>huishoudens!N8</f>
        <v>12916.597175788256</v>
      </c>
      <c r="O4" s="448">
        <f>huishoudens!O8</f>
        <v>272.02000000000004</v>
      </c>
      <c r="P4" s="449">
        <f>huishoudens!P8</f>
        <v>552.93333333333339</v>
      </c>
      <c r="Q4" s="450">
        <f>SUM(B4:P4)</f>
        <v>238809.03024663834</v>
      </c>
    </row>
    <row r="5" spans="1:17">
      <c r="A5" s="447" t="s">
        <v>149</v>
      </c>
      <c r="B5" s="448">
        <f ca="1">tertiair!B16</f>
        <v>26482.443641360704</v>
      </c>
      <c r="C5" s="448">
        <f ca="1">tertiair!C16</f>
        <v>0</v>
      </c>
      <c r="D5" s="448">
        <f ca="1">tertiair!D16</f>
        <v>42480.31125150009</v>
      </c>
      <c r="E5" s="448">
        <f>tertiair!E16</f>
        <v>273.45094772591881</v>
      </c>
      <c r="F5" s="448">
        <f ca="1">tertiair!F16</f>
        <v>4831.2486792359559</v>
      </c>
      <c r="G5" s="448">
        <f>tertiair!G16</f>
        <v>0</v>
      </c>
      <c r="H5" s="448">
        <f>tertiair!H16</f>
        <v>0</v>
      </c>
      <c r="I5" s="448">
        <f>tertiair!I16</f>
        <v>0</v>
      </c>
      <c r="J5" s="448">
        <f>tertiair!J16</f>
        <v>0</v>
      </c>
      <c r="K5" s="448">
        <f>tertiair!K16</f>
        <v>0</v>
      </c>
      <c r="L5" s="448">
        <f ca="1">tertiair!L16</f>
        <v>0</v>
      </c>
      <c r="M5" s="448">
        <f>tertiair!M16</f>
        <v>0</v>
      </c>
      <c r="N5" s="448">
        <f ca="1">tertiair!N16</f>
        <v>1009.8467157451561</v>
      </c>
      <c r="O5" s="448">
        <f>tertiair!O16</f>
        <v>1.5633333333333335</v>
      </c>
      <c r="P5" s="449">
        <f>tertiair!P16</f>
        <v>19.066666666666666</v>
      </c>
      <c r="Q5" s="447">
        <f t="shared" ref="Q5:Q14" ca="1" si="0">SUM(B5:P5)</f>
        <v>75097.931235567827</v>
      </c>
    </row>
    <row r="6" spans="1:17">
      <c r="A6" s="447" t="s">
        <v>187</v>
      </c>
      <c r="B6" s="448">
        <f>'openbare verlichting'!B8</f>
        <v>1266.6579999999999</v>
      </c>
      <c r="C6" s="448"/>
      <c r="D6" s="448"/>
      <c r="E6" s="448"/>
      <c r="F6" s="448"/>
      <c r="G6" s="448"/>
      <c r="H6" s="448"/>
      <c r="I6" s="448"/>
      <c r="J6" s="448"/>
      <c r="K6" s="448"/>
      <c r="L6" s="448"/>
      <c r="M6" s="448"/>
      <c r="N6" s="448"/>
      <c r="O6" s="448"/>
      <c r="P6" s="449"/>
      <c r="Q6" s="447">
        <f t="shared" si="0"/>
        <v>1266.6579999999999</v>
      </c>
    </row>
    <row r="7" spans="1:17">
      <c r="A7" s="447" t="s">
        <v>105</v>
      </c>
      <c r="B7" s="448">
        <f>landbouw!B8</f>
        <v>520.98230607542996</v>
      </c>
      <c r="C7" s="448">
        <f>landbouw!C8</f>
        <v>0</v>
      </c>
      <c r="D7" s="448">
        <f>landbouw!D8</f>
        <v>955.09096273040643</v>
      </c>
      <c r="E7" s="448">
        <f>landbouw!E8</f>
        <v>6.5650482182216203</v>
      </c>
      <c r="F7" s="448">
        <f>landbouw!F8</f>
        <v>1797.5194698264286</v>
      </c>
      <c r="G7" s="448">
        <f>landbouw!G8</f>
        <v>0</v>
      </c>
      <c r="H7" s="448">
        <f>landbouw!H8</f>
        <v>0</v>
      </c>
      <c r="I7" s="448">
        <f>landbouw!I8</f>
        <v>0</v>
      </c>
      <c r="J7" s="448">
        <f>landbouw!J8</f>
        <v>78.349816515907264</v>
      </c>
      <c r="K7" s="448">
        <f>landbouw!K8</f>
        <v>0</v>
      </c>
      <c r="L7" s="448">
        <f>landbouw!L8</f>
        <v>0</v>
      </c>
      <c r="M7" s="448">
        <f>landbouw!M8</f>
        <v>0</v>
      </c>
      <c r="N7" s="448">
        <f>landbouw!N8</f>
        <v>0</v>
      </c>
      <c r="O7" s="448">
        <f>landbouw!O8</f>
        <v>0</v>
      </c>
      <c r="P7" s="449">
        <f>landbouw!P8</f>
        <v>0</v>
      </c>
      <c r="Q7" s="447">
        <f t="shared" si="0"/>
        <v>3358.5076033663936</v>
      </c>
    </row>
    <row r="8" spans="1:17">
      <c r="A8" s="447" t="s">
        <v>639</v>
      </c>
      <c r="B8" s="448">
        <f>industrie!B18</f>
        <v>2619.5285001773191</v>
      </c>
      <c r="C8" s="448">
        <f>industrie!C18</f>
        <v>0</v>
      </c>
      <c r="D8" s="448">
        <f>industrie!D18</f>
        <v>3581.5555048817846</v>
      </c>
      <c r="E8" s="448">
        <f>industrie!E18</f>
        <v>460.73398651841933</v>
      </c>
      <c r="F8" s="448">
        <f>industrie!F18</f>
        <v>2018.9068078884115</v>
      </c>
      <c r="G8" s="448">
        <f>industrie!G18</f>
        <v>0</v>
      </c>
      <c r="H8" s="448">
        <f>industrie!H18</f>
        <v>0</v>
      </c>
      <c r="I8" s="448">
        <f>industrie!I18</f>
        <v>0</v>
      </c>
      <c r="J8" s="448">
        <f>industrie!J18</f>
        <v>0.65302572544701121</v>
      </c>
      <c r="K8" s="448">
        <f>industrie!K18</f>
        <v>0</v>
      </c>
      <c r="L8" s="448">
        <f>industrie!L18</f>
        <v>0</v>
      </c>
      <c r="M8" s="448">
        <f>industrie!M18</f>
        <v>0</v>
      </c>
      <c r="N8" s="448">
        <f>industrie!N18</f>
        <v>331.52407863401794</v>
      </c>
      <c r="O8" s="448">
        <f>industrie!O18</f>
        <v>0</v>
      </c>
      <c r="P8" s="449">
        <f>industrie!P18</f>
        <v>0</v>
      </c>
      <c r="Q8" s="447">
        <f t="shared" si="0"/>
        <v>9012.9019038253991</v>
      </c>
    </row>
    <row r="9" spans="1:17" s="453" customFormat="1">
      <c r="A9" s="451" t="s">
        <v>557</v>
      </c>
      <c r="B9" s="452">
        <f>transport!B14</f>
        <v>9.8433381904296091</v>
      </c>
      <c r="C9" s="452">
        <f>transport!C14</f>
        <v>0</v>
      </c>
      <c r="D9" s="452">
        <f>transport!D14</f>
        <v>9.3459923765997122</v>
      </c>
      <c r="E9" s="452">
        <f>transport!E14</f>
        <v>352.28615393862447</v>
      </c>
      <c r="F9" s="452">
        <f>transport!F14</f>
        <v>0</v>
      </c>
      <c r="G9" s="452">
        <f>transport!G14</f>
        <v>106736.93376055355</v>
      </c>
      <c r="H9" s="452">
        <f>transport!H14</f>
        <v>16201.81718989026</v>
      </c>
      <c r="I9" s="452">
        <f>transport!I14</f>
        <v>0</v>
      </c>
      <c r="J9" s="452">
        <f>transport!J14</f>
        <v>0</v>
      </c>
      <c r="K9" s="452">
        <f>transport!K14</f>
        <v>0</v>
      </c>
      <c r="L9" s="452">
        <f>transport!L14</f>
        <v>0</v>
      </c>
      <c r="M9" s="452">
        <f>transport!M14</f>
        <v>5557.8283955380903</v>
      </c>
      <c r="N9" s="452">
        <f>transport!N14</f>
        <v>0</v>
      </c>
      <c r="O9" s="452">
        <f>transport!O14</f>
        <v>0</v>
      </c>
      <c r="P9" s="452">
        <f>transport!P14</f>
        <v>0</v>
      </c>
      <c r="Q9" s="451">
        <f>SUM(B9:P9)</f>
        <v>128868.05483048757</v>
      </c>
    </row>
    <row r="10" spans="1:17">
      <c r="A10" s="447" t="s">
        <v>547</v>
      </c>
      <c r="B10" s="448">
        <f>transport!B54</f>
        <v>9.7670577493345228</v>
      </c>
      <c r="C10" s="448">
        <f>transport!C54</f>
        <v>0</v>
      </c>
      <c r="D10" s="448">
        <f>transport!D54</f>
        <v>0</v>
      </c>
      <c r="E10" s="448">
        <f>transport!E54</f>
        <v>0</v>
      </c>
      <c r="F10" s="448">
        <f>transport!F54</f>
        <v>0</v>
      </c>
      <c r="G10" s="448">
        <f>transport!G54</f>
        <v>1901.1024790266447</v>
      </c>
      <c r="H10" s="448">
        <f>transport!H54</f>
        <v>0</v>
      </c>
      <c r="I10" s="448">
        <f>transport!I54</f>
        <v>0</v>
      </c>
      <c r="J10" s="448">
        <f>transport!J54</f>
        <v>0</v>
      </c>
      <c r="K10" s="448">
        <f>transport!K54</f>
        <v>0</v>
      </c>
      <c r="L10" s="448">
        <f>transport!L54</f>
        <v>0</v>
      </c>
      <c r="M10" s="448">
        <f>transport!M54</f>
        <v>85.247032560882332</v>
      </c>
      <c r="N10" s="448">
        <f>transport!N54</f>
        <v>0</v>
      </c>
      <c r="O10" s="448">
        <f>transport!O54</f>
        <v>0</v>
      </c>
      <c r="P10" s="449">
        <f>transport!P54</f>
        <v>0</v>
      </c>
      <c r="Q10" s="447">
        <f t="shared" si="0"/>
        <v>1996.1165693368616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1129.78781992004</v>
      </c>
      <c r="C14" s="455"/>
      <c r="D14" s="455">
        <f>'SEAP template'!E25</f>
        <v>3547.91968289431</v>
      </c>
      <c r="E14" s="455"/>
      <c r="F14" s="455"/>
      <c r="G14" s="455"/>
      <c r="H14" s="455"/>
      <c r="I14" s="455"/>
      <c r="J14" s="455"/>
      <c r="K14" s="455"/>
      <c r="L14" s="455"/>
      <c r="M14" s="455"/>
      <c r="N14" s="455"/>
      <c r="O14" s="455"/>
      <c r="P14" s="456"/>
      <c r="Q14" s="447">
        <f t="shared" si="0"/>
        <v>4677.7075028143499</v>
      </c>
    </row>
    <row r="15" spans="1:17" s="460" customFormat="1">
      <c r="A15" s="457" t="s">
        <v>551</v>
      </c>
      <c r="B15" s="458">
        <f ca="1">SUM(B4:B14)</f>
        <v>78613.286990177294</v>
      </c>
      <c r="C15" s="458">
        <f t="shared" ref="C15:Q15" ca="1" si="1">SUM(C4:C14)</f>
        <v>0</v>
      </c>
      <c r="D15" s="458">
        <f t="shared" ca="1" si="1"/>
        <v>174973.89607304623</v>
      </c>
      <c r="E15" s="458">
        <f t="shared" si="1"/>
        <v>2771.6125764399903</v>
      </c>
      <c r="F15" s="458">
        <f t="shared" ca="1" si="1"/>
        <v>60088.44352001798</v>
      </c>
      <c r="G15" s="458">
        <f t="shared" si="1"/>
        <v>108638.03623958019</v>
      </c>
      <c r="H15" s="458">
        <f t="shared" si="1"/>
        <v>16201.81718989026</v>
      </c>
      <c r="I15" s="458">
        <f t="shared" si="1"/>
        <v>0</v>
      </c>
      <c r="J15" s="458">
        <f t="shared" si="1"/>
        <v>1053.1885712850315</v>
      </c>
      <c r="K15" s="458">
        <f t="shared" si="1"/>
        <v>0</v>
      </c>
      <c r="L15" s="458">
        <f t="shared" ca="1" si="1"/>
        <v>0</v>
      </c>
      <c r="M15" s="458">
        <f t="shared" si="1"/>
        <v>5643.0754280989722</v>
      </c>
      <c r="N15" s="458">
        <f t="shared" ca="1" si="1"/>
        <v>14257.96797016743</v>
      </c>
      <c r="O15" s="458">
        <f t="shared" si="1"/>
        <v>273.58333333333337</v>
      </c>
      <c r="P15" s="458">
        <f t="shared" si="1"/>
        <v>572.00000000000011</v>
      </c>
      <c r="Q15" s="458">
        <f t="shared" ca="1" si="1"/>
        <v>463086.90789203678</v>
      </c>
    </row>
    <row r="17" spans="1:17">
      <c r="A17" s="461" t="s">
        <v>552</v>
      </c>
      <c r="B17" s="767">
        <f ca="1">huishoudens!B10</f>
        <v>0.21035700206506275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9797.2251414352868</v>
      </c>
      <c r="C22" s="448">
        <f t="shared" ref="C22:C32" ca="1" si="3">C4*$C$17</f>
        <v>0</v>
      </c>
      <c r="D22" s="448">
        <f t="shared" ref="D22:D32" si="4">D4*$D$17</f>
        <v>25128.733881089938</v>
      </c>
      <c r="E22" s="448">
        <f t="shared" ref="E22:E32" si="5">E4*$E$17</f>
        <v>381.036851888809</v>
      </c>
      <c r="F22" s="448">
        <f t="shared" ref="F22:F32" si="6">F4*$F$17</f>
        <v>13734.68520633894</v>
      </c>
      <c r="G22" s="448">
        <f t="shared" ref="G22:G32" si="7">G4*$G$17</f>
        <v>0</v>
      </c>
      <c r="H22" s="448">
        <f t="shared" ref="H22:H32" si="8">H4*$H$17</f>
        <v>0</v>
      </c>
      <c r="I22" s="448">
        <f t="shared" ref="I22:I32" si="9">I4*$I$17</f>
        <v>0</v>
      </c>
      <c r="J22" s="448">
        <f t="shared" ref="J22:J32" si="10">J4*$J$17</f>
        <v>344.86174808146177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49386.542828834434</v>
      </c>
    </row>
    <row r="23" spans="1:17">
      <c r="A23" s="447" t="s">
        <v>149</v>
      </c>
      <c r="B23" s="448">
        <f t="shared" ca="1" si="2"/>
        <v>5570.7674517536216</v>
      </c>
      <c r="C23" s="448">
        <f t="shared" ca="1" si="3"/>
        <v>0</v>
      </c>
      <c r="D23" s="448">
        <f t="shared" ca="1" si="4"/>
        <v>8581.0228728030179</v>
      </c>
      <c r="E23" s="448">
        <f t="shared" si="5"/>
        <v>62.073365133783568</v>
      </c>
      <c r="F23" s="448">
        <f t="shared" ca="1" si="6"/>
        <v>1289.9433973560003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15503.807087046423</v>
      </c>
    </row>
    <row r="24" spans="1:17">
      <c r="A24" s="447" t="s">
        <v>187</v>
      </c>
      <c r="B24" s="448">
        <f t="shared" ca="1" si="2"/>
        <v>266.45037952172822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266.45037952172822</v>
      </c>
    </row>
    <row r="25" spans="1:17">
      <c r="A25" s="447" t="s">
        <v>105</v>
      </c>
      <c r="B25" s="448">
        <f t="shared" ca="1" si="2"/>
        <v>109.59227603497037</v>
      </c>
      <c r="C25" s="448">
        <f t="shared" ca="1" si="3"/>
        <v>0</v>
      </c>
      <c r="D25" s="448">
        <f t="shared" si="4"/>
        <v>192.9283744715421</v>
      </c>
      <c r="E25" s="448">
        <f t="shared" si="5"/>
        <v>1.4902659455363079</v>
      </c>
      <c r="F25" s="448">
        <f t="shared" si="6"/>
        <v>479.93769844365647</v>
      </c>
      <c r="G25" s="448">
        <f t="shared" si="7"/>
        <v>0</v>
      </c>
      <c r="H25" s="448">
        <f t="shared" si="8"/>
        <v>0</v>
      </c>
      <c r="I25" s="448">
        <f t="shared" si="9"/>
        <v>0</v>
      </c>
      <c r="J25" s="448">
        <f t="shared" si="10"/>
        <v>27.73583504663117</v>
      </c>
      <c r="K25" s="448">
        <f t="shared" si="11"/>
        <v>0</v>
      </c>
      <c r="L25" s="448">
        <f t="shared" si="12"/>
        <v>0</v>
      </c>
      <c r="M25" s="448">
        <f t="shared" si="13"/>
        <v>0</v>
      </c>
      <c r="N25" s="448">
        <f t="shared" si="14"/>
        <v>0</v>
      </c>
      <c r="O25" s="448">
        <f t="shared" si="15"/>
        <v>0</v>
      </c>
      <c r="P25" s="449">
        <f t="shared" si="16"/>
        <v>0</v>
      </c>
      <c r="Q25" s="447">
        <f t="shared" ca="1" si="17"/>
        <v>811.68444994233653</v>
      </c>
    </row>
    <row r="26" spans="1:17">
      <c r="A26" s="447" t="s">
        <v>639</v>
      </c>
      <c r="B26" s="448">
        <f t="shared" ca="1" si="2"/>
        <v>551.036162121291</v>
      </c>
      <c r="C26" s="448">
        <f t="shared" ca="1" si="3"/>
        <v>0</v>
      </c>
      <c r="D26" s="448">
        <f t="shared" si="4"/>
        <v>723.47421198612051</v>
      </c>
      <c r="E26" s="448">
        <f t="shared" si="5"/>
        <v>104.5866149396812</v>
      </c>
      <c r="F26" s="448">
        <f t="shared" si="6"/>
        <v>539.04811770620586</v>
      </c>
      <c r="G26" s="448">
        <f t="shared" si="7"/>
        <v>0</v>
      </c>
      <c r="H26" s="448">
        <f t="shared" si="8"/>
        <v>0</v>
      </c>
      <c r="I26" s="448">
        <f t="shared" si="9"/>
        <v>0</v>
      </c>
      <c r="J26" s="448">
        <f t="shared" si="10"/>
        <v>0.23117110680824196</v>
      </c>
      <c r="K26" s="448">
        <f t="shared" si="11"/>
        <v>0</v>
      </c>
      <c r="L26" s="448">
        <f t="shared" si="12"/>
        <v>0</v>
      </c>
      <c r="M26" s="448">
        <f t="shared" si="13"/>
        <v>0</v>
      </c>
      <c r="N26" s="448">
        <f t="shared" si="14"/>
        <v>0</v>
      </c>
      <c r="O26" s="448">
        <f t="shared" si="15"/>
        <v>0</v>
      </c>
      <c r="P26" s="449">
        <f t="shared" si="16"/>
        <v>0</v>
      </c>
      <c r="Q26" s="447">
        <f t="shared" ca="1" si="17"/>
        <v>1918.3762778601067</v>
      </c>
    </row>
    <row r="27" spans="1:17" s="453" customFormat="1">
      <c r="A27" s="451" t="s">
        <v>557</v>
      </c>
      <c r="B27" s="761">
        <f t="shared" ca="1" si="2"/>
        <v>2.0706151120513123</v>
      </c>
      <c r="C27" s="452">
        <f t="shared" ca="1" si="3"/>
        <v>0</v>
      </c>
      <c r="D27" s="452">
        <f t="shared" si="4"/>
        <v>1.8878904600731419</v>
      </c>
      <c r="E27" s="452">
        <f t="shared" si="5"/>
        <v>79.968956944067756</v>
      </c>
      <c r="F27" s="452">
        <f t="shared" si="6"/>
        <v>0</v>
      </c>
      <c r="G27" s="452">
        <f t="shared" si="7"/>
        <v>28498.7613140678</v>
      </c>
      <c r="H27" s="452">
        <f t="shared" si="8"/>
        <v>4034.2524802826747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32616.941256866667</v>
      </c>
    </row>
    <row r="28" spans="1:17">
      <c r="A28" s="447" t="s">
        <v>547</v>
      </c>
      <c r="B28" s="448">
        <f t="shared" ca="1" si="2"/>
        <v>2.0545689871463493</v>
      </c>
      <c r="C28" s="448">
        <f t="shared" ca="1" si="3"/>
        <v>0</v>
      </c>
      <c r="D28" s="448">
        <f t="shared" si="4"/>
        <v>0</v>
      </c>
      <c r="E28" s="448">
        <f t="shared" si="5"/>
        <v>0</v>
      </c>
      <c r="F28" s="448">
        <f t="shared" si="6"/>
        <v>0</v>
      </c>
      <c r="G28" s="448">
        <f t="shared" si="7"/>
        <v>507.59436190011417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509.64893088726052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237.65877876800258</v>
      </c>
      <c r="C32" s="448">
        <f t="shared" ca="1" si="3"/>
        <v>0</v>
      </c>
      <c r="D32" s="448">
        <f t="shared" si="4"/>
        <v>716.67977594465071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954.33855471265326</v>
      </c>
    </row>
    <row r="33" spans="1:17" s="460" customFormat="1">
      <c r="A33" s="457" t="s">
        <v>551</v>
      </c>
      <c r="B33" s="458">
        <f ca="1">SUM(B22:B32)</f>
        <v>16536.855373734099</v>
      </c>
      <c r="C33" s="458">
        <f t="shared" ref="C33:Q33" ca="1" si="18">SUM(C22:C32)</f>
        <v>0</v>
      </c>
      <c r="D33" s="458">
        <f t="shared" ca="1" si="18"/>
        <v>35344.72700675534</v>
      </c>
      <c r="E33" s="458">
        <f t="shared" si="18"/>
        <v>629.1560548518778</v>
      </c>
      <c r="F33" s="458">
        <f t="shared" ca="1" si="18"/>
        <v>16043.614419844804</v>
      </c>
      <c r="G33" s="458">
        <f t="shared" si="18"/>
        <v>29006.355675967916</v>
      </c>
      <c r="H33" s="458">
        <f t="shared" si="18"/>
        <v>4034.2524802826747</v>
      </c>
      <c r="I33" s="458">
        <f t="shared" si="18"/>
        <v>0</v>
      </c>
      <c r="J33" s="458">
        <f t="shared" si="18"/>
        <v>372.82875423490117</v>
      </c>
      <c r="K33" s="458">
        <f t="shared" si="18"/>
        <v>0</v>
      </c>
      <c r="L33" s="458">
        <f t="shared" ca="1" si="18"/>
        <v>0</v>
      </c>
      <c r="M33" s="458">
        <f t="shared" si="18"/>
        <v>0</v>
      </c>
      <c r="N33" s="458">
        <f t="shared" ca="1" si="18"/>
        <v>0</v>
      </c>
      <c r="O33" s="458">
        <f t="shared" si="18"/>
        <v>0</v>
      </c>
      <c r="P33" s="458">
        <f t="shared" si="18"/>
        <v>0</v>
      </c>
      <c r="Q33" s="458">
        <f t="shared" ca="1" si="18"/>
        <v>101967.78976567159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3785.8871090275393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3785.8871090275393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0.21035700206506275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0.21035700206506275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0.21035700206506275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0.21035700206506275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8370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1036</v>
      </c>
      <c r="C14" s="327"/>
      <c r="D14" s="327"/>
      <c r="E14" s="327"/>
      <c r="F14" s="327"/>
    </row>
    <row r="15" spans="1:6">
      <c r="A15" s="1296" t="s">
        <v>177</v>
      </c>
      <c r="B15" s="1297">
        <v>10</v>
      </c>
      <c r="C15" s="327"/>
      <c r="D15" s="327"/>
      <c r="E15" s="327"/>
      <c r="F15" s="327"/>
    </row>
    <row r="16" spans="1:6">
      <c r="A16" s="1296" t="s">
        <v>6</v>
      </c>
      <c r="B16" s="1297">
        <v>569</v>
      </c>
      <c r="C16" s="327"/>
      <c r="D16" s="327"/>
      <c r="E16" s="327"/>
      <c r="F16" s="327"/>
    </row>
    <row r="17" spans="1:6">
      <c r="A17" s="1296" t="s">
        <v>7</v>
      </c>
      <c r="B17" s="1297">
        <v>95</v>
      </c>
      <c r="C17" s="327"/>
      <c r="D17" s="327"/>
      <c r="E17" s="327"/>
      <c r="F17" s="327"/>
    </row>
    <row r="18" spans="1:6">
      <c r="A18" s="1296" t="s">
        <v>8</v>
      </c>
      <c r="B18" s="1297">
        <v>290</v>
      </c>
      <c r="C18" s="327"/>
      <c r="D18" s="327"/>
      <c r="E18" s="327"/>
      <c r="F18" s="327"/>
    </row>
    <row r="19" spans="1:6">
      <c r="A19" s="1296" t="s">
        <v>9</v>
      </c>
      <c r="B19" s="1297">
        <v>275</v>
      </c>
      <c r="C19" s="327"/>
      <c r="D19" s="327"/>
      <c r="E19" s="327"/>
      <c r="F19" s="327"/>
    </row>
    <row r="20" spans="1:6">
      <c r="A20" s="1296" t="s">
        <v>10</v>
      </c>
      <c r="B20" s="1297">
        <v>167</v>
      </c>
      <c r="C20" s="327"/>
      <c r="D20" s="327"/>
      <c r="E20" s="327"/>
      <c r="F20" s="327"/>
    </row>
    <row r="21" spans="1:6">
      <c r="A21" s="1296" t="s">
        <v>11</v>
      </c>
      <c r="B21" s="1297">
        <v>0</v>
      </c>
      <c r="C21" s="327"/>
      <c r="D21" s="327"/>
      <c r="E21" s="327"/>
      <c r="F21" s="327"/>
    </row>
    <row r="22" spans="1:6">
      <c r="A22" s="1296" t="s">
        <v>12</v>
      </c>
      <c r="B22" s="1297">
        <v>353</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74</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88</v>
      </c>
      <c r="C29" s="327"/>
      <c r="D29" s="327"/>
      <c r="E29" s="327"/>
      <c r="F29" s="327"/>
    </row>
    <row r="30" spans="1:6">
      <c r="A30" s="1291" t="s">
        <v>923</v>
      </c>
      <c r="B30" s="1299">
        <v>26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4</v>
      </c>
      <c r="D36" s="1297">
        <v>74770.183173719604</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393301.50184394699</v>
      </c>
      <c r="E38" s="1297">
        <v>1</v>
      </c>
      <c r="F38" s="1297">
        <v>0</v>
      </c>
    </row>
    <row r="39" spans="1:6">
      <c r="A39" s="1296" t="s">
        <v>29</v>
      </c>
      <c r="B39" s="1296" t="s">
        <v>30</v>
      </c>
      <c r="C39" s="1297">
        <v>5703</v>
      </c>
      <c r="D39" s="1297">
        <v>137915379.90982601</v>
      </c>
      <c r="E39" s="1297">
        <v>8018</v>
      </c>
      <c r="F39" s="1297">
        <v>43019422.421553999</v>
      </c>
    </row>
    <row r="40" spans="1:6">
      <c r="A40" s="1296" t="s">
        <v>29</v>
      </c>
      <c r="B40" s="1296" t="s">
        <v>28</v>
      </c>
      <c r="C40" s="1297">
        <v>0</v>
      </c>
      <c r="D40" s="1297">
        <v>0</v>
      </c>
      <c r="E40" s="1297">
        <v>0</v>
      </c>
      <c r="F40" s="1297">
        <v>0</v>
      </c>
    </row>
    <row r="41" spans="1:6">
      <c r="A41" s="1296" t="s">
        <v>31</v>
      </c>
      <c r="B41" s="1296" t="s">
        <v>32</v>
      </c>
      <c r="C41" s="1297">
        <v>77</v>
      </c>
      <c r="D41" s="1297">
        <v>2081105.3655829399</v>
      </c>
      <c r="E41" s="1297">
        <v>150</v>
      </c>
      <c r="F41" s="1297">
        <v>1435281.6538388999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4</v>
      </c>
      <c r="D44" s="1297">
        <v>125109.440556475</v>
      </c>
      <c r="E44" s="1297">
        <v>22</v>
      </c>
      <c r="F44" s="1297">
        <v>215653.02602137599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34920.862435676601</v>
      </c>
    </row>
    <row r="48" spans="1:6">
      <c r="A48" s="1296" t="s">
        <v>31</v>
      </c>
      <c r="B48" s="1296" t="s">
        <v>28</v>
      </c>
      <c r="C48" s="1297">
        <v>32</v>
      </c>
      <c r="D48" s="1297">
        <v>756891.47285819601</v>
      </c>
      <c r="E48" s="1297">
        <v>27</v>
      </c>
      <c r="F48" s="1297">
        <v>251515.71651348399</v>
      </c>
    </row>
    <row r="49" spans="1:6">
      <c r="A49" s="1296" t="s">
        <v>31</v>
      </c>
      <c r="B49" s="1296" t="s">
        <v>39</v>
      </c>
      <c r="C49" s="1297">
        <v>0</v>
      </c>
      <c r="D49" s="1297">
        <v>0</v>
      </c>
      <c r="E49" s="1297">
        <v>4</v>
      </c>
      <c r="F49" s="1297">
        <v>49058.554530282898</v>
      </c>
    </row>
    <row r="50" spans="1:6">
      <c r="A50" s="1296" t="s">
        <v>31</v>
      </c>
      <c r="B50" s="1296" t="s">
        <v>40</v>
      </c>
      <c r="C50" s="1297">
        <v>12</v>
      </c>
      <c r="D50" s="1297">
        <v>1007576.09892011</v>
      </c>
      <c r="E50" s="1297">
        <v>13</v>
      </c>
      <c r="F50" s="1297">
        <v>633098.68683759996</v>
      </c>
    </row>
    <row r="51" spans="1:6">
      <c r="A51" s="1296" t="s">
        <v>41</v>
      </c>
      <c r="B51" s="1296" t="s">
        <v>42</v>
      </c>
      <c r="C51" s="1297">
        <v>3</v>
      </c>
      <c r="D51" s="1297">
        <v>53366.133699516198</v>
      </c>
      <c r="E51" s="1297">
        <v>19</v>
      </c>
      <c r="F51" s="1297">
        <v>244123.61501729401</v>
      </c>
    </row>
    <row r="52" spans="1:6">
      <c r="A52" s="1296" t="s">
        <v>41</v>
      </c>
      <c r="B52" s="1296" t="s">
        <v>28</v>
      </c>
      <c r="C52" s="1297">
        <v>3</v>
      </c>
      <c r="D52" s="1297">
        <v>1005493.02675548</v>
      </c>
      <c r="E52" s="1297">
        <v>12</v>
      </c>
      <c r="F52" s="1297">
        <v>276858.691058136</v>
      </c>
    </row>
    <row r="53" spans="1:6">
      <c r="A53" s="1296" t="s">
        <v>43</v>
      </c>
      <c r="B53" s="1296" t="s">
        <v>44</v>
      </c>
      <c r="C53" s="1297">
        <v>130</v>
      </c>
      <c r="D53" s="1297">
        <v>3547919.68289431</v>
      </c>
      <c r="E53" s="1297">
        <v>226</v>
      </c>
      <c r="F53" s="1297">
        <v>1129787.81992004</v>
      </c>
    </row>
    <row r="54" spans="1:6">
      <c r="A54" s="1296" t="s">
        <v>45</v>
      </c>
      <c r="B54" s="1296" t="s">
        <v>46</v>
      </c>
      <c r="C54" s="1297">
        <v>0</v>
      </c>
      <c r="D54" s="1297">
        <v>0</v>
      </c>
      <c r="E54" s="1297">
        <v>1</v>
      </c>
      <c r="F54" s="1297">
        <v>1266658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35</v>
      </c>
      <c r="D57" s="1297">
        <v>1529059.9766555701</v>
      </c>
      <c r="E57" s="1297">
        <v>103</v>
      </c>
      <c r="F57" s="1297">
        <v>1090440.76106561</v>
      </c>
    </row>
    <row r="58" spans="1:6">
      <c r="A58" s="1296" t="s">
        <v>48</v>
      </c>
      <c r="B58" s="1296" t="s">
        <v>50</v>
      </c>
      <c r="C58" s="1297">
        <v>47</v>
      </c>
      <c r="D58" s="1297">
        <v>16385752.0747643</v>
      </c>
      <c r="E58" s="1297">
        <v>52</v>
      </c>
      <c r="F58" s="1297">
        <v>9434500.2777604591</v>
      </c>
    </row>
    <row r="59" spans="1:6">
      <c r="A59" s="1296" t="s">
        <v>48</v>
      </c>
      <c r="B59" s="1296" t="s">
        <v>51</v>
      </c>
      <c r="C59" s="1297">
        <v>96</v>
      </c>
      <c r="D59" s="1297">
        <v>4453937.5745719904</v>
      </c>
      <c r="E59" s="1297">
        <v>188</v>
      </c>
      <c r="F59" s="1297">
        <v>6023540.2521643499</v>
      </c>
    </row>
    <row r="60" spans="1:6">
      <c r="A60" s="1296" t="s">
        <v>48</v>
      </c>
      <c r="B60" s="1296" t="s">
        <v>52</v>
      </c>
      <c r="C60" s="1297">
        <v>53</v>
      </c>
      <c r="D60" s="1297">
        <v>2945840.1994411801</v>
      </c>
      <c r="E60" s="1297">
        <v>64</v>
      </c>
      <c r="F60" s="1297">
        <v>2279972.8066233699</v>
      </c>
    </row>
    <row r="61" spans="1:6">
      <c r="A61" s="1296" t="s">
        <v>48</v>
      </c>
      <c r="B61" s="1296" t="s">
        <v>53</v>
      </c>
      <c r="C61" s="1297">
        <v>272</v>
      </c>
      <c r="D61" s="1297">
        <v>14151484.816897901</v>
      </c>
      <c r="E61" s="1297">
        <v>431</v>
      </c>
      <c r="F61" s="1297">
        <v>5886403.1024476597</v>
      </c>
    </row>
    <row r="62" spans="1:6">
      <c r="A62" s="1296" t="s">
        <v>48</v>
      </c>
      <c r="B62" s="1296" t="s">
        <v>54</v>
      </c>
      <c r="C62" s="1297">
        <v>9</v>
      </c>
      <c r="D62" s="1297">
        <v>755227.33576568705</v>
      </c>
      <c r="E62" s="1297">
        <v>6</v>
      </c>
      <c r="F62" s="1297">
        <v>107420.51526572699</v>
      </c>
    </row>
    <row r="63" spans="1:6">
      <c r="A63" s="1296" t="s">
        <v>48</v>
      </c>
      <c r="B63" s="1296" t="s">
        <v>28</v>
      </c>
      <c r="C63" s="1297">
        <v>99</v>
      </c>
      <c r="D63" s="1297">
        <v>6874386.77079482</v>
      </c>
      <c r="E63" s="1297">
        <v>83</v>
      </c>
      <c r="F63" s="1297">
        <v>1660165.9260335299</v>
      </c>
    </row>
    <row r="64" spans="1:6">
      <c r="A64" s="1296" t="s">
        <v>55</v>
      </c>
      <c r="B64" s="1296" t="s">
        <v>56</v>
      </c>
      <c r="C64" s="1297">
        <v>0</v>
      </c>
      <c r="D64" s="1297">
        <v>0</v>
      </c>
      <c r="E64" s="1297">
        <v>0</v>
      </c>
      <c r="F64" s="1297">
        <v>0</v>
      </c>
    </row>
    <row r="65" spans="1:6">
      <c r="A65" s="1296" t="s">
        <v>55</v>
      </c>
      <c r="B65" s="1296" t="s">
        <v>28</v>
      </c>
      <c r="C65" s="1297">
        <v>2</v>
      </c>
      <c r="D65" s="1297">
        <v>115783.872284927</v>
      </c>
      <c r="E65" s="1297">
        <v>1</v>
      </c>
      <c r="F65" s="1297">
        <v>10827.225781900799</v>
      </c>
    </row>
    <row r="66" spans="1:6">
      <c r="A66" s="1296" t="s">
        <v>55</v>
      </c>
      <c r="B66" s="1296" t="s">
        <v>57</v>
      </c>
      <c r="C66" s="1297">
        <v>0</v>
      </c>
      <c r="D66" s="1297">
        <v>0</v>
      </c>
      <c r="E66" s="1297">
        <v>3</v>
      </c>
      <c r="F66" s="1297">
        <v>49327.218911119598</v>
      </c>
    </row>
    <row r="67" spans="1:6">
      <c r="A67" s="1296" t="s">
        <v>55</v>
      </c>
      <c r="B67" s="1296" t="s">
        <v>58</v>
      </c>
      <c r="C67" s="1297">
        <v>0</v>
      </c>
      <c r="D67" s="1297">
        <v>0</v>
      </c>
      <c r="E67" s="1297">
        <v>0</v>
      </c>
      <c r="F67" s="1297">
        <v>0</v>
      </c>
    </row>
    <row r="68" spans="1:6">
      <c r="A68" s="1291" t="s">
        <v>55</v>
      </c>
      <c r="B68" s="1291" t="s">
        <v>59</v>
      </c>
      <c r="C68" s="1299">
        <v>5</v>
      </c>
      <c r="D68" s="1299">
        <v>249068.87497346301</v>
      </c>
      <c r="E68" s="1299">
        <v>8</v>
      </c>
      <c r="F68" s="1299">
        <v>74476.961474938696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63661153</v>
      </c>
      <c r="E73" s="446"/>
      <c r="F73" s="327"/>
    </row>
    <row r="74" spans="1:6">
      <c r="A74" s="1296" t="s">
        <v>63</v>
      </c>
      <c r="B74" s="1296" t="s">
        <v>706</v>
      </c>
      <c r="C74" s="1309" t="s">
        <v>707</v>
      </c>
      <c r="D74" s="1297">
        <v>6058453.494459617</v>
      </c>
      <c r="E74" s="446"/>
      <c r="F74" s="327"/>
    </row>
    <row r="75" spans="1:6">
      <c r="A75" s="1296" t="s">
        <v>64</v>
      </c>
      <c r="B75" s="1296" t="s">
        <v>704</v>
      </c>
      <c r="C75" s="1309" t="s">
        <v>708</v>
      </c>
      <c r="D75" s="1297">
        <v>24769689</v>
      </c>
      <c r="E75" s="446"/>
      <c r="F75" s="327"/>
    </row>
    <row r="76" spans="1:6">
      <c r="A76" s="1296" t="s">
        <v>64</v>
      </c>
      <c r="B76" s="1296" t="s">
        <v>706</v>
      </c>
      <c r="C76" s="1309" t="s">
        <v>709</v>
      </c>
      <c r="D76" s="1297">
        <v>182663.49445961678</v>
      </c>
      <c r="E76" s="446"/>
      <c r="F76" s="327"/>
    </row>
    <row r="77" spans="1:6">
      <c r="A77" s="1296" t="s">
        <v>65</v>
      </c>
      <c r="B77" s="1296" t="s">
        <v>704</v>
      </c>
      <c r="C77" s="1309" t="s">
        <v>710</v>
      </c>
      <c r="D77" s="1297">
        <v>39255644</v>
      </c>
      <c r="E77" s="446"/>
      <c r="F77" s="327"/>
    </row>
    <row r="78" spans="1:6">
      <c r="A78" s="1291" t="s">
        <v>65</v>
      </c>
      <c r="B78" s="1291" t="s">
        <v>706</v>
      </c>
      <c r="C78" s="1291" t="s">
        <v>711</v>
      </c>
      <c r="D78" s="1299">
        <v>9518909</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528313.01108076645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3554.8539051500484</v>
      </c>
      <c r="C91" s="327"/>
      <c r="D91" s="327"/>
      <c r="E91" s="327"/>
      <c r="F91" s="327"/>
    </row>
    <row r="92" spans="1:6">
      <c r="A92" s="1291" t="s">
        <v>68</v>
      </c>
      <c r="B92" s="1292">
        <v>231.03320387749102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3777</v>
      </c>
      <c r="C97" s="327"/>
      <c r="D97" s="327"/>
      <c r="E97" s="327"/>
      <c r="F97" s="327"/>
    </row>
    <row r="98" spans="1:6">
      <c r="A98" s="1296" t="s">
        <v>71</v>
      </c>
      <c r="B98" s="1297">
        <v>5</v>
      </c>
      <c r="C98" s="327"/>
      <c r="D98" s="327"/>
      <c r="E98" s="327"/>
      <c r="F98" s="327"/>
    </row>
    <row r="99" spans="1:6">
      <c r="A99" s="1296" t="s">
        <v>72</v>
      </c>
      <c r="B99" s="1297">
        <v>79</v>
      </c>
      <c r="C99" s="327"/>
      <c r="D99" s="327"/>
      <c r="E99" s="327"/>
      <c r="F99" s="327"/>
    </row>
    <row r="100" spans="1:6">
      <c r="A100" s="1296" t="s">
        <v>73</v>
      </c>
      <c r="B100" s="1297">
        <v>865</v>
      </c>
      <c r="C100" s="327"/>
      <c r="D100" s="327"/>
      <c r="E100" s="327"/>
      <c r="F100" s="327"/>
    </row>
    <row r="101" spans="1:6">
      <c r="A101" s="1296" t="s">
        <v>74</v>
      </c>
      <c r="B101" s="1297">
        <v>168</v>
      </c>
      <c r="C101" s="327"/>
      <c r="D101" s="327"/>
      <c r="E101" s="327"/>
      <c r="F101" s="327"/>
    </row>
    <row r="102" spans="1:6">
      <c r="A102" s="1296" t="s">
        <v>75</v>
      </c>
      <c r="B102" s="1297">
        <v>89</v>
      </c>
      <c r="C102" s="327"/>
      <c r="D102" s="327"/>
      <c r="E102" s="327"/>
      <c r="F102" s="327"/>
    </row>
    <row r="103" spans="1:6">
      <c r="A103" s="1296" t="s">
        <v>76</v>
      </c>
      <c r="B103" s="1297">
        <v>117</v>
      </c>
      <c r="C103" s="327"/>
      <c r="D103" s="327"/>
      <c r="E103" s="327"/>
      <c r="F103" s="327"/>
    </row>
    <row r="104" spans="1:6">
      <c r="A104" s="1296" t="s">
        <v>77</v>
      </c>
      <c r="B104" s="1297">
        <v>1827</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19</v>
      </c>
      <c r="C123" s="1297">
        <v>23</v>
      </c>
      <c r="D123" s="327"/>
      <c r="E123" s="327"/>
      <c r="F123" s="327"/>
    </row>
    <row r="124" spans="1:6">
      <c r="A124" s="1296" t="s">
        <v>88</v>
      </c>
      <c r="B124" s="1297">
        <v>1</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149</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78613.286990177294</v>
      </c>
      <c r="C3" s="43" t="s">
        <v>163</v>
      </c>
      <c r="D3" s="43"/>
      <c r="E3" s="156"/>
      <c r="F3" s="43"/>
      <c r="G3" s="43"/>
      <c r="H3" s="43"/>
      <c r="I3" s="43"/>
      <c r="J3" s="43"/>
      <c r="K3" s="96"/>
    </row>
    <row r="4" spans="1:11">
      <c r="A4" s="353" t="s">
        <v>164</v>
      </c>
      <c r="B4" s="49">
        <f>IF(ISERROR('SEAP template'!B78+'SEAP template'!C78),0,'SEAP template'!B78+'SEAP template'!C78)</f>
        <v>3785.8871090275393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0.21035700206506275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1266.6579999999999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1266.6579999999999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0.21035700206506275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266.45037952172822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43019.422421554002</v>
      </c>
      <c r="C5" s="17">
        <f>IF(ISERROR('Eigen informatie GS &amp; warmtenet'!B57),0,'Eigen informatie GS &amp; warmtenet'!B57)</f>
        <v>0</v>
      </c>
      <c r="D5" s="30">
        <f>(SUM(HH_hh_gas_kWh,HH_rest_gas_kWh)/1000)*0.902</f>
        <v>124399.67267866306</v>
      </c>
      <c r="E5" s="17">
        <f>B32*B41</f>
        <v>1678.5764400388061</v>
      </c>
      <c r="F5" s="17">
        <f>B36*B45</f>
        <v>51440.768563067184</v>
      </c>
      <c r="G5" s="18"/>
      <c r="H5" s="17"/>
      <c r="I5" s="17"/>
      <c r="J5" s="17">
        <f>B35*B44+C35*C44</f>
        <v>974.18572904367738</v>
      </c>
      <c r="K5" s="17"/>
      <c r="L5" s="17"/>
      <c r="M5" s="17"/>
      <c r="N5" s="17">
        <f>B34*B43+C34*C43</f>
        <v>12916.597175788256</v>
      </c>
      <c r="O5" s="17">
        <f>B52*B53*B54</f>
        <v>272.02000000000004</v>
      </c>
      <c r="P5" s="17">
        <f>B60*B61*B62/1000-B60*B61*B62/1000/B63</f>
        <v>552.93333333333339</v>
      </c>
    </row>
    <row r="6" spans="1:16">
      <c r="A6" s="16" t="s">
        <v>617</v>
      </c>
      <c r="B6" s="769">
        <f>kWh_PV_kleiner_dan_10kW</f>
        <v>3554.8539051500484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46574.27632670405</v>
      </c>
      <c r="C8" s="21">
        <f>C5</f>
        <v>0</v>
      </c>
      <c r="D8" s="21">
        <f>D5</f>
        <v>124399.67267866306</v>
      </c>
      <c r="E8" s="21">
        <f>E5</f>
        <v>1678.5764400388061</v>
      </c>
      <c r="F8" s="21">
        <f>F5</f>
        <v>51440.768563067184</v>
      </c>
      <c r="G8" s="21"/>
      <c r="H8" s="21"/>
      <c r="I8" s="21"/>
      <c r="J8" s="21">
        <f>J5</f>
        <v>974.18572904367738</v>
      </c>
      <c r="K8" s="21"/>
      <c r="L8" s="21">
        <f>L5</f>
        <v>0</v>
      </c>
      <c r="M8" s="21">
        <f>M5</f>
        <v>0</v>
      </c>
      <c r="N8" s="21">
        <f>N5</f>
        <v>12916.597175788256</v>
      </c>
      <c r="O8" s="21">
        <f>O5</f>
        <v>272.02000000000004</v>
      </c>
      <c r="P8" s="21">
        <f>P5</f>
        <v>552.93333333333339</v>
      </c>
    </row>
    <row r="9" spans="1:16">
      <c r="B9" s="19"/>
      <c r="C9" s="19"/>
      <c r="D9" s="257"/>
      <c r="E9" s="19"/>
      <c r="F9" s="19"/>
      <c r="G9" s="19"/>
      <c r="H9" s="19"/>
      <c r="I9" s="19"/>
      <c r="J9" s="19"/>
      <c r="K9" s="19"/>
      <c r="L9" s="19"/>
      <c r="M9" s="19"/>
      <c r="N9" s="19"/>
      <c r="O9" s="19"/>
      <c r="P9" s="19"/>
    </row>
    <row r="10" spans="1:16">
      <c r="A10" s="24" t="s">
        <v>207</v>
      </c>
      <c r="B10" s="25">
        <f ca="1">'EF ele_warmte'!B12</f>
        <v>0.21035700206506275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9797.2251414352868</v>
      </c>
      <c r="C12" s="23">
        <f ca="1">C10*C8</f>
        <v>0</v>
      </c>
      <c r="D12" s="23">
        <f>D8*D10</f>
        <v>25128.733881089938</v>
      </c>
      <c r="E12" s="23">
        <f>E10*E8</f>
        <v>381.036851888809</v>
      </c>
      <c r="F12" s="23">
        <f>F10*F8</f>
        <v>13734.68520633894</v>
      </c>
      <c r="G12" s="23"/>
      <c r="H12" s="23"/>
      <c r="I12" s="23"/>
      <c r="J12" s="23">
        <f>J10*J8</f>
        <v>344.86174808146177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8370</v>
      </c>
      <c r="C26" s="36"/>
      <c r="D26" s="227"/>
    </row>
    <row r="27" spans="1:5" s="15" customFormat="1">
      <c r="A27" s="229" t="s">
        <v>722</v>
      </c>
      <c r="B27" s="37">
        <f>SUM(HH_hh_gas_aantal,HH_rest_gas_aantal)</f>
        <v>5703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5417.85</v>
      </c>
      <c r="C31" s="34" t="s">
        <v>104</v>
      </c>
      <c r="D31" s="173"/>
    </row>
    <row r="32" spans="1:5">
      <c r="A32" s="170" t="s">
        <v>72</v>
      </c>
      <c r="B32" s="33">
        <f>IF((B21*($B$26-($B$27-0.05*$B$27)-$B$60))&lt;0,0,B21*($B$26-($B$27-0.05*$B$27)-$B$60))</f>
        <v>73.200242125770757</v>
      </c>
      <c r="C32" s="34" t="s">
        <v>104</v>
      </c>
      <c r="D32" s="173"/>
    </row>
    <row r="33" spans="1:6">
      <c r="A33" s="170" t="s">
        <v>73</v>
      </c>
      <c r="B33" s="33">
        <f>IF((B22*($B$26-($B$27-0.05*$B$27)-$B$60))&lt;0,0,B22*($B$26-($B$27-0.05*$B$27)-$B$60))</f>
        <v>492.72348164226389</v>
      </c>
      <c r="C33" s="34" t="s">
        <v>104</v>
      </c>
      <c r="D33" s="173"/>
    </row>
    <row r="34" spans="1:6">
      <c r="A34" s="170" t="s">
        <v>74</v>
      </c>
      <c r="B34" s="33">
        <f>IF((B24*($B$26-($B$27-0.05*$B$27)-$B$60))&lt;0,0,B24*($B$26-($B$27-0.05*$B$27)-$B$60))</f>
        <v>125.01062592186037</v>
      </c>
      <c r="C34" s="33">
        <f>B26*C24</f>
        <v>1712.1677660528792</v>
      </c>
      <c r="D34" s="232"/>
    </row>
    <row r="35" spans="1:6">
      <c r="A35" s="170" t="s">
        <v>76</v>
      </c>
      <c r="B35" s="33">
        <f>IF((B19*($B$26-($B$27-0.05*$B$27)-$B$60))&lt;0,0,B19*($B$26-($B$27-0.05*$B$27)-$B$60))</f>
        <v>46.45805490472015</v>
      </c>
      <c r="C35" s="33">
        <f>B35/2</f>
        <v>23.229027452360075</v>
      </c>
      <c r="D35" s="232"/>
    </row>
    <row r="36" spans="1:6">
      <c r="A36" s="170" t="s">
        <v>77</v>
      </c>
      <c r="B36" s="33">
        <f>IF((B18*($B$26-($B$27-0.05*$B$27)-$B$60))&lt;0,0,B18*($B$26-($B$27-0.05*$B$27)-$B$60))</f>
        <v>2185.7575954053846</v>
      </c>
      <c r="C36" s="34" t="s">
        <v>104</v>
      </c>
      <c r="D36" s="173"/>
    </row>
    <row r="37" spans="1:6">
      <c r="A37" s="170" t="s">
        <v>78</v>
      </c>
      <c r="B37" s="33">
        <f>B60</f>
        <v>29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174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26482.443641360704</v>
      </c>
      <c r="C5" s="17">
        <f>IF(ISERROR('Eigen informatie GS &amp; warmtenet'!B58),0,'Eigen informatie GS &amp; warmtenet'!B58)</f>
        <v>0</v>
      </c>
      <c r="D5" s="30">
        <f>SUM(D6:D12)</f>
        <v>42480.31125150009</v>
      </c>
      <c r="E5" s="17">
        <f>SUM(E6:E12)</f>
        <v>273.45094772591881</v>
      </c>
      <c r="F5" s="17">
        <f>SUM(F6:F12)</f>
        <v>4831.2486792359559</v>
      </c>
      <c r="G5" s="18"/>
      <c r="H5" s="17"/>
      <c r="I5" s="17"/>
      <c r="J5" s="17">
        <f>SUM(J6:J12)</f>
        <v>0</v>
      </c>
      <c r="K5" s="17"/>
      <c r="L5" s="17"/>
      <c r="M5" s="17"/>
      <c r="N5" s="17">
        <f>SUM(N6:N12)</f>
        <v>1009.8467157451561</v>
      </c>
      <c r="O5" s="17">
        <f>B38*B39*B40</f>
        <v>1.5633333333333335</v>
      </c>
      <c r="P5" s="17">
        <f>B46*B47*B48/1000-B46*B47*B48/1000/B49</f>
        <v>19.066666666666666</v>
      </c>
      <c r="R5" s="32"/>
    </row>
    <row r="6" spans="1:18">
      <c r="A6" s="32" t="s">
        <v>53</v>
      </c>
      <c r="B6" s="37">
        <f>B26</f>
        <v>5886.4031024476599</v>
      </c>
      <c r="C6" s="33"/>
      <c r="D6" s="37">
        <f>IF(ISERROR(TER_kantoor_gas_kWh/1000),0,TER_kantoor_gas_kWh/1000)*0.902</f>
        <v>12764.639304841907</v>
      </c>
      <c r="E6" s="33">
        <f>$C$26*'E Balans VL '!I12/100/3.6*1000000</f>
        <v>22.869922277157002</v>
      </c>
      <c r="F6" s="33">
        <f>$C$26*('E Balans VL '!L12+'E Balans VL '!N12)/100/3.6*1000000</f>
        <v>895.26834988438986</v>
      </c>
      <c r="G6" s="34"/>
      <c r="H6" s="33"/>
      <c r="I6" s="33"/>
      <c r="J6" s="33">
        <f>$C$26*('E Balans VL '!D12+'E Balans VL '!E12)/100/3.6*1000000</f>
        <v>0</v>
      </c>
      <c r="K6" s="33"/>
      <c r="L6" s="33"/>
      <c r="M6" s="33"/>
      <c r="N6" s="33">
        <f>$C$26*'E Balans VL '!Y12/100/3.6*1000000</f>
        <v>3.2441132831740607</v>
      </c>
      <c r="O6" s="33"/>
      <c r="P6" s="33"/>
      <c r="R6" s="32"/>
    </row>
    <row r="7" spans="1:18">
      <c r="A7" s="32" t="s">
        <v>52</v>
      </c>
      <c r="B7" s="37">
        <f t="shared" ref="B7:B12" si="0">B27</f>
        <v>2279.9728066233697</v>
      </c>
      <c r="C7" s="33"/>
      <c r="D7" s="37">
        <f>IF(ISERROR(TER_horeca_gas_kWh/1000),0,TER_horeca_gas_kWh/1000)*0.902</f>
        <v>2657.1478598959447</v>
      </c>
      <c r="E7" s="33">
        <f>$C$27*'E Balans VL '!I9/100/3.6*1000000</f>
        <v>128.43147776082887</v>
      </c>
      <c r="F7" s="33">
        <f>$C$27*('E Balans VL '!L9+'E Balans VL '!N9)/100/3.6*1000000</f>
        <v>657.40765824474136</v>
      </c>
      <c r="G7" s="34"/>
      <c r="H7" s="33"/>
      <c r="I7" s="33"/>
      <c r="J7" s="33">
        <f>$C$27*('E Balans VL '!D9+'E Balans VL '!E9)/100/3.6*1000000</f>
        <v>0</v>
      </c>
      <c r="K7" s="33"/>
      <c r="L7" s="33"/>
      <c r="M7" s="33"/>
      <c r="N7" s="33">
        <f>$C$27*'E Balans VL '!Y9/100/3.6*1000000</f>
        <v>0.62948864405528104</v>
      </c>
      <c r="O7" s="33"/>
      <c r="P7" s="33"/>
      <c r="R7" s="32"/>
    </row>
    <row r="8" spans="1:18">
      <c r="A8" s="6" t="s">
        <v>51</v>
      </c>
      <c r="B8" s="37">
        <f t="shared" si="0"/>
        <v>6023.54025216435</v>
      </c>
      <c r="C8" s="33"/>
      <c r="D8" s="37">
        <f>IF(ISERROR(TER_handel_gas_kWh/1000),0,TER_handel_gas_kWh/1000)*0.902</f>
        <v>4017.4516922639359</v>
      </c>
      <c r="E8" s="33">
        <f>$C$28*'E Balans VL '!I13/100/3.6*1000000</f>
        <v>86.819650872894954</v>
      </c>
      <c r="F8" s="33">
        <f>$C$28*('E Balans VL '!L13+'E Balans VL '!N13)/100/3.6*1000000</f>
        <v>1046.4292205875688</v>
      </c>
      <c r="G8" s="34"/>
      <c r="H8" s="33"/>
      <c r="I8" s="33"/>
      <c r="J8" s="33">
        <f>$C$28*('E Balans VL '!D13+'E Balans VL '!E13)/100/3.6*1000000</f>
        <v>0</v>
      </c>
      <c r="K8" s="33"/>
      <c r="L8" s="33"/>
      <c r="M8" s="33"/>
      <c r="N8" s="33">
        <f>$C$28*'E Balans VL '!Y13/100/3.6*1000000</f>
        <v>18.047197149798784</v>
      </c>
      <c r="O8" s="33"/>
      <c r="P8" s="33"/>
      <c r="R8" s="32"/>
    </row>
    <row r="9" spans="1:18">
      <c r="A9" s="32" t="s">
        <v>50</v>
      </c>
      <c r="B9" s="37">
        <f t="shared" si="0"/>
        <v>9434.5002777604586</v>
      </c>
      <c r="C9" s="33"/>
      <c r="D9" s="37">
        <f>IF(ISERROR(TER_gezond_gas_kWh/1000),0,TER_gezond_gas_kWh/1000)*0.902</f>
        <v>14779.948371437398</v>
      </c>
      <c r="E9" s="33">
        <f>$C$29*'E Balans VL '!I10/100/3.6*1000000</f>
        <v>10.078491629318169</v>
      </c>
      <c r="F9" s="33">
        <f>$C$29*('E Balans VL '!L10+'E Balans VL '!N10)/100/3.6*1000000</f>
        <v>1539.0537205256046</v>
      </c>
      <c r="G9" s="34"/>
      <c r="H9" s="33"/>
      <c r="I9" s="33"/>
      <c r="J9" s="33">
        <f>$C$29*('E Balans VL '!D10+'E Balans VL '!E10)/100/3.6*1000000</f>
        <v>0</v>
      </c>
      <c r="K9" s="33"/>
      <c r="L9" s="33"/>
      <c r="M9" s="33"/>
      <c r="N9" s="33">
        <f>$C$29*'E Balans VL '!Y10/100/3.6*1000000</f>
        <v>97.122797141082287</v>
      </c>
      <c r="O9" s="33"/>
      <c r="P9" s="33"/>
      <c r="R9" s="32"/>
    </row>
    <row r="10" spans="1:18">
      <c r="A10" s="32" t="s">
        <v>49</v>
      </c>
      <c r="B10" s="37">
        <f t="shared" si="0"/>
        <v>1090.4407610656099</v>
      </c>
      <c r="C10" s="33"/>
      <c r="D10" s="37">
        <f>IF(ISERROR(TER_ander_gas_kWh/1000),0,TER_ander_gas_kWh/1000)*0.902</f>
        <v>1379.2120989433242</v>
      </c>
      <c r="E10" s="33">
        <f>$C$30*'E Balans VL '!I14/100/3.6*1000000</f>
        <v>5.0147711917879709</v>
      </c>
      <c r="F10" s="33">
        <f>$C$30*('E Balans VL '!L14+'E Balans VL '!N14)/100/3.6*1000000</f>
        <v>326.8394916843846</v>
      </c>
      <c r="G10" s="34"/>
      <c r="H10" s="33"/>
      <c r="I10" s="33"/>
      <c r="J10" s="33">
        <f>$C$30*('E Balans VL '!D14+'E Balans VL '!E14)/100/3.6*1000000</f>
        <v>0</v>
      </c>
      <c r="K10" s="33"/>
      <c r="L10" s="33"/>
      <c r="M10" s="33"/>
      <c r="N10" s="33">
        <f>$C$30*'E Balans VL '!Y14/100/3.6*1000000</f>
        <v>759.0187505345084</v>
      </c>
      <c r="O10" s="33"/>
      <c r="P10" s="33"/>
      <c r="R10" s="32"/>
    </row>
    <row r="11" spans="1:18">
      <c r="A11" s="32" t="s">
        <v>54</v>
      </c>
      <c r="B11" s="37">
        <f t="shared" si="0"/>
        <v>107.42051526572699</v>
      </c>
      <c r="C11" s="33"/>
      <c r="D11" s="37">
        <f>IF(ISERROR(TER_onderwijs_gas_kWh/1000),0,TER_onderwijs_gas_kWh/1000)*0.902</f>
        <v>681.21505686064972</v>
      </c>
      <c r="E11" s="33">
        <f>$C$31*'E Balans VL '!I11/100/3.6*1000000</f>
        <v>9.9646654649680519E-2</v>
      </c>
      <c r="F11" s="33">
        <f>$C$31*('E Balans VL '!L11+'E Balans VL '!N11)/100/3.6*1000000</f>
        <v>37.734358129809848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1660.16592603353</v>
      </c>
      <c r="C12" s="33"/>
      <c r="D12" s="37">
        <f>IF(ISERROR(TER_rest_gas_kWh/1000),0,TER_rest_gas_kWh/1000)*0.902</f>
        <v>6200.6968672569283</v>
      </c>
      <c r="E12" s="33">
        <f>$C$32*'E Balans VL '!I8/100/3.6*1000000</f>
        <v>20.136987339282154</v>
      </c>
      <c r="F12" s="33">
        <f>$C$32*('E Balans VL '!L8+'E Balans VL '!N8)/100/3.6*1000000</f>
        <v>328.51588017945693</v>
      </c>
      <c r="G12" s="34"/>
      <c r="H12" s="33"/>
      <c r="I12" s="33"/>
      <c r="J12" s="33">
        <f>$C$32*('E Balans VL '!D8+'E Balans VL '!E8)/100/3.6*1000000</f>
        <v>0</v>
      </c>
      <c r="K12" s="33"/>
      <c r="L12" s="33"/>
      <c r="M12" s="33"/>
      <c r="N12" s="33">
        <f>$C$32*'E Balans VL '!Y8/100/3.6*1000000</f>
        <v>131.7843689925372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26482.443641360704</v>
      </c>
      <c r="C16" s="21">
        <f t="shared" ca="1" si="1"/>
        <v>0</v>
      </c>
      <c r="D16" s="21">
        <f t="shared" ca="1" si="1"/>
        <v>42480.31125150009</v>
      </c>
      <c r="E16" s="21">
        <f t="shared" si="1"/>
        <v>273.45094772591881</v>
      </c>
      <c r="F16" s="21">
        <f t="shared" ca="1" si="1"/>
        <v>4831.2486792359559</v>
      </c>
      <c r="G16" s="21">
        <f t="shared" si="1"/>
        <v>0</v>
      </c>
      <c r="H16" s="21">
        <f t="shared" si="1"/>
        <v>0</v>
      </c>
      <c r="I16" s="21">
        <f t="shared" si="1"/>
        <v>0</v>
      </c>
      <c r="J16" s="21">
        <f t="shared" si="1"/>
        <v>0</v>
      </c>
      <c r="K16" s="21">
        <f t="shared" si="1"/>
        <v>0</v>
      </c>
      <c r="L16" s="21">
        <f t="shared" ca="1" si="1"/>
        <v>0</v>
      </c>
      <c r="M16" s="21">
        <f t="shared" si="1"/>
        <v>0</v>
      </c>
      <c r="N16" s="21">
        <f t="shared" ca="1" si="1"/>
        <v>1009.8467157451561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0.21035700206506275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5570.7674517536216</v>
      </c>
      <c r="C20" s="23">
        <f t="shared" ref="C20:P20" ca="1" si="2">C16*C18</f>
        <v>0</v>
      </c>
      <c r="D20" s="23">
        <f t="shared" ca="1" si="2"/>
        <v>8581.0228728030179</v>
      </c>
      <c r="E20" s="23">
        <f t="shared" si="2"/>
        <v>62.073365133783568</v>
      </c>
      <c r="F20" s="23">
        <f t="shared" ca="1" si="2"/>
        <v>1289.9433973560003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5886.4031024476599</v>
      </c>
      <c r="C26" s="39">
        <f>IF(ISERROR(B26*3.6/1000000/'E Balans VL '!Z12*100),0,B26*3.6/1000000/'E Balans VL '!Z12*100)</f>
        <v>0.12503011764104358</v>
      </c>
      <c r="D26" s="235" t="s">
        <v>672</v>
      </c>
      <c r="F26" s="6"/>
    </row>
    <row r="27" spans="1:18">
      <c r="A27" s="230" t="s">
        <v>52</v>
      </c>
      <c r="B27" s="33">
        <f>IF(ISERROR(TER_horeca_ele_kWh/1000),0,TER_horeca_ele_kWh/1000)</f>
        <v>2279.9728066233697</v>
      </c>
      <c r="C27" s="39">
        <f>IF(ISERROR(B27*3.6/1000000/'E Balans VL '!Z9*100),0,B27*3.6/1000000/'E Balans VL '!Z9*100)</f>
        <v>0.17728177092787159</v>
      </c>
      <c r="D27" s="235" t="s">
        <v>672</v>
      </c>
      <c r="F27" s="6"/>
    </row>
    <row r="28" spans="1:18">
      <c r="A28" s="170" t="s">
        <v>51</v>
      </c>
      <c r="B28" s="33">
        <f>IF(ISERROR(TER_handel_ele_kWh/1000),0,TER_handel_ele_kWh/1000)</f>
        <v>6023.54025216435</v>
      </c>
      <c r="C28" s="39">
        <f>IF(ISERROR(B28*3.6/1000000/'E Balans VL '!Z13*100),0,B28*3.6/1000000/'E Balans VL '!Z13*100)</f>
        <v>0.17234057561215038</v>
      </c>
      <c r="D28" s="235" t="s">
        <v>672</v>
      </c>
      <c r="F28" s="6"/>
    </row>
    <row r="29" spans="1:18">
      <c r="A29" s="230" t="s">
        <v>50</v>
      </c>
      <c r="B29" s="33">
        <f>IF(ISERROR(TER_gezond_ele_kWh/1000),0,TER_gezond_ele_kWh/1000)</f>
        <v>9434.5002777604586</v>
      </c>
      <c r="C29" s="39">
        <f>IF(ISERROR(B29*3.6/1000000/'E Balans VL '!Z10*100),0,B29*3.6/1000000/'E Balans VL '!Z10*100)</f>
        <v>1.0285797617695118</v>
      </c>
      <c r="D29" s="235" t="s">
        <v>672</v>
      </c>
      <c r="F29" s="6"/>
    </row>
    <row r="30" spans="1:18">
      <c r="A30" s="230" t="s">
        <v>49</v>
      </c>
      <c r="B30" s="33">
        <f>IF(ISERROR(TER_ander_ele_kWh/1000),0,TER_ander_ele_kWh/1000)</f>
        <v>1090.4407610656099</v>
      </c>
      <c r="C30" s="39">
        <f>IF(ISERROR(B30*3.6/1000000/'E Balans VL '!Z14*100),0,B30*3.6/1000000/'E Balans VL '!Z14*100)</f>
        <v>7.9795981288552795E-2</v>
      </c>
      <c r="D30" s="235" t="s">
        <v>672</v>
      </c>
      <c r="F30" s="6"/>
    </row>
    <row r="31" spans="1:18">
      <c r="A31" s="230" t="s">
        <v>54</v>
      </c>
      <c r="B31" s="33">
        <f>IF(ISERROR(TER_onderwijs_ele_kWh/1000),0,TER_onderwijs_ele_kWh/1000)</f>
        <v>107.42051526572699</v>
      </c>
      <c r="C31" s="39">
        <f>IF(ISERROR(B31*3.6/1000000/'E Balans VL '!Z11*100),0,B31*3.6/1000000/'E Balans VL '!Z11*100)</f>
        <v>2.1575490259396299E-2</v>
      </c>
      <c r="D31" s="235" t="s">
        <v>672</v>
      </c>
    </row>
    <row r="32" spans="1:18">
      <c r="A32" s="230" t="s">
        <v>249</v>
      </c>
      <c r="B32" s="33">
        <f>IF(ISERROR(TER_rest_ele_kWh/1000),0,TER_rest_ele_kWh/1000)</f>
        <v>1660.16592603353</v>
      </c>
      <c r="C32" s="39">
        <f>IF(ISERROR(B32*3.6/1000000/'E Balans VL '!Z8*100),0,B32*3.6/1000000/'E Balans VL '!Z8*100)</f>
        <v>1.35293447936632E-2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2619.5285001773191</v>
      </c>
      <c r="C5" s="17">
        <f>IF(ISERROR('Eigen informatie GS &amp; warmtenet'!B59),0,'Eigen informatie GS &amp; warmtenet'!B59)</f>
        <v>0</v>
      </c>
      <c r="D5" s="30">
        <f>SUM(D6:D15)</f>
        <v>3581.5555048817846</v>
      </c>
      <c r="E5" s="17">
        <f>SUM(E6:E15)</f>
        <v>460.73398651841933</v>
      </c>
      <c r="F5" s="17">
        <f>SUM(F6:F15)</f>
        <v>2018.9068078884115</v>
      </c>
      <c r="G5" s="18"/>
      <c r="H5" s="17"/>
      <c r="I5" s="17"/>
      <c r="J5" s="17">
        <f>SUM(J6:J15)</f>
        <v>0.65302572544701121</v>
      </c>
      <c r="K5" s="17"/>
      <c r="L5" s="17"/>
      <c r="M5" s="17"/>
      <c r="N5" s="17">
        <f>SUM(N6:N15)</f>
        <v>331.52407863401794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215.65302602137598</v>
      </c>
      <c r="C8" s="33"/>
      <c r="D8" s="37">
        <f>IF( ISERROR(IND_metaal_Gas_kWH/1000),0,IND_metaal_Gas_kWH/1000)*0.902</f>
        <v>112.84871538194047</v>
      </c>
      <c r="E8" s="33">
        <f>C30*'E Balans VL '!I18/100/3.6*1000000</f>
        <v>6.1943643694899535</v>
      </c>
      <c r="F8" s="33">
        <f>C30*'E Balans VL '!L18/100/3.6*1000000+C30*'E Balans VL '!N18/100/3.6*1000000</f>
        <v>55.310853570735098</v>
      </c>
      <c r="G8" s="34"/>
      <c r="H8" s="33"/>
      <c r="I8" s="33"/>
      <c r="J8" s="40">
        <f>C30*'E Balans VL '!D18/100/3.6*1000000+C30*'E Balans VL '!E18/100/3.6*1000000</f>
        <v>0</v>
      </c>
      <c r="K8" s="33"/>
      <c r="L8" s="33"/>
      <c r="M8" s="33"/>
      <c r="N8" s="33">
        <f>C30*'E Balans VL '!Y18/100/3.6*1000000</f>
        <v>5.8554198666744455</v>
      </c>
      <c r="O8" s="33"/>
      <c r="P8" s="33"/>
      <c r="R8" s="32"/>
    </row>
    <row r="9" spans="1:18">
      <c r="A9" s="6" t="s">
        <v>32</v>
      </c>
      <c r="B9" s="37">
        <f t="shared" si="0"/>
        <v>1435.2816538389</v>
      </c>
      <c r="C9" s="33"/>
      <c r="D9" s="37">
        <f>IF( ISERROR(IND_andere_gas_kWh/1000),0,IND_andere_gas_kWh/1000)*0.902</f>
        <v>1877.1570397558121</v>
      </c>
      <c r="E9" s="33">
        <f>C31*'E Balans VL '!I19/100/3.6*1000000</f>
        <v>388.49545436611623</v>
      </c>
      <c r="F9" s="33">
        <f>C31*'E Balans VL '!L19/100/3.6*1000000+C31*'E Balans VL '!N19/100/3.6*1000000</f>
        <v>956.04946598288018</v>
      </c>
      <c r="G9" s="34"/>
      <c r="H9" s="33"/>
      <c r="I9" s="33"/>
      <c r="J9" s="40">
        <f>C31*'E Balans VL '!D19/100/3.6*1000000+C31*'E Balans VL '!E19/100/3.6*1000000</f>
        <v>0</v>
      </c>
      <c r="K9" s="33"/>
      <c r="L9" s="33"/>
      <c r="M9" s="33"/>
      <c r="N9" s="33">
        <f>C31*'E Balans VL '!Y19/100/3.6*1000000</f>
        <v>121.34355617683734</v>
      </c>
      <c r="O9" s="33"/>
      <c r="P9" s="33"/>
      <c r="R9" s="32"/>
    </row>
    <row r="10" spans="1:18">
      <c r="A10" s="6" t="s">
        <v>40</v>
      </c>
      <c r="B10" s="37">
        <f t="shared" si="0"/>
        <v>633.09868683759998</v>
      </c>
      <c r="C10" s="33"/>
      <c r="D10" s="37">
        <f>IF( ISERROR(IND_voed_gas_kWh/1000),0,IND_voed_gas_kWh/1000)*0.902</f>
        <v>908.83364122593923</v>
      </c>
      <c r="E10" s="33">
        <f>C32*'E Balans VL '!I20/100/3.6*1000000</f>
        <v>51.636983404859443</v>
      </c>
      <c r="F10" s="33">
        <f>C32*'E Balans VL '!L20/100/3.6*1000000+C32*'E Balans VL '!N20/100/3.6*1000000</f>
        <v>944.00758182067625</v>
      </c>
      <c r="G10" s="34"/>
      <c r="H10" s="33"/>
      <c r="I10" s="33"/>
      <c r="J10" s="40">
        <f>C32*'E Balans VL '!D20/100/3.6*1000000+C32*'E Balans VL '!E20/100/3.6*1000000</f>
        <v>8.3751271481475164E-3</v>
      </c>
      <c r="K10" s="33"/>
      <c r="L10" s="33"/>
      <c r="M10" s="33"/>
      <c r="N10" s="33">
        <f>C32*'E Balans VL '!Y20/100/3.6*1000000</f>
        <v>185.98205454906437</v>
      </c>
      <c r="O10" s="33"/>
      <c r="P10" s="33"/>
      <c r="R10" s="32"/>
    </row>
    <row r="11" spans="1:18">
      <c r="A11" s="6" t="s">
        <v>39</v>
      </c>
      <c r="B11" s="37">
        <f t="shared" si="0"/>
        <v>49.058554530282898</v>
      </c>
      <c r="C11" s="33"/>
      <c r="D11" s="37">
        <f>IF( ISERROR(IND_textiel_gas_kWh/1000),0,IND_textiel_gas_kWh/1000)*0.902</f>
        <v>0</v>
      </c>
      <c r="E11" s="33">
        <f>C33*'E Balans VL '!I21/100/3.6*1000000</f>
        <v>9.7244092316883593E-3</v>
      </c>
      <c r="F11" s="33">
        <f>C33*'E Balans VL '!L21/100/3.6*1000000+C33*'E Balans VL '!N21/100/3.6*1000000</f>
        <v>1.8068857526853108</v>
      </c>
      <c r="G11" s="34"/>
      <c r="H11" s="33"/>
      <c r="I11" s="33"/>
      <c r="J11" s="40">
        <f>C33*'E Balans VL '!D21/100/3.6*1000000+C33*'E Balans VL '!E21/100/3.6*1000000</f>
        <v>0</v>
      </c>
      <c r="K11" s="33"/>
      <c r="L11" s="33"/>
      <c r="M11" s="33"/>
      <c r="N11" s="33">
        <f>C33*'E Balans VL '!Y21/100/3.6*1000000</f>
        <v>0.22810989413371524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34.920862435676604</v>
      </c>
      <c r="C13" s="33"/>
      <c r="D13" s="37">
        <f>IF( ISERROR(IND_papier_gas_kWh/1000),0,IND_papier_gas_kWh/1000)*0.902</f>
        <v>0</v>
      </c>
      <c r="E13" s="33">
        <f>C35*'E Balans VL '!I23/100/3.6*1000000</f>
        <v>0.36585965206110754</v>
      </c>
      <c r="F13" s="33">
        <f>C35*'E Balans VL '!L23/100/3.6*1000000+C35*'E Balans VL '!N23/100/3.6*1000000</f>
        <v>2.6058009445345243</v>
      </c>
      <c r="G13" s="34"/>
      <c r="H13" s="33"/>
      <c r="I13" s="33"/>
      <c r="J13" s="40">
        <f>C35*'E Balans VL '!D23/100/3.6*1000000+C35*'E Balans VL '!E23/100/3.6*1000000</f>
        <v>0</v>
      </c>
      <c r="K13" s="33"/>
      <c r="L13" s="33"/>
      <c r="M13" s="33"/>
      <c r="N13" s="33">
        <f>C35*'E Balans VL '!Y23/100/3.6*1000000</f>
        <v>6.4421440436818429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251.51571651348399</v>
      </c>
      <c r="C15" s="33"/>
      <c r="D15" s="37">
        <f>IF( ISERROR(IND_rest_gas_kWh/1000),0,IND_rest_gas_kWh/1000)*0.902</f>
        <v>682.71610851809282</v>
      </c>
      <c r="E15" s="33">
        <f>C37*'E Balans VL '!I15/100/3.6*1000000</f>
        <v>14.031600316660921</v>
      </c>
      <c r="F15" s="33">
        <f>C37*'E Balans VL '!L15/100/3.6*1000000+C37*'E Balans VL '!N15/100/3.6*1000000</f>
        <v>59.126219816900061</v>
      </c>
      <c r="G15" s="34"/>
      <c r="H15" s="33"/>
      <c r="I15" s="33"/>
      <c r="J15" s="40">
        <f>C37*'E Balans VL '!D15/100/3.6*1000000+C37*'E Balans VL '!E15/100/3.6*1000000</f>
        <v>0.64465059829886373</v>
      </c>
      <c r="K15" s="33"/>
      <c r="L15" s="33"/>
      <c r="M15" s="33"/>
      <c r="N15" s="33">
        <f>C37*'E Balans VL '!Y15/100/3.6*1000000</f>
        <v>11.672794103626293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2619.5285001773191</v>
      </c>
      <c r="C18" s="21">
        <f>C5+C16</f>
        <v>0</v>
      </c>
      <c r="D18" s="21">
        <f>MAX((D5+D16),0)</f>
        <v>3581.5555048817846</v>
      </c>
      <c r="E18" s="21">
        <f>MAX((E5+E16),0)</f>
        <v>460.73398651841933</v>
      </c>
      <c r="F18" s="21">
        <f>MAX((F5+F16),0)</f>
        <v>2018.9068078884115</v>
      </c>
      <c r="G18" s="21"/>
      <c r="H18" s="21"/>
      <c r="I18" s="21"/>
      <c r="J18" s="21">
        <f>MAX((J5+J16),0)</f>
        <v>0.65302572544701121</v>
      </c>
      <c r="K18" s="21"/>
      <c r="L18" s="21">
        <f>MAX((L5+L16),0)</f>
        <v>0</v>
      </c>
      <c r="M18" s="21"/>
      <c r="N18" s="21">
        <f>MAX((N5+N16),0)</f>
        <v>331.52407863401794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0.21035700206506275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551.036162121291</v>
      </c>
      <c r="C22" s="23">
        <f ca="1">C18*C20</f>
        <v>0</v>
      </c>
      <c r="D22" s="23">
        <f>D18*D20</f>
        <v>723.47421198612051</v>
      </c>
      <c r="E22" s="23">
        <f>E18*E20</f>
        <v>104.5866149396812</v>
      </c>
      <c r="F22" s="23">
        <f>F18*F20</f>
        <v>539.04811770620586</v>
      </c>
      <c r="G22" s="23"/>
      <c r="H22" s="23"/>
      <c r="I22" s="23"/>
      <c r="J22" s="23">
        <f>J18*J20</f>
        <v>0.23117110680824196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215.65302602137598</v>
      </c>
      <c r="C30" s="39">
        <f>IF(ISERROR(B30*3.6/1000000/'E Balans VL '!Z18*100),0,B30*3.6/1000000/'E Balans VL '!Z18*100)</f>
        <v>2.1219707256970387E-2</v>
      </c>
      <c r="D30" s="235" t="s">
        <v>672</v>
      </c>
    </row>
    <row r="31" spans="1:18">
      <c r="A31" s="6" t="s">
        <v>32</v>
      </c>
      <c r="B31" s="37">
        <f>IF( ISERROR(IND_ander_ele_kWh/1000),0,IND_ander_ele_kWh/1000)</f>
        <v>1435.2816538389</v>
      </c>
      <c r="C31" s="39">
        <f>IF(ISERROR(B31*3.6/1000000/'E Balans VL '!Z19*100),0,B31*3.6/1000000/'E Balans VL '!Z19*100)</f>
        <v>6.2505371111786959E-2</v>
      </c>
      <c r="D31" s="235" t="s">
        <v>672</v>
      </c>
    </row>
    <row r="32" spans="1:18">
      <c r="A32" s="170" t="s">
        <v>40</v>
      </c>
      <c r="B32" s="37">
        <f>IF( ISERROR(IND_voed_ele_kWh/1000),0,IND_voed_ele_kWh/1000)</f>
        <v>633.09868683759998</v>
      </c>
      <c r="C32" s="39">
        <f>IF(ISERROR(B32*3.6/1000000/'E Balans VL '!Z20*100),0,B32*3.6/1000000/'E Balans VL '!Z20*100)</f>
        <v>0.12012134555111503</v>
      </c>
      <c r="D32" s="235" t="s">
        <v>672</v>
      </c>
    </row>
    <row r="33" spans="1:5">
      <c r="A33" s="170" t="s">
        <v>39</v>
      </c>
      <c r="B33" s="37">
        <f>IF( ISERROR(IND_textiel_ele_kWh/1000),0,IND_textiel_ele_kWh/1000)</f>
        <v>49.058554530282898</v>
      </c>
      <c r="C33" s="39">
        <f>IF(ISERROR(B33*3.6/1000000/'E Balans VL '!Z21*100),0,B33*3.6/1000000/'E Balans VL '!Z21*100)</f>
        <v>2.8009946752212802E-3</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34.920862435676604</v>
      </c>
      <c r="C35" s="39">
        <f>IF(ISERROR(B35*3.6/1000000/'E Balans VL '!Z22*100),0,B35*3.6/1000000/'E Balans VL '!Z22*100)</f>
        <v>4.9102239228266302E-3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251.51571651348399</v>
      </c>
      <c r="C37" s="39">
        <f>IF(ISERROR(B37*3.6/1000000/'E Balans VL '!Z15*100),0,B37*3.6/1000000/'E Balans VL '!Z15*100)</f>
        <v>1.9382375207145292E-3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520.98230607542996</v>
      </c>
      <c r="C5" s="17">
        <f>'Eigen informatie GS &amp; warmtenet'!B60</f>
        <v>0</v>
      </c>
      <c r="D5" s="30">
        <f>IF(ISERROR(SUM(LB_lb_gas_kWh,LB_rest_gas_kWh)/1000),0,SUM(LB_lb_gas_kWh,LB_rest_gas_kWh)/1000)*0.902</f>
        <v>955.09096273040643</v>
      </c>
      <c r="E5" s="17">
        <f>B17*'E Balans VL '!I25/3.6*1000000/100</f>
        <v>6.5650482182216203</v>
      </c>
      <c r="F5" s="17">
        <f>B17*('E Balans VL '!L25/3.6*1000000+'E Balans VL '!N25/3.6*1000000)/100</f>
        <v>1797.5194698264286</v>
      </c>
      <c r="G5" s="18"/>
      <c r="H5" s="17"/>
      <c r="I5" s="17"/>
      <c r="J5" s="17">
        <f>('E Balans VL '!D25+'E Balans VL '!E25)/3.6*1000000*landbouw!B17/100</f>
        <v>78.349816515907264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520.98230607542996</v>
      </c>
      <c r="C8" s="21">
        <f>C5+C6</f>
        <v>0</v>
      </c>
      <c r="D8" s="21">
        <f>MAX((D5+D6),0)</f>
        <v>955.09096273040643</v>
      </c>
      <c r="E8" s="21">
        <f>MAX((E5+E6),0)</f>
        <v>6.5650482182216203</v>
      </c>
      <c r="F8" s="21">
        <f>MAX((F5+F6),0)</f>
        <v>1797.5194698264286</v>
      </c>
      <c r="G8" s="21"/>
      <c r="H8" s="21"/>
      <c r="I8" s="21"/>
      <c r="J8" s="21">
        <f>MAX((J5+J6),0)</f>
        <v>78.349816515907264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0.21035700206506275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109.59227603497037</v>
      </c>
      <c r="C12" s="23">
        <f ca="1">C8*C10</f>
        <v>0</v>
      </c>
      <c r="D12" s="23">
        <f>D8*D10</f>
        <v>192.9283744715421</v>
      </c>
      <c r="E12" s="23">
        <f>E8*E10</f>
        <v>1.4902659455363079</v>
      </c>
      <c r="F12" s="23">
        <f>F8*F10</f>
        <v>479.93769844365647</v>
      </c>
      <c r="G12" s="23"/>
      <c r="H12" s="23"/>
      <c r="I12" s="23"/>
      <c r="J12" s="23">
        <f>J8*J10</f>
        <v>27.73583504663117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7.2660611288378987E-2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108.57378225559702</v>
      </c>
      <c r="C26" s="245">
        <f>B26*'GWP N2O_CH4'!B5</f>
        <v>2280.0494273675376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21.650674617476746</v>
      </c>
      <c r="C27" s="245">
        <f>B27*'GWP N2O_CH4'!B5</f>
        <v>454.66416696701168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1.3118565705808574</v>
      </c>
      <c r="C28" s="245">
        <f>B28*'GWP N2O_CH4'!B4</f>
        <v>406.67553688006581</v>
      </c>
      <c r="D28" s="50"/>
    </row>
    <row r="29" spans="1:4">
      <c r="A29" s="41" t="s">
        <v>266</v>
      </c>
      <c r="B29" s="245">
        <f>B34*'ha_N2O bodem landbouw'!B4</f>
        <v>6.1710626252829144</v>
      </c>
      <c r="C29" s="245">
        <f>B29*'GWP N2O_CH4'!B4</f>
        <v>1913.0294138377035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1.5408526745543649E-3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3.5436017485546598E-5</v>
      </c>
      <c r="C5" s="434" t="s">
        <v>204</v>
      </c>
      <c r="D5" s="419">
        <f>SUM(D6:D11)</f>
        <v>3.3645572555758963E-5</v>
      </c>
      <c r="E5" s="419">
        <f>SUM(E6:E11)</f>
        <v>1.268230154179048E-3</v>
      </c>
      <c r="F5" s="432" t="s">
        <v>204</v>
      </c>
      <c r="G5" s="419">
        <f>SUM(G6:G11)</f>
        <v>0.38425296153799277</v>
      </c>
      <c r="H5" s="419">
        <f>SUM(H6:H11)</f>
        <v>5.8326541883604935E-2</v>
      </c>
      <c r="I5" s="434" t="s">
        <v>204</v>
      </c>
      <c r="J5" s="434" t="s">
        <v>204</v>
      </c>
      <c r="K5" s="434" t="s">
        <v>204</v>
      </c>
      <c r="L5" s="434" t="s">
        <v>204</v>
      </c>
      <c r="M5" s="419">
        <f>SUM(M6:M11)</f>
        <v>2.0008182223937125E-2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1.6597493148400693E-5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1.4786396790538833E-5</v>
      </c>
      <c r="E6" s="873">
        <f>vkm_GW_PW*SUMIFS(TableVerdeelsleutelVkm[LPG],TableVerdeelsleutelVkm[Voertuigtype],"Lichte voertuigen")*SUMIFS(TableECFTransport[EnergieConsumptieFactor (PJ per km)],TableECFTransport[Index],CONCATENATE($A6,"_LPG_LPG"))</f>
        <v>5.3219692043059922E-4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0.10431346937984876</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2.5573321031937924E-2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5.8756323212175773E-3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3.6643204216823422E-7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5.7341479983560283E-2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1.3070836516182532E-6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2.5890561747196365E-3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6.9839930206087635E-6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9.8101889395481238E-6</v>
      </c>
      <c r="E8" s="422">
        <f>vkm_NGW_PW*SUMIFS(TableVerdeelsleutelVkm[LPG],TableVerdeelsleutelVkm[Voertuigtype],"Lichte voertuigen")*SUMIFS(TableECFTransport[EnergieConsumptieFactor (PJ per km)],TableECFTransport[Index],CONCATENATE($A8,"_LPG_LPG"))</f>
        <v>3.3604023836692756E-4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6.1871199620598193E-2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1.6287514891180733E-2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3.5360247454878173E-3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1.1047993908946142E-8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2.2207462205524522E-3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4.756744362482927E-8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1.0026997443123181E-4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1.0901321307906181E-5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9.0489868256720038E-6</v>
      </c>
      <c r="E10" s="422">
        <f>vkm_SW_PW*SUMIFS(TableVerdeelsleutelVkm[LPG],TableVerdeelsleutelVkm[Voertuigtype],"Lichte voertuigen")*SUMIFS(TableECFTransport[EnergieConsumptieFactor (PJ per km)],TableECFTransport[Index],CONCATENATE($A10,"_LPG_LPG"))</f>
        <v>3.999929953815213E-4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7.2665654943569913E-2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1.6462237532145006E-2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4.0313650080026405E-3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5.7572997255377949E-7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8.5840411389863133E-2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2.1137772460264569E-6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3.8758340000782233E-3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9.8433381904296091</v>
      </c>
      <c r="C14" s="21"/>
      <c r="D14" s="21">
        <f t="shared" ref="D14:M14" si="0">((D5)*10^9/3600)+D12</f>
        <v>9.3459923765997122</v>
      </c>
      <c r="E14" s="21">
        <f t="shared" si="0"/>
        <v>352.28615393862447</v>
      </c>
      <c r="F14" s="21"/>
      <c r="G14" s="21">
        <f t="shared" si="0"/>
        <v>106736.93376055355</v>
      </c>
      <c r="H14" s="21">
        <f t="shared" si="0"/>
        <v>16201.81718989026</v>
      </c>
      <c r="I14" s="21"/>
      <c r="J14" s="21"/>
      <c r="K14" s="21"/>
      <c r="L14" s="21"/>
      <c r="M14" s="21">
        <f t="shared" si="0"/>
        <v>5557.8283955380903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0.21035700206506275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2.0706151120513123</v>
      </c>
      <c r="C18" s="23"/>
      <c r="D18" s="23">
        <f t="shared" ref="D18:M18" si="1">D14*D16</f>
        <v>1.8878904600731419</v>
      </c>
      <c r="E18" s="23">
        <f t="shared" si="1"/>
        <v>79.968956944067756</v>
      </c>
      <c r="F18" s="23"/>
      <c r="G18" s="23">
        <f t="shared" si="1"/>
        <v>28498.7613140678</v>
      </c>
      <c r="H18" s="23">
        <f t="shared" si="1"/>
        <v>4034.2524802826747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3.5161407897604281E-5</v>
      </c>
      <c r="C50" s="316">
        <f t="shared" ref="C50:P50" si="2">SUM(C51:C52)</f>
        <v>0</v>
      </c>
      <c r="D50" s="316">
        <f t="shared" si="2"/>
        <v>0</v>
      </c>
      <c r="E50" s="316">
        <f t="shared" si="2"/>
        <v>0</v>
      </c>
      <c r="F50" s="316">
        <f t="shared" si="2"/>
        <v>0</v>
      </c>
      <c r="G50" s="316">
        <f t="shared" si="2"/>
        <v>6.8439689244959205E-3</v>
      </c>
      <c r="H50" s="316">
        <f t="shared" si="2"/>
        <v>0</v>
      </c>
      <c r="I50" s="316">
        <f t="shared" si="2"/>
        <v>0</v>
      </c>
      <c r="J50" s="316">
        <f t="shared" si="2"/>
        <v>0</v>
      </c>
      <c r="K50" s="316">
        <f t="shared" si="2"/>
        <v>0</v>
      </c>
      <c r="L50" s="316">
        <f t="shared" si="2"/>
        <v>0</v>
      </c>
      <c r="M50" s="316">
        <f t="shared" si="2"/>
        <v>3.068893172191764E-4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3.5161407897604281E-5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6.8439689244959205E-3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3.068893172191764E-4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9.7670577493345228</v>
      </c>
      <c r="C54" s="21">
        <f t="shared" ref="C54:P54" si="3">(C50)*10^9/3600</f>
        <v>0</v>
      </c>
      <c r="D54" s="21">
        <f t="shared" si="3"/>
        <v>0</v>
      </c>
      <c r="E54" s="21">
        <f t="shared" si="3"/>
        <v>0</v>
      </c>
      <c r="F54" s="21">
        <f t="shared" si="3"/>
        <v>0</v>
      </c>
      <c r="G54" s="21">
        <f t="shared" si="3"/>
        <v>1901.1024790266447</v>
      </c>
      <c r="H54" s="21">
        <f t="shared" si="3"/>
        <v>0</v>
      </c>
      <c r="I54" s="21">
        <f t="shared" si="3"/>
        <v>0</v>
      </c>
      <c r="J54" s="21">
        <f t="shared" si="3"/>
        <v>0</v>
      </c>
      <c r="K54" s="21">
        <f t="shared" si="3"/>
        <v>0</v>
      </c>
      <c r="L54" s="21">
        <f t="shared" si="3"/>
        <v>0</v>
      </c>
      <c r="M54" s="21">
        <f t="shared" si="3"/>
        <v>85.247032560882332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0.21035700206506275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2.0545689871463493</v>
      </c>
      <c r="C58" s="23">
        <f t="shared" ref="C58:P58" ca="1" si="4">C54*C56</f>
        <v>0</v>
      </c>
      <c r="D58" s="23">
        <f t="shared" si="4"/>
        <v>0</v>
      </c>
      <c r="E58" s="23">
        <f t="shared" si="4"/>
        <v>0</v>
      </c>
      <c r="F58" s="23">
        <f t="shared" si="4"/>
        <v>0</v>
      </c>
      <c r="G58" s="23">
        <f t="shared" si="4"/>
        <v>507.59436190011417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3785.8871090275393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3785.8871090275393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2021-11-11T13:18:42Z</dcterms:modified>
</cp:coreProperties>
</file>