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65497A67-1AF1-4FC5-BBE9-6A88F6D78D0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I49" i="18"/>
  <c r="H17" i="18" s="1"/>
  <c r="F49" i="18"/>
  <c r="C49" i="18"/>
  <c r="B49" i="18"/>
  <c r="C17" i="18" s="1"/>
  <c r="C20" i="18" s="1"/>
  <c r="C45" i="18"/>
  <c r="O18" i="18"/>
  <c r="H20" i="18"/>
  <c r="G20" i="18"/>
  <c r="K20" i="18"/>
  <c r="B10" i="18"/>
  <c r="O19" i="18"/>
  <c r="O9" i="18"/>
  <c r="D49" i="18"/>
  <c r="H49" i="18"/>
  <c r="E48" i="18"/>
  <c r="E8" i="18" s="1"/>
  <c r="E10" i="18" s="1"/>
  <c r="N6" i="17"/>
  <c r="E49" i="18" l="1"/>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<sst xmlns="http://schemas.openxmlformats.org/spreadsheetml/2006/main" count="2511" uniqueCount="926">
  <si>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</si>
  <si>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</si>
  <si>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</si>
  <si>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</si>
  <si>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</si>
  <si>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</si>
  <si>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</si>
  <si>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</si>
  <si>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</si>
  <si>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</si>
  <si>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</si>
  <si>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</si>
  <si>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</si>
  <si>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</si>
  <si>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</si>
  <si>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</si>
  <si>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</si>
  <si>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</si>
  <si>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</si>
  <si>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</si>
  <si>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</si>
  <si>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</si>
  <si>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</si>
  <si>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</si>
  <si>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</si>
  <si>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</si>
  <si>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</si>
  <si>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</si>
  <si>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</si>
  <si>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</si>
  <si>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</si>
  <si>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</si>
  <si>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</si>
  <si>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</si>
  <si>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</si>
  <si>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</si>
  <si>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</si>
  <si>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</si>
  <si>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</si>
  <si>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</si>
  <si>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</si>
  <si>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</si>
  <si>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</si>
  <si>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</si>
  <si>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</si>
  <si>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</si>
  <si>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</si>
  <si>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</si>
  <si>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</si>
  <si>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</si>
  <si>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</si>
  <si>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</si>
  <si>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</si>
  <si>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</si>
  <si>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</si>
  <si>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</si>
  <si>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</si>
  <si>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</si>
  <si>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</si>
  <si>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</si>
  <si>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</si>
  <si>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</si>
  <si>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</si>
  <si>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</si>
  <si>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</si>
  <si>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</si>
  <si>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</si>
  <si>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</si>
  <si>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</si>
  <si>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</si>
  <si>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</si>
  <si>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</si>
  <si>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</si>
  <si>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</si>
  <si>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</si>
  <si>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</si>
  <si>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</si>
  <si>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</si>
  <si>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</si>
  <si>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</si>
  <si>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</si>
  <si>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</si>
  <si>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</si>
  <si>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</si>
  <si>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</si>
  <si>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</si>
  <si>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</si>
  <si>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</si>
  <si>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</si>
  <si>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</si>
  <si>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</si>
  <si>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</si>
  <si>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</si>
  <si>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</si>
  <si>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</si>
  <si>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</si>
  <si>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</si>
  <si>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</si>
  <si>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</si>
  <si>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</si>
  <si>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</si>
  <si>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</si>
  <si>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</si>
  <si>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</si>
  <si>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</si>
  <si>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</si>
  <si>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</si>
  <si>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</si>
  <si>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</si>
  <si>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</si>
  <si>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</si>
  <si>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</si>
  <si>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</si>
  <si>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</si>
  <si>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</si>
  <si>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</si>
  <si>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</si>
  <si>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</si>
  <si>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</si>
  <si>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</si>
  <si>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</si>
  <si>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</si>
  <si>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</si>
  <si>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</si>
  <si>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</si>
  <si>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</si>
  <si>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</si>
  <si>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</si>
  <si>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</si>
  <si>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</si>
  <si>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</si>
  <si>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</si>
  <si>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</si>
  <si>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</si>
  <si>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</si>
  <si>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</si>
  <si>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</si>
  <si>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</si>
  <si>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</si>
  <si>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</si>
  <si>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</si>
  <si>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</si>
  <si>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</si>
  <si>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</si>
  <si>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</si>
  <si>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</si>
  <si>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</si>
  <si>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</si>
  <si>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</si>
  <si>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</si>
  <si>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</si>
  <si>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</si>
  <si>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</si>
  <si>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</si>
  <si>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</si>
  <si>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</si>
  <si>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</si>
  <si>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</si>
  <si>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</si>
  <si>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</si>
  <si>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</si>
  <si>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</si>
  <si>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</si>
  <si>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</si>
  <si>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</si>
  <si>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</si>
  <si>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</si>
  <si>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</si>
  <si>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</si>
  <si>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</si>
  <si>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</si>
  <si>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</si>
  <si>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</si>
  <si>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</si>
  <si>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</si>
  <si>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</si>
  <si>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</si>
  <si>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</si>
  <si>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</si>
  <si>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</si>
  <si>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</si>
  <si>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</si>
  <si>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</si>
  <si>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</si>
  <si>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</si>
  <si>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</si>
  <si>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</si>
  <si>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</si>
  <si>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</si>
  <si>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</si>
  <si>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</si>
  <si>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</si>
  <si>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</si>
  <si>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</si>
  <si>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</si>
  <si>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</si>
  <si>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</si>
  <si>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</si>
  <si>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</si>
  <si>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</si>
  <si>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</si>
  <si>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</si>
  <si>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</si>
  <si>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</si>
  <si>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</si>
  <si>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</si>
  <si>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</si>
  <si>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</si>
  <si>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</si>
  <si>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</si>
  <si>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</si>
  <si>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</si>
  <si>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</si>
  <si>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</si>
  <si>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</si>
  <si>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</si>
  <si>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</si>
  <si>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</si>
  <si>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</si>
  <si>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</si>
  <si>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</si>
  <si>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</si>
  <si>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</si>
  <si>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</si>
  <si>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</si>
  <si>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</si>
  <si>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</si>
  <si>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</si>
  <si>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</si>
  <si>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</si>
  <si>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</si>
  <si>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</si>
  <si>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</si>
  <si>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</si>
  <si>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</si>
  <si>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</si>
  <si>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</si>
  <si>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</si>
  <si>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</si>
  <si>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</si>
  <si>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</si>
  <si>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</si>
  <si>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</si>
  <si>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</si>
  <si>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</si>
  <si>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</si>
  <si>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</si>
  <si>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</si>
  <si>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</si>
  <si>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</si>
  <si>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</si>
  <si>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</si>
  <si>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</si>
  <si>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</si>
  <si>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</si>
  <si>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</si>
  <si>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</si>
  <si>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</si>
  <si>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</si>
  <si>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</si>
  <si>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</si>
  <si>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</si>
  <si>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</si>
  <si>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</si>
  <si>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</si>
  <si>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</si>
  <si>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</si>
  <si>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</si>
  <si>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</si>
  <si>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</si>
  <si>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</si>
  <si>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</si>
  <si>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</si>
  <si>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</si>
  <si>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</si>
  <si>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</si>
  <si>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</si>
  <si>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</si>
  <si>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</si>
  <si>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</si>
  <si>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</si>
  <si>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</si>
  <si>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</si>
  <si>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</si>
  <si>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</si>
  <si>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</si>
  <si>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</si>
  <si>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</si>
  <si>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</si>
  <si>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</si>
  <si>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</si>
  <si>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</si>
  <si>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</si>
  <si>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</si>
  <si>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</si>
  <si>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</si>
  <si>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</si>
  <si>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</si>
  <si>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</si>
  <si>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</si>
  <si>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</si>
  <si>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</si>
  <si>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</si>
  <si>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</si>
  <si>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</si>
  <si>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</si>
  <si>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</si>
  <si>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</si>
  <si>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</si>
  <si>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</si>
  <si>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</si>
  <si>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</si>
  <si>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</si>
  <si>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</si>
  <si>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</si>
  <si>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</si>
  <si>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</si>
  <si>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</si>
  <si>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</si>
  <si>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</si>
  <si>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</si>
  <si>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</si>
  <si>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</si>
  <si>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</si>
  <si>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</si>
  <si>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</si>
  <si>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</si>
  <si>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</si>
  <si>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</si>
  <si>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</si>
  <si>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</si>
  <si>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</si>
  <si>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</si>
  <si>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</si>
  <si>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</si>
  <si>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</si>
  <si>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</si>
  <si>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</si>
  <si>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</si>
  <si>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</si>
  <si>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</si>
  <si>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</si>
  <si>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</si>
  <si>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</si>
  <si>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</si>
  <si>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</si>
  <si>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</si>
  <si>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</si>
  <si>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</si>
  <si>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</si>
  <si>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</si>
  <si>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</si>
  <si>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</si>
  <si>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</si>
  <si>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</si>
  <si>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</si>
  <si>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</si>
  <si>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</si>
  <si>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</si>
  <si>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</si>
  <si>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</si>
  <si>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</si>
  <si>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</si>
  <si>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</si>
  <si>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</si>
  <si>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</si>
  <si>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</si>
  <si>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</si>
  <si>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</si>
  <si>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</si>
  <si>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</si>
  <si>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</si>
  <si>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</si>
  <si>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</si>
  <si>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</si>
  <si>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</si>
  <si>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</si>
  <si>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</si>
  <si>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</si>
  <si>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</si>
  <si>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</si>
  <si>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</si>
  <si>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</si>
  <si>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</si>
  <si>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</si>
  <si>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</si>
  <si>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</si>
  <si>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</si>
  <si>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</si>
  <si>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</si>
  <si>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</si>
  <si>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</si>
  <si>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</si>
  <si>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</si>
  <si>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</si>
  <si>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</si>
  <si>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</si>
  <si>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</si>
  <si>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</si>
  <si>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</si>
  <si>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</si>
  <si>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</si>
  <si>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</si>
  <si>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</si>
  <si>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</si>
  <si>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</si>
  <si>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</si>
  <si>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</si>
  <si>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</si>
  <si>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</si>
  <si>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</si>
  <si>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</si>
  <si>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</si>
  <si>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</si>
  <si>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</si>
  <si>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</si>
  <si>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</si>
  <si>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</si>
  <si>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</si>
  <si>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</si>
  <si>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</si>
  <si>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</si>
  <si>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</si>
  <si>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</si>
  <si>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</si>
  <si>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</si>
  <si>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</si>
  <si>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</si>
  <si>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</si>
  <si>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</si>
  <si>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</si>
  <si>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</si>
  <si>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</si>
  <si>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</si>
  <si>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</si>
  <si>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</si>
  <si>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</si>
  <si>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</si>
  <si>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</si>
  <si>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</si>
  <si>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</si>
  <si>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</si>
  <si>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</si>
  <si>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</si>
  <si>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</si>
  <si>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</si>
  <si>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</si>
  <si>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</si>
  <si>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</si>
  <si>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</si>
  <si>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</si>
  <si>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</si>
  <si>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</si>
  <si>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</si>
  <si>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</si>
  <si>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</si>
  <si>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</si>
  <si>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</si>
  <si>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</si>
  <si>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</si>
  <si>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</si>
  <si>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</si>
  <si>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</si>
  <si>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</si>
  <si>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</si>
  <si>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</si>
  <si>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</si>
  <si>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</si>
  <si>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</si>
  <si>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</si>
  <si>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</si>
  <si>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</si>
  <si>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</si>
  <si>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</si>
  <si>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</si>
  <si>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</si>
  <si>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</si>
  <si>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</si>
  <si>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</si>
  <si>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</si>
  <si>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</si>
  <si>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</si>
  <si>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</si>
  <si>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</si>
  <si>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</si>
  <si>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</si>
  <si>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</si>
  <si>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</si>
  <si>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</si>
  <si>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</si>
  <si>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</si>
  <si>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</si>
  <si>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</si>
  <si>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</si>
  <si>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</si>
  <si>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</si>
  <si>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</si>
  <si>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</si>
  <si>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</si>
  <si>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</si>
  <si>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</si>
  <si>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</si>
  <si>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</si>
  <si>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</si>
  <si>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</si>
  <si>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</si>
  <si>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</si>
  <si>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</si>
  <si>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</si>
  <si>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</si>
  <si>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</si>
  <si>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</si>
  <si>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</si>
  <si>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</si>
  <si>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</si>
  <si>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</si>
  <si>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</si>
  <si>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</si>
  <si>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</si>
  <si>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</si>
  <si>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</si>
  <si>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</si>
  <si>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</si>
  <si>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</si>
  <si>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</si>
  <si>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</si>
  <si>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</si>
  <si>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</si>
  <si>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</si>
  <si>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</si>
  <si>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</si>
  <si>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</si>
  <si>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</si>
  <si>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</si>
  <si>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</si>
  <si>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</si>
  <si>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</si>
  <si>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</si>
  <si>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</si>
  <si>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</si>
  <si>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</si>
  <si>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</si>
  <si>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</si>
  <si>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</si>
  <si>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</si>
  <si>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</si>
  <si>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</si>
  <si>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</si>
  <si>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</si>
  <si>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</si>
  <si>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</si>
  <si>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</si>
  <si>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</si>
  <si>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</si>
  <si>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</si>
  <si>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</si>
  <si>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</si>
  <si>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</si>
  <si>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</si>
  <si>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</si>
  <si>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</si>
  <si>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</si>
  <si>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</si>
  <si>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</si>
  <si>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</si>
  <si>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</si>
  <si>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</si>
  <si>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</si>
  <si>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</si>
  <si>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</si>
  <si>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</si>
  <si>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</si>
  <si>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</si>
  <si>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</si>
  <si>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</si>
  <si>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</si>
  <si>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</si>
  <si>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</si>
  <si>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</si>
  <si>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</si>
  <si>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</si>
  <si>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</si>
  <si>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</si>
  <si>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</si>
  <si>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</si>
  <si>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</si>
  <si>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</si>
  <si>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</si>
  <si>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</si>
  <si>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</si>
  <si>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</si>
  <si>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</si>
  <si>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</si>
  <si>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</si>
  <si>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</si>
  <si>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</si>
  <si>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</si>
  <si>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</si>
  <si>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</si>
  <si>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</si>
  <si>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</si>
  <si>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</si>
  <si>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</si>
  <si>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</si>
  <si>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</si>
  <si>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</si>
  <si>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</si>
  <si>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</si>
  <si>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</si>
  <si>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</si>
  <si>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</si>
  <si>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</si>
  <si>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</si>
  <si>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</si>
  <si>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</si>
  <si>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</si>
  <si>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</si>
  <si>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</si>
  <si>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</si>
  <si>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</si>
  <si>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</si>
  <si>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</si>
  <si>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</si>
  <si>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</si>
  <si>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</si>
  <si>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</si>
  <si>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</si>
  <si>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</si>
  <si>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</si>
  <si>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</si>
  <si>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</si>
  <si>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</si>
  <si>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</si>
  <si>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</si>
  <si>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</si>
  <si>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</si>
  <si>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</si>
  <si>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</si>
  <si>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</si>
  <si>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</si>
  <si>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</si>
  <si>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</si>
  <si>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</si>
  <si>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</si>
  <si>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</si>
  <si>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</si>
  <si>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</si>
  <si>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</si>
  <si>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</si>
  <si>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</si>
  <si>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</si>
  <si>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</si>
  <si>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</si>
  <si>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</si>
  <si>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</si>
  <si>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</si>
  <si>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</si>
  <si>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</si>
  <si>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</si>
  <si>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</si>
  <si>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</si>
  <si>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</si>
  <si>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</si>
  <si>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</si>
  <si>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</si>
  <si>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</si>
  <si>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</si>
  <si>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</si>
  <si>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</si>
  <si>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</si>
  <si>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</si>
  <si>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</si>
  <si>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</si>
  <si>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</si>
  <si>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</si>
  <si>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</si>
  <si>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</si>
  <si>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</si>
  <si>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</si>
  <si>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</si>
  <si>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</si>
  <si>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</si>
  <si>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</si>
  <si>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</si>
  <si>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</si>
  <si>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</si>
  <si>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</si>
  <si>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</si>
  <si>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</si>
  <si>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</si>
  <si>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</si>
  <si>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</si>
  <si>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</si>
  <si>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</si>
  <si>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</si>
  <si>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</si>
  <si>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</si>
  <si>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</si>
  <si>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</si>
  <si>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</si>
  <si>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</si>
  <si>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</si>
  <si>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</si>
  <si>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</si>
  <si>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</si>
  <si>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</si>
  <si>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</si>
  <si>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</si>
  <si>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</si>
  <si>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</si>
  <si>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</si>
  <si>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</si>
  <si>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</si>
  <si>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</si>
  <si>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</si>
  <si>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</si>
  <si>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</si>
  <si>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</si>
  <si>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</si>
  <si>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</si>
  <si>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</si>
  <si>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</si>
  <si>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</si>
  <si>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</si>
  <si>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</si>
  <si>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</si>
  <si>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</si>
  <si>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</si>
  <si>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</si>
  <si>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</si>
  <si>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</si>
  <si>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</si>
  <si>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</si>
  <si>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</si>
  <si>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</si>
  <si>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</si>
  <si>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</si>
  <si>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</si>
  <si>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</si>
  <si>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</si>
  <si>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</si>
  <si>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</si>
  <si>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</si>
  <si>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</si>
  <si>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</si>
  <si>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</si>
  <si>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</si>
  <si>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</si>
  <si>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</si>
  <si>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</si>
  <si>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</si>
  <si>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</si>
  <si>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</si>
  <si>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</si>
  <si>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</si>
  <si>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</si>
  <si>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</si>
  <si>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</si>
  <si>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</si>
  <si>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</si>
  <si>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</si>
  <si>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</si>
  <si>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</si>
  <si>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</si>
  <si>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</si>
  <si>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</si>
  <si>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</si>
  <si>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</si>
  <si>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</si>
  <si>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</si>
  <si>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</si>
  <si>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</si>
  <si>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</si>
  <si>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</si>
  <si>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</si>
  <si>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</si>
  <si>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</si>
  <si>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</si>
  <si>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</si>
  <si>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</si>
  <si>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</si>
  <si>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</si>
  <si>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</si>
  <si>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</si>
  <si>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</si>
  <si>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</si>
  <si>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</si>
  <si>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</si>
  <si>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</si>
  <si>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</si>
  <si>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</si>
  <si>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</si>
  <si>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</si>
  <si>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</si>
  <si>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</si>
  <si>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</si>
  <si>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</si>
  <si>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</si>
  <si>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</si>
  <si>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</si>
  <si>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</si>
  <si>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</si>
  <si>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</si>
  <si>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</si>
  <si>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</si>
  <si>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</si>
  <si>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</si>
  <si>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</si>
  <si>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</si>
  <si>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</si>
  <si>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</si>
  <si>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</si>
  <si>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</si>
  <si>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</si>
  <si>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</si>
  <si>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</si>
  <si>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</si>
  <si>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</si>
  <si>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</si>
  <si>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</si>
  <si>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</si>
  <si>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</si>
  <si>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</si>
  <si>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</si>
  <si>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</si>
  <si>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</si>
  <si>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</si>
  <si>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</si>
  <si>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</si>
  <si>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</si>
  <si>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</si>
  <si>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</si>
  <si>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</si>
  <si>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</si>
  <si>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</si>
  <si>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</si>
  <si>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</si>
  <si>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</si>
  <si>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</si>
  <si>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</si>
  <si>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</si>
  <si>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</si>
  <si>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</si>
  <si>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</si>
  <si>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</si>
  <si>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</si>
  <si>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</si>
  <si>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</si>
  <si>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</si>
  <si>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</si>
  <si>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</si>
  <si>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</si>
  <si>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</si>
  <si>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</si>
  <si>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</si>
  <si>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</si>
  <si>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</si>
  <si>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</si>
  <si>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</si>
  <si>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</si>
  <si>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</si>
  <si>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</si>
  <si>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</si>
  <si>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</si>
  <si>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</si>
  <si>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</si>
  <si>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</si>
  <si>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</si>
  <si>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</si>
  <si>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</si>
  <si>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</si>
  <si>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</si>
  <si>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</si>
  <si>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</si>
  <si>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</si>
  <si>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</si>
  <si>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</si>
  <si>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</si>
  <si>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</si>
  <si>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</si>
  <si>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</si>
  <si>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</si>
  <si>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</si>
  <si>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</si>
  <si>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</si>
  <si>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</si>
  <si>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</si>
  <si>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</si>
  <si>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</si>
  <si>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</si>
  <si>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</si>
  <si>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</si>
  <si>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</si>
  <si>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</si>
  <si>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</si>
  <si>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</si>
  <si>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</si>
  <si>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</si>
  <si>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</si>
  <si>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</si>
  <si>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</si>
  <si>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</si>
  <si>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</si>
  <si>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</si>
  <si>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</si>
  <si>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</si>
  <si>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</si>
  <si>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</si>
  <si>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</si>
  <si>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</si>
  <si>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</si>
  <si>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</si>
  <si>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</si>
  <si>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</si>
  <si>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</si>
  <si>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</si>
  <si>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</si>
  <si>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</si>
  <si>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</si>
  <si>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11038</t>
  </si>
  <si>
    <t>SCHELLE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</si>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</sst>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E2AF4B6-8A3E-4CC8-9598-CC3125450CB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78272.895239298945</c:v>
                </c:pt>
                <c:pt idx="1">
                  <c:v>32829.808536148434</c:v>
                </c:pt>
                <c:pt idx="2">
                  <c:v>424.40199999999999</c:v>
                </c:pt>
                <c:pt idx="3">
                  <c:v>327.35101148817415</c:v>
                </c:pt>
                <c:pt idx="4">
                  <c:v>5206.331381135059</c:v>
                </c:pt>
                <c:pt idx="5">
                  <c:v>63614.090305910104</c:v>
                </c:pt>
                <c:pt idx="6">
                  <c:v>707.64971933992717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78272.895239298945</c:v>
                </c:pt>
                <c:pt idx="1">
                  <c:v>32829.808536148434</c:v>
                </c:pt>
                <c:pt idx="2">
                  <c:v>424.40199999999999</c:v>
                </c:pt>
                <c:pt idx="3">
                  <c:v>327.35101148817415</c:v>
                </c:pt>
                <c:pt idx="4">
                  <c:v>5206.331381135059</c:v>
                </c:pt>
                <c:pt idx="5">
                  <c:v>63614.090305910104</c:v>
                </c:pt>
                <c:pt idx="6">
                  <c:v>707.64971933992717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14909.099346309542</c:v>
                </c:pt>
                <c:pt idx="2">
                  <c:v>5811.1771941931574</c:v>
                </c:pt>
                <c:pt idx="3">
                  <c:v>63.370602970870998</c:v>
                </c:pt>
                <c:pt idx="4">
                  <c:v>79.193728692194071</c:v>
                </c:pt>
                <c:pt idx="5">
                  <c:v>967.68545820829513</c:v>
                </c:pt>
                <c:pt idx="6">
                  <c:v>16121.266183324642</c:v>
                </c:pt>
                <c:pt idx="7">
                  <c:v>180.4659325623816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14909.099346309542</c:v>
                </c:pt>
                <c:pt idx="2">
                  <c:v>5811.1771941931574</c:v>
                </c:pt>
                <c:pt idx="3">
                  <c:v>63.370602970870998</c:v>
                </c:pt>
                <c:pt idx="4">
                  <c:v>79.193728692194071</c:v>
                </c:pt>
                <c:pt idx="5">
                  <c:v>967.68545820829513</c:v>
                </c:pt>
                <c:pt idx="6">
                  <c:v>16121.266183324642</c:v>
                </c:pt>
                <c:pt idx="7">
                  <c:v>180.4659325623816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11038</v>
      </c>
      <c r="B6" s="385"/>
      <c r="C6" s="386"/>
    </row>
    <row r="7" spans="1:7" s="383" customFormat="1" ht="15.75" customHeight="1">
      <c r="A7" s="387" t="str">
        <f>txtMunicipality</f>
        <v>SCHELLE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12877.923327364053</v>
      </c>
      <c r="D10" s="676">
        <f ca="1">tertiair!C16</f>
        <v>0</v>
      </c>
      <c r="E10" s="676">
        <f ca="1">tertiair!D16</f>
        <v>16082.574994681843</v>
      </c>
      <c r="F10" s="676">
        <f>tertiair!E16</f>
        <v>144.956258730966</v>
      </c>
      <c r="G10" s="676">
        <f ca="1">tertiair!F16</f>
        <v>2509.6050773777124</v>
      </c>
      <c r="H10" s="676">
        <f>tertiair!G16</f>
        <v>0</v>
      </c>
      <c r="I10" s="676">
        <f>tertiair!H16</f>
        <v>0</v>
      </c>
      <c r="J10" s="676">
        <f>tertiair!I16</f>
        <v>0</v>
      </c>
      <c r="K10" s="676">
        <f>tertiair!J16</f>
        <v>0</v>
      </c>
      <c r="L10" s="676">
        <f>tertiair!K16</f>
        <v>0</v>
      </c>
      <c r="M10" s="676">
        <f ca="1">tertiair!L16</f>
        <v>0</v>
      </c>
      <c r="N10" s="676">
        <f>tertiair!M16</f>
        <v>0</v>
      </c>
      <c r="O10" s="676">
        <f ca="1">tertiair!N16</f>
        <v>1639.1508779938615</v>
      </c>
      <c r="P10" s="676">
        <f>tertiair!O16</f>
        <v>0</v>
      </c>
      <c r="Q10" s="677">
        <f>tertiair!P16</f>
        <v>0</v>
      </c>
      <c r="R10" s="679">
        <f ca="1">SUM(C10:Q10)</f>
        <v>33254.210536148435</v>
      </c>
      <c r="S10" s="67"/>
    </row>
    <row r="11" spans="1:19" s="444" customFormat="1">
      <c r="A11" s="791" t="s">
        <v>214</v>
      </c>
      <c r="B11" s="796"/>
      <c r="C11" s="676">
        <f>huishoudens!B8</f>
        <v>15155.824606783011</v>
      </c>
      <c r="D11" s="676">
        <f>huishoudens!C8</f>
        <v>0</v>
      </c>
      <c r="E11" s="676">
        <f>huishoudens!D8</f>
        <v>43665.207295018692</v>
      </c>
      <c r="F11" s="676">
        <f>huishoudens!E8</f>
        <v>444.08500757881421</v>
      </c>
      <c r="G11" s="676">
        <f>huishoudens!F8</f>
        <v>13609.195001367705</v>
      </c>
      <c r="H11" s="676">
        <f>huishoudens!G8</f>
        <v>0</v>
      </c>
      <c r="I11" s="676">
        <f>huishoudens!H8</f>
        <v>0</v>
      </c>
      <c r="J11" s="676">
        <f>huishoudens!I8</f>
        <v>0</v>
      </c>
      <c r="K11" s="676">
        <f>huishoudens!J8</f>
        <v>257.7310550453887</v>
      </c>
      <c r="L11" s="676">
        <f>huishoudens!K8</f>
        <v>0</v>
      </c>
      <c r="M11" s="676">
        <f>huishoudens!L8</f>
        <v>0</v>
      </c>
      <c r="N11" s="676">
        <f>huishoudens!M8</f>
        <v>0</v>
      </c>
      <c r="O11" s="676">
        <f>huishoudens!N8</f>
        <v>4951.7189401720052</v>
      </c>
      <c r="P11" s="676">
        <f>huishoudens!O8</f>
        <v>93.8</v>
      </c>
      <c r="Q11" s="677">
        <f>huishoudens!P8</f>
        <v>95.333333333333343</v>
      </c>
      <c r="R11" s="679">
        <f>SUM(C11:Q11)</f>
        <v>78272.895239298945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2166.9580383560528</v>
      </c>
      <c r="D13" s="676">
        <f>industrie!C18</f>
        <v>0</v>
      </c>
      <c r="E13" s="676">
        <f>industrie!D18</f>
        <v>1831.2602657169309</v>
      </c>
      <c r="F13" s="676">
        <f>industrie!E18</f>
        <v>192.93681959088897</v>
      </c>
      <c r="G13" s="676">
        <f>industrie!F18</f>
        <v>857.32802290670202</v>
      </c>
      <c r="H13" s="676">
        <f>industrie!G18</f>
        <v>0</v>
      </c>
      <c r="I13" s="676">
        <f>industrie!H18</f>
        <v>0</v>
      </c>
      <c r="J13" s="676">
        <f>industrie!I18</f>
        <v>0</v>
      </c>
      <c r="K13" s="676">
        <f>industrie!J18</f>
        <v>4.2460602180473774</v>
      </c>
      <c r="L13" s="676">
        <f>industrie!K18</f>
        <v>0</v>
      </c>
      <c r="M13" s="676">
        <f>industrie!L18</f>
        <v>0</v>
      </c>
      <c r="N13" s="676">
        <f>industrie!M18</f>
        <v>0</v>
      </c>
      <c r="O13" s="676">
        <f>industrie!N18</f>
        <v>153.60217434643675</v>
      </c>
      <c r="P13" s="676">
        <f>industrie!O18</f>
        <v>0</v>
      </c>
      <c r="Q13" s="677">
        <f>industrie!P18</f>
        <v>0</v>
      </c>
      <c r="R13" s="679">
        <f>SUM(C13:Q13)</f>
        <v>5206.331381135059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30200.705972503118</v>
      </c>
      <c r="D16" s="711">
        <f t="shared" ref="D16:R16" ca="1" si="0">SUM(D9:D15)</f>
        <v>0</v>
      </c>
      <c r="E16" s="711">
        <f t="shared" ca="1" si="0"/>
        <v>61579.042555417473</v>
      </c>
      <c r="F16" s="711">
        <f t="shared" si="0"/>
        <v>781.97808590066916</v>
      </c>
      <c r="G16" s="711">
        <f t="shared" ca="1" si="0"/>
        <v>16976.128101652121</v>
      </c>
      <c r="H16" s="711">
        <f t="shared" si="0"/>
        <v>0</v>
      </c>
      <c r="I16" s="711">
        <f t="shared" si="0"/>
        <v>0</v>
      </c>
      <c r="J16" s="711">
        <f t="shared" si="0"/>
        <v>0</v>
      </c>
      <c r="K16" s="711">
        <f t="shared" si="0"/>
        <v>261.97711526343608</v>
      </c>
      <c r="L16" s="711">
        <f t="shared" si="0"/>
        <v>0</v>
      </c>
      <c r="M16" s="711">
        <f t="shared" ca="1" si="0"/>
        <v>0</v>
      </c>
      <c r="N16" s="711">
        <f t="shared" si="0"/>
        <v>0</v>
      </c>
      <c r="O16" s="711">
        <f t="shared" ca="1" si="0"/>
        <v>6744.4719925123036</v>
      </c>
      <c r="P16" s="711">
        <f t="shared" si="0"/>
        <v>93.8</v>
      </c>
      <c r="Q16" s="711">
        <f t="shared" si="0"/>
        <v>95.333333333333343</v>
      </c>
      <c r="R16" s="711">
        <f t="shared" ca="1" si="0"/>
        <v>116733.43715658244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3.4625511261547142</v>
      </c>
      <c r="D19" s="676">
        <f>transport!C54</f>
        <v>0</v>
      </c>
      <c r="E19" s="676">
        <f>transport!D54</f>
        <v>0</v>
      </c>
      <c r="F19" s="676">
        <f>transport!E54</f>
        <v>0</v>
      </c>
      <c r="G19" s="676">
        <f>transport!F54</f>
        <v>0</v>
      </c>
      <c r="H19" s="676">
        <f>transport!G54</f>
        <v>673.96596791267439</v>
      </c>
      <c r="I19" s="676">
        <f>transport!H54</f>
        <v>0</v>
      </c>
      <c r="J19" s="676">
        <f>transport!I54</f>
        <v>0</v>
      </c>
      <c r="K19" s="676">
        <f>transport!J54</f>
        <v>0</v>
      </c>
      <c r="L19" s="676">
        <f>transport!K54</f>
        <v>0</v>
      </c>
      <c r="M19" s="676">
        <f>transport!L54</f>
        <v>0</v>
      </c>
      <c r="N19" s="676">
        <f>transport!M54</f>
        <v>30.221200301098072</v>
      </c>
      <c r="O19" s="676">
        <f>transport!N54</f>
        <v>0</v>
      </c>
      <c r="P19" s="676">
        <f>transport!O54</f>
        <v>0</v>
      </c>
      <c r="Q19" s="677">
        <f>transport!P54</f>
        <v>0</v>
      </c>
      <c r="R19" s="679">
        <f>SUM(C19:Q19)</f>
        <v>707.64971933992717</v>
      </c>
      <c r="S19" s="67"/>
    </row>
    <row r="20" spans="1:19" s="444" customFormat="1">
      <c r="A20" s="791" t="s">
        <v>296</v>
      </c>
      <c r="B20" s="796"/>
      <c r="C20" s="676">
        <f>transport!B14</f>
        <v>4.5090102254571196</v>
      </c>
      <c r="D20" s="676">
        <f>transport!C14</f>
        <v>0</v>
      </c>
      <c r="E20" s="676">
        <f>transport!D14</f>
        <v>4.0091294879153141</v>
      </c>
      <c r="F20" s="676">
        <f>transport!E14</f>
        <v>143.86042477926219</v>
      </c>
      <c r="G20" s="676">
        <f>transport!F14</f>
        <v>0</v>
      </c>
      <c r="H20" s="676">
        <f>transport!G14</f>
        <v>53806.950622202959</v>
      </c>
      <c r="I20" s="676">
        <f>transport!H14</f>
        <v>6910.325031863209</v>
      </c>
      <c r="J20" s="676">
        <f>transport!I14</f>
        <v>0</v>
      </c>
      <c r="K20" s="676">
        <f>transport!J14</f>
        <v>0</v>
      </c>
      <c r="L20" s="676">
        <f>transport!K14</f>
        <v>0</v>
      </c>
      <c r="M20" s="676">
        <f>transport!L14</f>
        <v>0</v>
      </c>
      <c r="N20" s="676">
        <f>transport!M14</f>
        <v>2744.4360873513024</v>
      </c>
      <c r="O20" s="676">
        <f>transport!N14</f>
        <v>0</v>
      </c>
      <c r="P20" s="676">
        <f>transport!O14</f>
        <v>0</v>
      </c>
      <c r="Q20" s="677">
        <f>transport!P14</f>
        <v>0</v>
      </c>
      <c r="R20" s="679">
        <f>SUM(C20:Q20)</f>
        <v>63614.090305910104</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7.9715613516118342</v>
      </c>
      <c r="D22" s="794">
        <f t="shared" ref="D22:R22" si="1">SUM(D18:D21)</f>
        <v>0</v>
      </c>
      <c r="E22" s="794">
        <f t="shared" si="1"/>
        <v>4.0091294879153141</v>
      </c>
      <c r="F22" s="794">
        <f t="shared" si="1"/>
        <v>143.86042477926219</v>
      </c>
      <c r="G22" s="794">
        <f t="shared" si="1"/>
        <v>0</v>
      </c>
      <c r="H22" s="794">
        <f t="shared" si="1"/>
        <v>54480.916590115638</v>
      </c>
      <c r="I22" s="794">
        <f t="shared" si="1"/>
        <v>6910.325031863209</v>
      </c>
      <c r="J22" s="794">
        <f t="shared" si="1"/>
        <v>0</v>
      </c>
      <c r="K22" s="794">
        <f t="shared" si="1"/>
        <v>0</v>
      </c>
      <c r="L22" s="794">
        <f t="shared" si="1"/>
        <v>0</v>
      </c>
      <c r="M22" s="794">
        <f t="shared" si="1"/>
        <v>0</v>
      </c>
      <c r="N22" s="794">
        <f t="shared" si="1"/>
        <v>2774.6572876524006</v>
      </c>
      <c r="O22" s="794">
        <f t="shared" si="1"/>
        <v>0</v>
      </c>
      <c r="P22" s="794">
        <f t="shared" si="1"/>
        <v>0</v>
      </c>
      <c r="Q22" s="794">
        <f t="shared" si="1"/>
        <v>0</v>
      </c>
      <c r="R22" s="794">
        <f t="shared" si="1"/>
        <v>64321.74002525003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67.102961860024806</v>
      </c>
      <c r="D24" s="676">
        <f>+landbouw!C8</f>
        <v>0</v>
      </c>
      <c r="E24" s="676">
        <f>+landbouw!D8</f>
        <v>17.788914484834955</v>
      </c>
      <c r="F24" s="676">
        <f>+landbouw!E8</f>
        <v>0.8455837656274775</v>
      </c>
      <c r="G24" s="676">
        <f>+landbouw!F8</f>
        <v>231.52202871348788</v>
      </c>
      <c r="H24" s="676">
        <f>+landbouw!G8</f>
        <v>0</v>
      </c>
      <c r="I24" s="676">
        <f>+landbouw!H8</f>
        <v>0</v>
      </c>
      <c r="J24" s="676">
        <f>+landbouw!I8</f>
        <v>0</v>
      </c>
      <c r="K24" s="676">
        <f>+landbouw!J8</f>
        <v>10.091522664199006</v>
      </c>
      <c r="L24" s="676">
        <f>+landbouw!K8</f>
        <v>0</v>
      </c>
      <c r="M24" s="676">
        <f>+landbouw!L8</f>
        <v>0</v>
      </c>
      <c r="N24" s="676">
        <f>+landbouw!M8</f>
        <v>0</v>
      </c>
      <c r="O24" s="676">
        <f>+landbouw!N8</f>
        <v>0</v>
      </c>
      <c r="P24" s="676">
        <f>+landbouw!O8</f>
        <v>0</v>
      </c>
      <c r="Q24" s="677">
        <f>+landbouw!P8</f>
        <v>0</v>
      </c>
      <c r="R24" s="679">
        <f>SUM(C24:Q24)</f>
        <v>327.35101148817415</v>
      </c>
      <c r="S24" s="67"/>
    </row>
    <row r="25" spans="1:19" s="444" customFormat="1" ht="15" thickBot="1">
      <c r="A25" s="813" t="s">
        <v>833</v>
      </c>
      <c r="B25" s="977"/>
      <c r="C25" s="978">
        <f>IF(Onbekend_ele_kWh="---",0,Onbekend_ele_kWh)/1000+IF(REST_rest_ele_kWh="---",0,REST_rest_ele_kWh)/1000</f>
        <v>427.60700142828</v>
      </c>
      <c r="D25" s="978"/>
      <c r="E25" s="978">
        <f>IF(onbekend_gas_kWh="---",0,onbekend_gas_kWh)/1000+IF(REST_rest_gas_kWh="---",0,REST_rest_gas_kWh)/1000</f>
        <v>944.52352478155103</v>
      </c>
      <c r="F25" s="978"/>
      <c r="G25" s="978"/>
      <c r="H25" s="978"/>
      <c r="I25" s="978"/>
      <c r="J25" s="978"/>
      <c r="K25" s="978"/>
      <c r="L25" s="978"/>
      <c r="M25" s="978"/>
      <c r="N25" s="978"/>
      <c r="O25" s="978"/>
      <c r="P25" s="978"/>
      <c r="Q25" s="979"/>
      <c r="R25" s="679">
        <f>SUM(C25:Q25)</f>
        <v>1372.130526209831</v>
      </c>
      <c r="S25" s="67"/>
    </row>
    <row r="26" spans="1:19" s="444" customFormat="1" ht="15.75" thickBot="1">
      <c r="A26" s="684" t="s">
        <v>834</v>
      </c>
      <c r="B26" s="799"/>
      <c r="C26" s="794">
        <f>SUM(C24:C25)</f>
        <v>494.70996328830483</v>
      </c>
      <c r="D26" s="794">
        <f t="shared" ref="D26:R26" si="2">SUM(D24:D25)</f>
        <v>0</v>
      </c>
      <c r="E26" s="794">
        <f t="shared" si="2"/>
        <v>962.31243926638604</v>
      </c>
      <c r="F26" s="794">
        <f t="shared" si="2"/>
        <v>0.8455837656274775</v>
      </c>
      <c r="G26" s="794">
        <f t="shared" si="2"/>
        <v>231.52202871348788</v>
      </c>
      <c r="H26" s="794">
        <f t="shared" si="2"/>
        <v>0</v>
      </c>
      <c r="I26" s="794">
        <f t="shared" si="2"/>
        <v>0</v>
      </c>
      <c r="J26" s="794">
        <f t="shared" si="2"/>
        <v>0</v>
      </c>
      <c r="K26" s="794">
        <f t="shared" si="2"/>
        <v>10.091522664199006</v>
      </c>
      <c r="L26" s="794">
        <f t="shared" si="2"/>
        <v>0</v>
      </c>
      <c r="M26" s="794">
        <f t="shared" si="2"/>
        <v>0</v>
      </c>
      <c r="N26" s="794">
        <f t="shared" si="2"/>
        <v>0</v>
      </c>
      <c r="O26" s="794">
        <f t="shared" si="2"/>
        <v>0</v>
      </c>
      <c r="P26" s="794">
        <f t="shared" si="2"/>
        <v>0</v>
      </c>
      <c r="Q26" s="794">
        <f t="shared" si="2"/>
        <v>0</v>
      </c>
      <c r="R26" s="794">
        <f t="shared" si="2"/>
        <v>1699.4815376980052</v>
      </c>
      <c r="S26" s="67"/>
    </row>
    <row r="27" spans="1:19" s="444" customFormat="1" ht="17.25" thickTop="1" thickBot="1">
      <c r="A27" s="685" t="s">
        <v>109</v>
      </c>
      <c r="B27" s="786"/>
      <c r="C27" s="686">
        <f ca="1">C22+C16+C26</f>
        <v>30703.387497143034</v>
      </c>
      <c r="D27" s="686">
        <f t="shared" ref="D27:R27" ca="1" si="3">D22+D16+D26</f>
        <v>0</v>
      </c>
      <c r="E27" s="686">
        <f t="shared" ca="1" si="3"/>
        <v>62545.364124171778</v>
      </c>
      <c r="F27" s="686">
        <f t="shared" si="3"/>
        <v>926.6840944455588</v>
      </c>
      <c r="G27" s="686">
        <f t="shared" ca="1" si="3"/>
        <v>17207.650130365608</v>
      </c>
      <c r="H27" s="686">
        <f t="shared" si="3"/>
        <v>54480.916590115638</v>
      </c>
      <c r="I27" s="686">
        <f t="shared" si="3"/>
        <v>6910.325031863209</v>
      </c>
      <c r="J27" s="686">
        <f t="shared" si="3"/>
        <v>0</v>
      </c>
      <c r="K27" s="686">
        <f t="shared" si="3"/>
        <v>272.06863792763511</v>
      </c>
      <c r="L27" s="686">
        <f t="shared" si="3"/>
        <v>0</v>
      </c>
      <c r="M27" s="686">
        <f t="shared" ca="1" si="3"/>
        <v>0</v>
      </c>
      <c r="N27" s="686">
        <f t="shared" si="3"/>
        <v>2774.6572876524006</v>
      </c>
      <c r="O27" s="686">
        <f t="shared" ca="1" si="3"/>
        <v>6744.4719925123036</v>
      </c>
      <c r="P27" s="686">
        <f t="shared" si="3"/>
        <v>93.8</v>
      </c>
      <c r="Q27" s="686">
        <f t="shared" si="3"/>
        <v>95.333333333333343</v>
      </c>
      <c r="R27" s="686">
        <f t="shared" ca="1" si="3"/>
        <v>182754.65871953047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1922.8980218465169</v>
      </c>
      <c r="D40" s="676">
        <f ca="1">tertiair!C20</f>
        <v>0</v>
      </c>
      <c r="E40" s="676">
        <f ca="1">tertiair!D20</f>
        <v>3248.6801489257327</v>
      </c>
      <c r="F40" s="676">
        <f>tertiair!E20</f>
        <v>32.905070731929285</v>
      </c>
      <c r="G40" s="676">
        <f ca="1">tertiair!F20</f>
        <v>670.06455565984925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5874.5477971640285</v>
      </c>
    </row>
    <row r="41" spans="1:18">
      <c r="A41" s="804" t="s">
        <v>214</v>
      </c>
      <c r="B41" s="811"/>
      <c r="C41" s="676">
        <f ca="1">huishoudens!B12</f>
        <v>2263.0283171441306</v>
      </c>
      <c r="D41" s="676">
        <f ca="1">huishoudens!C12</f>
        <v>0</v>
      </c>
      <c r="E41" s="676">
        <f>huishoudens!D12</f>
        <v>8820.3718735937764</v>
      </c>
      <c r="F41" s="676">
        <f>huishoudens!E12</f>
        <v>100.80729672039082</v>
      </c>
      <c r="G41" s="676">
        <f>huishoudens!F12</f>
        <v>3633.6550653651775</v>
      </c>
      <c r="H41" s="676">
        <f>huishoudens!G12</f>
        <v>0</v>
      </c>
      <c r="I41" s="676">
        <f>huishoudens!H12</f>
        <v>0</v>
      </c>
      <c r="J41" s="676">
        <f>huishoudens!I12</f>
        <v>0</v>
      </c>
      <c r="K41" s="676">
        <f>huishoudens!J12</f>
        <v>91.236793486067597</v>
      </c>
      <c r="L41" s="676">
        <f>huishoudens!K12</f>
        <v>0</v>
      </c>
      <c r="M41" s="676">
        <f>huishoudens!L12</f>
        <v>0</v>
      </c>
      <c r="N41" s="676">
        <f>huishoudens!M12</f>
        <v>0</v>
      </c>
      <c r="O41" s="676">
        <f>huishoudens!N12</f>
        <v>0</v>
      </c>
      <c r="P41" s="676">
        <f>huishoudens!O12</f>
        <v>0</v>
      </c>
      <c r="Q41" s="753">
        <f>huishoudens!P12</f>
        <v>0</v>
      </c>
      <c r="R41" s="832">
        <f t="shared" ca="1" si="4"/>
        <v>14909.099346309542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323.564539053065</v>
      </c>
      <c r="D43" s="676">
        <f ca="1">industrie!C22</f>
        <v>0</v>
      </c>
      <c r="E43" s="676">
        <f>industrie!D22</f>
        <v>369.91457367482008</v>
      </c>
      <c r="F43" s="676">
        <f>industrie!E22</f>
        <v>43.7966580471318</v>
      </c>
      <c r="G43" s="676">
        <f>industrie!F22</f>
        <v>228.90658211608945</v>
      </c>
      <c r="H43" s="676">
        <f>industrie!G22</f>
        <v>0</v>
      </c>
      <c r="I43" s="676">
        <f>industrie!H22</f>
        <v>0</v>
      </c>
      <c r="J43" s="676">
        <f>industrie!I22</f>
        <v>0</v>
      </c>
      <c r="K43" s="676">
        <f>industrie!J22</f>
        <v>1.5031053171887716</v>
      </c>
      <c r="L43" s="676">
        <f>industrie!K22</f>
        <v>0</v>
      </c>
      <c r="M43" s="676">
        <f>industrie!L22</f>
        <v>0</v>
      </c>
      <c r="N43" s="676">
        <f>industrie!M22</f>
        <v>0</v>
      </c>
      <c r="O43" s="676">
        <f>industrie!N22</f>
        <v>0</v>
      </c>
      <c r="P43" s="676">
        <f>industrie!O22</f>
        <v>0</v>
      </c>
      <c r="Q43" s="753">
        <f>industrie!P22</f>
        <v>0</v>
      </c>
      <c r="R43" s="831">
        <f t="shared" ca="1" si="4"/>
        <v>967.68545820829513</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4509.4908780437127</v>
      </c>
      <c r="D46" s="711">
        <f t="shared" ref="D46:Q46" ca="1" si="5">SUM(D39:D45)</f>
        <v>0</v>
      </c>
      <c r="E46" s="711">
        <f t="shared" ca="1" si="5"/>
        <v>12438.966596194328</v>
      </c>
      <c r="F46" s="711">
        <f t="shared" si="5"/>
        <v>177.50902549945192</v>
      </c>
      <c r="G46" s="711">
        <f t="shared" ca="1" si="5"/>
        <v>4532.6262031411161</v>
      </c>
      <c r="H46" s="711">
        <f t="shared" si="5"/>
        <v>0</v>
      </c>
      <c r="I46" s="711">
        <f t="shared" si="5"/>
        <v>0</v>
      </c>
      <c r="J46" s="711">
        <f t="shared" si="5"/>
        <v>0</v>
      </c>
      <c r="K46" s="711">
        <f t="shared" si="5"/>
        <v>92.739898803256366</v>
      </c>
      <c r="L46" s="711">
        <f t="shared" si="5"/>
        <v>0</v>
      </c>
      <c r="M46" s="711">
        <f t="shared" ca="1" si="5"/>
        <v>0</v>
      </c>
      <c r="N46" s="711">
        <f t="shared" si="5"/>
        <v>0</v>
      </c>
      <c r="O46" s="711">
        <f t="shared" ca="1" si="5"/>
        <v>0</v>
      </c>
      <c r="P46" s="711">
        <f t="shared" si="5"/>
        <v>0</v>
      </c>
      <c r="Q46" s="711">
        <f t="shared" si="5"/>
        <v>0</v>
      </c>
      <c r="R46" s="711">
        <f ca="1">SUM(R39:R45)</f>
        <v>21751.332601681868</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0.51701912969753361</v>
      </c>
      <c r="D49" s="676">
        <f ca="1">transport!C58</f>
        <v>0</v>
      </c>
      <c r="E49" s="676">
        <f>transport!D58</f>
        <v>0</v>
      </c>
      <c r="F49" s="676">
        <f>transport!E58</f>
        <v>0</v>
      </c>
      <c r="G49" s="676">
        <f>transport!F58</f>
        <v>0</v>
      </c>
      <c r="H49" s="676">
        <f>transport!G58</f>
        <v>179.94891343268407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180.4659325623816</v>
      </c>
    </row>
    <row r="50" spans="1:18">
      <c r="A50" s="807" t="s">
        <v>296</v>
      </c>
      <c r="B50" s="817"/>
      <c r="C50" s="682">
        <f ca="1">transport!B18</f>
        <v>0.67327368105956309</v>
      </c>
      <c r="D50" s="682">
        <f>transport!C18</f>
        <v>0</v>
      </c>
      <c r="E50" s="682">
        <f>transport!D18</f>
        <v>0.80984415655889352</v>
      </c>
      <c r="F50" s="682">
        <f>transport!E18</f>
        <v>32.656316424892516</v>
      </c>
      <c r="G50" s="682">
        <f>transport!F18</f>
        <v>0</v>
      </c>
      <c r="H50" s="682">
        <f>transport!G18</f>
        <v>14366.455816128191</v>
      </c>
      <c r="I50" s="682">
        <f>transport!H18</f>
        <v>1720.670932933939</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16121.266183324642</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1.1902928107570967</v>
      </c>
      <c r="D52" s="711">
        <f t="shared" ref="D52:Q52" ca="1" si="6">SUM(D48:D51)</f>
        <v>0</v>
      </c>
      <c r="E52" s="711">
        <f t="shared" si="6"/>
        <v>0.80984415655889352</v>
      </c>
      <c r="F52" s="711">
        <f t="shared" si="6"/>
        <v>32.656316424892516</v>
      </c>
      <c r="G52" s="711">
        <f t="shared" si="6"/>
        <v>0</v>
      </c>
      <c r="H52" s="711">
        <f t="shared" si="6"/>
        <v>14546.404729560874</v>
      </c>
      <c r="I52" s="711">
        <f t="shared" si="6"/>
        <v>1720.670932933939</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16301.732115887024</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10.019639761832252</v>
      </c>
      <c r="D54" s="682">
        <f ca="1">+landbouw!C12</f>
        <v>0</v>
      </c>
      <c r="E54" s="682">
        <f>+landbouw!D12</f>
        <v>3.5933607259366611</v>
      </c>
      <c r="F54" s="682">
        <f>+landbouw!E12</f>
        <v>0.19194751479743741</v>
      </c>
      <c r="G54" s="682">
        <f>+landbouw!F12</f>
        <v>61.816381666501272</v>
      </c>
      <c r="H54" s="682">
        <f>+landbouw!G12</f>
        <v>0</v>
      </c>
      <c r="I54" s="682">
        <f>+landbouw!H12</f>
        <v>0</v>
      </c>
      <c r="J54" s="682">
        <f>+landbouw!I12</f>
        <v>0</v>
      </c>
      <c r="K54" s="682">
        <f>+landbouw!J12</f>
        <v>3.5723990231264482</v>
      </c>
      <c r="L54" s="682">
        <f>+landbouw!K12</f>
        <v>0</v>
      </c>
      <c r="M54" s="682">
        <f>+landbouw!L12</f>
        <v>0</v>
      </c>
      <c r="N54" s="682">
        <f>+landbouw!M12</f>
        <v>0</v>
      </c>
      <c r="O54" s="682">
        <f>+landbouw!N12</f>
        <v>0</v>
      </c>
      <c r="P54" s="682">
        <f>+landbouw!O12</f>
        <v>0</v>
      </c>
      <c r="Q54" s="683">
        <f>+landbouw!P12</f>
        <v>0</v>
      </c>
      <c r="R54" s="710">
        <f ca="1">SUM(C54:Q54)</f>
        <v>79.193728692194071</v>
      </c>
    </row>
    <row r="55" spans="1:18" ht="15" thickBot="1">
      <c r="A55" s="807" t="s">
        <v>833</v>
      </c>
      <c r="B55" s="817"/>
      <c r="C55" s="682">
        <f ca="1">C25*'EF ele_warmte'!B12</f>
        <v>63.849165449446993</v>
      </c>
      <c r="D55" s="682"/>
      <c r="E55" s="682">
        <f>E25*EF_CO2_aardgas</f>
        <v>190.79375200587333</v>
      </c>
      <c r="F55" s="682"/>
      <c r="G55" s="682"/>
      <c r="H55" s="682"/>
      <c r="I55" s="682"/>
      <c r="J55" s="682"/>
      <c r="K55" s="682"/>
      <c r="L55" s="682"/>
      <c r="M55" s="682"/>
      <c r="N55" s="682"/>
      <c r="O55" s="682"/>
      <c r="P55" s="682"/>
      <c r="Q55" s="683"/>
      <c r="R55" s="710">
        <f ca="1">SUM(C55:Q55)</f>
        <v>254.64291745532032</v>
      </c>
    </row>
    <row r="56" spans="1:18" ht="15.75" thickBot="1">
      <c r="A56" s="805" t="s">
        <v>834</v>
      </c>
      <c r="B56" s="818"/>
      <c r="C56" s="711">
        <f ca="1">SUM(C54:C55)</f>
        <v>73.868805211279238</v>
      </c>
      <c r="D56" s="711">
        <f t="shared" ref="D56:Q56" ca="1" si="7">SUM(D54:D55)</f>
        <v>0</v>
      </c>
      <c r="E56" s="711">
        <f t="shared" si="7"/>
        <v>194.38711273180999</v>
      </c>
      <c r="F56" s="711">
        <f t="shared" si="7"/>
        <v>0.19194751479743741</v>
      </c>
      <c r="G56" s="711">
        <f t="shared" si="7"/>
        <v>61.816381666501272</v>
      </c>
      <c r="H56" s="711">
        <f t="shared" si="7"/>
        <v>0</v>
      </c>
      <c r="I56" s="711">
        <f t="shared" si="7"/>
        <v>0</v>
      </c>
      <c r="J56" s="711">
        <f t="shared" si="7"/>
        <v>0</v>
      </c>
      <c r="K56" s="711">
        <f t="shared" si="7"/>
        <v>3.5723990231264482</v>
      </c>
      <c r="L56" s="711">
        <f t="shared" si="7"/>
        <v>0</v>
      </c>
      <c r="M56" s="711">
        <f t="shared" si="7"/>
        <v>0</v>
      </c>
      <c r="N56" s="711">
        <f t="shared" si="7"/>
        <v>0</v>
      </c>
      <c r="O56" s="711">
        <f t="shared" si="7"/>
        <v>0</v>
      </c>
      <c r="P56" s="711">
        <f t="shared" si="7"/>
        <v>0</v>
      </c>
      <c r="Q56" s="712">
        <f t="shared" si="7"/>
        <v>0</v>
      </c>
      <c r="R56" s="713">
        <f ca="1">SUM(R54:R55)</f>
        <v>333.83664614751439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4584.5499760657494</v>
      </c>
      <c r="D61" s="719">
        <f t="shared" ref="D61:Q61" ca="1" si="8">D46+D52+D56</f>
        <v>0</v>
      </c>
      <c r="E61" s="719">
        <f t="shared" ca="1" si="8"/>
        <v>12634.163553082697</v>
      </c>
      <c r="F61" s="719">
        <f t="shared" si="8"/>
        <v>210.35728943914188</v>
      </c>
      <c r="G61" s="719">
        <f t="shared" ca="1" si="8"/>
        <v>4594.4425848076171</v>
      </c>
      <c r="H61" s="719">
        <f t="shared" si="8"/>
        <v>14546.404729560874</v>
      </c>
      <c r="I61" s="719">
        <f t="shared" si="8"/>
        <v>1720.670932933939</v>
      </c>
      <c r="J61" s="719">
        <f t="shared" si="8"/>
        <v>0</v>
      </c>
      <c r="K61" s="719">
        <f t="shared" si="8"/>
        <v>96.312297826382817</v>
      </c>
      <c r="L61" s="719">
        <f t="shared" si="8"/>
        <v>0</v>
      </c>
      <c r="M61" s="719">
        <f t="shared" ca="1" si="8"/>
        <v>0</v>
      </c>
      <c r="N61" s="719">
        <f t="shared" si="8"/>
        <v>0</v>
      </c>
      <c r="O61" s="719">
        <f t="shared" ca="1" si="8"/>
        <v>0</v>
      </c>
      <c r="P61" s="719">
        <f t="shared" si="8"/>
        <v>0</v>
      </c>
      <c r="Q61" s="719">
        <f t="shared" si="8"/>
        <v>0</v>
      </c>
      <c r="R61" s="719">
        <f ca="1">R46+R52+R56</f>
        <v>38386.90136371641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0.14931739947236586</v>
      </c>
      <c r="D63" s="762">
        <f t="shared" ca="1" si="9"/>
        <v>0</v>
      </c>
      <c r="E63" s="984">
        <f t="shared" ca="1" si="9"/>
        <v>0.20199999999999996</v>
      </c>
      <c r="F63" s="762">
        <f t="shared" si="9"/>
        <v>0.22700000000000004</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8280.6954879999994</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1678.1219816962116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9958.8174696962105</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15155.824606783011</v>
      </c>
      <c r="C4" s="448">
        <f>huishoudens!C8</f>
        <v>0</v>
      </c>
      <c r="D4" s="448">
        <f>huishoudens!D8</f>
        <v>43665.207295018692</v>
      </c>
      <c r="E4" s="448">
        <f>huishoudens!E8</f>
        <v>444.08500757881421</v>
      </c>
      <c r="F4" s="448">
        <f>huishoudens!F8</f>
        <v>13609.195001367705</v>
      </c>
      <c r="G4" s="448">
        <f>huishoudens!G8</f>
        <v>0</v>
      </c>
      <c r="H4" s="448">
        <f>huishoudens!H8</f>
        <v>0</v>
      </c>
      <c r="I4" s="448">
        <f>huishoudens!I8</f>
        <v>0</v>
      </c>
      <c r="J4" s="448">
        <f>huishoudens!J8</f>
        <v>257.7310550453887</v>
      </c>
      <c r="K4" s="448">
        <f>huishoudens!K8</f>
        <v>0</v>
      </c>
      <c r="L4" s="448">
        <f>huishoudens!L8</f>
        <v>0</v>
      </c>
      <c r="M4" s="448">
        <f>huishoudens!M8</f>
        <v>0</v>
      </c>
      <c r="N4" s="448">
        <f>huishoudens!N8</f>
        <v>4951.7189401720052</v>
      </c>
      <c r="O4" s="448">
        <f>huishoudens!O8</f>
        <v>93.8</v>
      </c>
      <c r="P4" s="449">
        <f>huishoudens!P8</f>
        <v>95.333333333333343</v>
      </c>
      <c r="Q4" s="450">
        <f>SUM(B4:P4)</f>
        <v>78272.895239298945</v>
      </c>
    </row>
    <row r="5" spans="1:17">
      <c r="A5" s="447" t="s">
        <v>149</v>
      </c>
      <c r="B5" s="448">
        <f ca="1">tertiair!B16</f>
        <v>12453.521327364053</v>
      </c>
      <c r="C5" s="448">
        <f ca="1">tertiair!C16</f>
        <v>0</v>
      </c>
      <c r="D5" s="448">
        <f ca="1">tertiair!D16</f>
        <v>16082.574994681843</v>
      </c>
      <c r="E5" s="448">
        <f>tertiair!E16</f>
        <v>144.956258730966</v>
      </c>
      <c r="F5" s="448">
        <f ca="1">tertiair!F16</f>
        <v>2509.6050773777124</v>
      </c>
      <c r="G5" s="448">
        <f>tertiair!G16</f>
        <v>0</v>
      </c>
      <c r="H5" s="448">
        <f>tertiair!H16</f>
        <v>0</v>
      </c>
      <c r="I5" s="448">
        <f>tertiair!I16</f>
        <v>0</v>
      </c>
      <c r="J5" s="448">
        <f>tertiair!J16</f>
        <v>0</v>
      </c>
      <c r="K5" s="448">
        <f>tertiair!K16</f>
        <v>0</v>
      </c>
      <c r="L5" s="448">
        <f ca="1">tertiair!L16</f>
        <v>0</v>
      </c>
      <c r="M5" s="448">
        <f>tertiair!M16</f>
        <v>0</v>
      </c>
      <c r="N5" s="448">
        <f ca="1">tertiair!N16</f>
        <v>1639.1508779938615</v>
      </c>
      <c r="O5" s="448">
        <f>tertiair!O16</f>
        <v>0</v>
      </c>
      <c r="P5" s="449">
        <f>tertiair!P16</f>
        <v>0</v>
      </c>
      <c r="Q5" s="447">
        <f t="shared" ref="Q5:Q14" ca="1" si="0">SUM(B5:P5)</f>
        <v>32829.808536148434</v>
      </c>
    </row>
    <row r="6" spans="1:17">
      <c r="A6" s="447" t="s">
        <v>187</v>
      </c>
      <c r="B6" s="448">
        <f>'openbare verlichting'!B8</f>
        <v>424.40199999999999</v>
      </c>
      <c r="C6" s="448"/>
      <c r="D6" s="448"/>
      <c r="E6" s="448"/>
      <c r="F6" s="448"/>
      <c r="G6" s="448"/>
      <c r="H6" s="448"/>
      <c r="I6" s="448"/>
      <c r="J6" s="448"/>
      <c r="K6" s="448"/>
      <c r="L6" s="448"/>
      <c r="M6" s="448"/>
      <c r="N6" s="448"/>
      <c r="O6" s="448"/>
      <c r="P6" s="449"/>
      <c r="Q6" s="447">
        <f t="shared" si="0"/>
        <v>424.40199999999999</v>
      </c>
    </row>
    <row r="7" spans="1:17">
      <c r="A7" s="447" t="s">
        <v>105</v>
      </c>
      <c r="B7" s="448">
        <f>landbouw!B8</f>
        <v>67.102961860024806</v>
      </c>
      <c r="C7" s="448">
        <f>landbouw!C8</f>
        <v>0</v>
      </c>
      <c r="D7" s="448">
        <f>landbouw!D8</f>
        <v>17.788914484834955</v>
      </c>
      <c r="E7" s="448">
        <f>landbouw!E8</f>
        <v>0.8455837656274775</v>
      </c>
      <c r="F7" s="448">
        <f>landbouw!F8</f>
        <v>231.52202871348788</v>
      </c>
      <c r="G7" s="448">
        <f>landbouw!G8</f>
        <v>0</v>
      </c>
      <c r="H7" s="448">
        <f>landbouw!H8</f>
        <v>0</v>
      </c>
      <c r="I7" s="448">
        <f>landbouw!I8</f>
        <v>0</v>
      </c>
      <c r="J7" s="448">
        <f>landbouw!J8</f>
        <v>10.091522664199006</v>
      </c>
      <c r="K7" s="448">
        <f>landbouw!K8</f>
        <v>0</v>
      </c>
      <c r="L7" s="448">
        <f>landbouw!L8</f>
        <v>0</v>
      </c>
      <c r="M7" s="448">
        <f>landbouw!M8</f>
        <v>0</v>
      </c>
      <c r="N7" s="448">
        <f>landbouw!N8</f>
        <v>0</v>
      </c>
      <c r="O7" s="448">
        <f>landbouw!O8</f>
        <v>0</v>
      </c>
      <c r="P7" s="449">
        <f>landbouw!P8</f>
        <v>0</v>
      </c>
      <c r="Q7" s="447">
        <f t="shared" si="0"/>
        <v>327.35101148817415</v>
      </c>
    </row>
    <row r="8" spans="1:17">
      <c r="A8" s="447" t="s">
        <v>639</v>
      </c>
      <c r="B8" s="448">
        <f>industrie!B18</f>
        <v>2166.9580383560528</v>
      </c>
      <c r="C8" s="448">
        <f>industrie!C18</f>
        <v>0</v>
      </c>
      <c r="D8" s="448">
        <f>industrie!D18</f>
        <v>1831.2602657169309</v>
      </c>
      <c r="E8" s="448">
        <f>industrie!E18</f>
        <v>192.93681959088897</v>
      </c>
      <c r="F8" s="448">
        <f>industrie!F18</f>
        <v>857.32802290670202</v>
      </c>
      <c r="G8" s="448">
        <f>industrie!G18</f>
        <v>0</v>
      </c>
      <c r="H8" s="448">
        <f>industrie!H18</f>
        <v>0</v>
      </c>
      <c r="I8" s="448">
        <f>industrie!I18</f>
        <v>0</v>
      </c>
      <c r="J8" s="448">
        <f>industrie!J18</f>
        <v>4.2460602180473774</v>
      </c>
      <c r="K8" s="448">
        <f>industrie!K18</f>
        <v>0</v>
      </c>
      <c r="L8" s="448">
        <f>industrie!L18</f>
        <v>0</v>
      </c>
      <c r="M8" s="448">
        <f>industrie!M18</f>
        <v>0</v>
      </c>
      <c r="N8" s="448">
        <f>industrie!N18</f>
        <v>153.60217434643675</v>
      </c>
      <c r="O8" s="448">
        <f>industrie!O18</f>
        <v>0</v>
      </c>
      <c r="P8" s="449">
        <f>industrie!P18</f>
        <v>0</v>
      </c>
      <c r="Q8" s="447">
        <f t="shared" si="0"/>
        <v>5206.331381135059</v>
      </c>
    </row>
    <row r="9" spans="1:17" s="453" customFormat="1">
      <c r="A9" s="451" t="s">
        <v>557</v>
      </c>
      <c r="B9" s="452">
        <f>transport!B14</f>
        <v>4.5090102254571196</v>
      </c>
      <c r="C9" s="452">
        <f>transport!C14</f>
        <v>0</v>
      </c>
      <c r="D9" s="452">
        <f>transport!D14</f>
        <v>4.0091294879153141</v>
      </c>
      <c r="E9" s="452">
        <f>transport!E14</f>
        <v>143.86042477926219</v>
      </c>
      <c r="F9" s="452">
        <f>transport!F14</f>
        <v>0</v>
      </c>
      <c r="G9" s="452">
        <f>transport!G14</f>
        <v>53806.950622202959</v>
      </c>
      <c r="H9" s="452">
        <f>transport!H14</f>
        <v>6910.325031863209</v>
      </c>
      <c r="I9" s="452">
        <f>transport!I14</f>
        <v>0</v>
      </c>
      <c r="J9" s="452">
        <f>transport!J14</f>
        <v>0</v>
      </c>
      <c r="K9" s="452">
        <f>transport!K14</f>
        <v>0</v>
      </c>
      <c r="L9" s="452">
        <f>transport!L14</f>
        <v>0</v>
      </c>
      <c r="M9" s="452">
        <f>transport!M14</f>
        <v>2744.4360873513024</v>
      </c>
      <c r="N9" s="452">
        <f>transport!N14</f>
        <v>0</v>
      </c>
      <c r="O9" s="452">
        <f>transport!O14</f>
        <v>0</v>
      </c>
      <c r="P9" s="452">
        <f>transport!P14</f>
        <v>0</v>
      </c>
      <c r="Q9" s="451">
        <f>SUM(B9:P9)</f>
        <v>63614.090305910104</v>
      </c>
    </row>
    <row r="10" spans="1:17">
      <c r="A10" s="447" t="s">
        <v>547</v>
      </c>
      <c r="B10" s="448">
        <f>transport!B54</f>
        <v>3.4625511261547142</v>
      </c>
      <c r="C10" s="448">
        <f>transport!C54</f>
        <v>0</v>
      </c>
      <c r="D10" s="448">
        <f>transport!D54</f>
        <v>0</v>
      </c>
      <c r="E10" s="448">
        <f>transport!E54</f>
        <v>0</v>
      </c>
      <c r="F10" s="448">
        <f>transport!F54</f>
        <v>0</v>
      </c>
      <c r="G10" s="448">
        <f>transport!G54</f>
        <v>673.96596791267439</v>
      </c>
      <c r="H10" s="448">
        <f>transport!H54</f>
        <v>0</v>
      </c>
      <c r="I10" s="448">
        <f>transport!I54</f>
        <v>0</v>
      </c>
      <c r="J10" s="448">
        <f>transport!J54</f>
        <v>0</v>
      </c>
      <c r="K10" s="448">
        <f>transport!K54</f>
        <v>0</v>
      </c>
      <c r="L10" s="448">
        <f>transport!L54</f>
        <v>0</v>
      </c>
      <c r="M10" s="448">
        <f>transport!M54</f>
        <v>30.221200301098072</v>
      </c>
      <c r="N10" s="448">
        <f>transport!N54</f>
        <v>0</v>
      </c>
      <c r="O10" s="448">
        <f>transport!O54</f>
        <v>0</v>
      </c>
      <c r="P10" s="449">
        <f>transport!P54</f>
        <v>0</v>
      </c>
      <c r="Q10" s="447">
        <f t="shared" si="0"/>
        <v>707.64971933992717</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427.60700142828</v>
      </c>
      <c r="C14" s="455"/>
      <c r="D14" s="455">
        <f>'SEAP template'!E25</f>
        <v>944.52352478155103</v>
      </c>
      <c r="E14" s="455"/>
      <c r="F14" s="455"/>
      <c r="G14" s="455"/>
      <c r="H14" s="455"/>
      <c r="I14" s="455"/>
      <c r="J14" s="455"/>
      <c r="K14" s="455"/>
      <c r="L14" s="455"/>
      <c r="M14" s="455"/>
      <c r="N14" s="455"/>
      <c r="O14" s="455"/>
      <c r="P14" s="456"/>
      <c r="Q14" s="447">
        <f t="shared" si="0"/>
        <v>1372.130526209831</v>
      </c>
    </row>
    <row r="15" spans="1:17" s="460" customFormat="1">
      <c r="A15" s="457" t="s">
        <v>551</v>
      </c>
      <c r="B15" s="458">
        <f ca="1">SUM(B4:B14)</f>
        <v>30703.387497143038</v>
      </c>
      <c r="C15" s="458">
        <f t="shared" ref="C15:Q15" ca="1" si="1">SUM(C4:C14)</f>
        <v>0</v>
      </c>
      <c r="D15" s="458">
        <f t="shared" ca="1" si="1"/>
        <v>62545.364124171778</v>
      </c>
      <c r="E15" s="458">
        <f t="shared" si="1"/>
        <v>926.6840944455588</v>
      </c>
      <c r="F15" s="458">
        <f t="shared" ca="1" si="1"/>
        <v>17207.650130365608</v>
      </c>
      <c r="G15" s="458">
        <f t="shared" si="1"/>
        <v>54480.916590115638</v>
      </c>
      <c r="H15" s="458">
        <f t="shared" si="1"/>
        <v>6910.325031863209</v>
      </c>
      <c r="I15" s="458">
        <f t="shared" si="1"/>
        <v>0</v>
      </c>
      <c r="J15" s="458">
        <f t="shared" si="1"/>
        <v>272.06863792763511</v>
      </c>
      <c r="K15" s="458">
        <f t="shared" si="1"/>
        <v>0</v>
      </c>
      <c r="L15" s="458">
        <f t="shared" ca="1" si="1"/>
        <v>0</v>
      </c>
      <c r="M15" s="458">
        <f t="shared" si="1"/>
        <v>2774.6572876524006</v>
      </c>
      <c r="N15" s="458">
        <f t="shared" ca="1" si="1"/>
        <v>6744.4719925123036</v>
      </c>
      <c r="O15" s="458">
        <f t="shared" si="1"/>
        <v>93.8</v>
      </c>
      <c r="P15" s="458">
        <f t="shared" si="1"/>
        <v>95.333333333333343</v>
      </c>
      <c r="Q15" s="458">
        <f t="shared" ca="1" si="1"/>
        <v>182754.6587195305</v>
      </c>
    </row>
    <row r="17" spans="1:17">
      <c r="A17" s="461" t="s">
        <v>552</v>
      </c>
      <c r="B17" s="767">
        <f ca="1">huishoudens!B10</f>
        <v>0.14931739947236583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2263.0283171441306</v>
      </c>
      <c r="C22" s="448">
        <f t="shared" ref="C22:C32" ca="1" si="3">C4*$C$17</f>
        <v>0</v>
      </c>
      <c r="D22" s="448">
        <f t="shared" ref="D22:D32" si="4">D4*$D$17</f>
        <v>8820.3718735937764</v>
      </c>
      <c r="E22" s="448">
        <f t="shared" ref="E22:E32" si="5">E4*$E$17</f>
        <v>100.80729672039082</v>
      </c>
      <c r="F22" s="448">
        <f t="shared" ref="F22:F32" si="6">F4*$F$17</f>
        <v>3633.6550653651775</v>
      </c>
      <c r="G22" s="448">
        <f t="shared" ref="G22:G32" si="7">G4*$G$17</f>
        <v>0</v>
      </c>
      <c r="H22" s="448">
        <f t="shared" ref="H22:H32" si="8">H4*$H$17</f>
        <v>0</v>
      </c>
      <c r="I22" s="448">
        <f t="shared" ref="I22:I32" si="9">I4*$I$17</f>
        <v>0</v>
      </c>
      <c r="J22" s="448">
        <f t="shared" ref="J22:J32" si="10">J4*$J$17</f>
        <v>91.236793486067597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14909.099346309542</v>
      </c>
    </row>
    <row r="23" spans="1:17">
      <c r="A23" s="447" t="s">
        <v>149</v>
      </c>
      <c r="B23" s="448">
        <f t="shared" ca="1" si="2"/>
        <v>1859.5274188756459</v>
      </c>
      <c r="C23" s="448">
        <f t="shared" ca="1" si="3"/>
        <v>0</v>
      </c>
      <c r="D23" s="448">
        <f t="shared" ca="1" si="4"/>
        <v>3248.6801489257327</v>
      </c>
      <c r="E23" s="448">
        <f t="shared" si="5"/>
        <v>32.905070731929285</v>
      </c>
      <c r="F23" s="448">
        <f t="shared" ca="1" si="6"/>
        <v>670.06455565984925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5811.1771941931574</v>
      </c>
    </row>
    <row r="24" spans="1:17">
      <c r="A24" s="447" t="s">
        <v>187</v>
      </c>
      <c r="B24" s="448">
        <f t="shared" ca="1" si="2"/>
        <v>63.370602970870998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63.370602970870998</v>
      </c>
    </row>
    <row r="25" spans="1:17">
      <c r="A25" s="447" t="s">
        <v>105</v>
      </c>
      <c r="B25" s="448">
        <f t="shared" ca="1" si="2"/>
        <v>10.019639761832252</v>
      </c>
      <c r="C25" s="448">
        <f t="shared" ca="1" si="3"/>
        <v>0</v>
      </c>
      <c r="D25" s="448">
        <f t="shared" si="4"/>
        <v>3.5933607259366611</v>
      </c>
      <c r="E25" s="448">
        <f t="shared" si="5"/>
        <v>0.19194751479743741</v>
      </c>
      <c r="F25" s="448">
        <f t="shared" si="6"/>
        <v>61.816381666501272</v>
      </c>
      <c r="G25" s="448">
        <f t="shared" si="7"/>
        <v>0</v>
      </c>
      <c r="H25" s="448">
        <f t="shared" si="8"/>
        <v>0</v>
      </c>
      <c r="I25" s="448">
        <f t="shared" si="9"/>
        <v>0</v>
      </c>
      <c r="J25" s="448">
        <f t="shared" si="10"/>
        <v>3.5723990231264482</v>
      </c>
      <c r="K25" s="448">
        <f t="shared" si="11"/>
        <v>0</v>
      </c>
      <c r="L25" s="448">
        <f t="shared" si="12"/>
        <v>0</v>
      </c>
      <c r="M25" s="448">
        <f t="shared" si="13"/>
        <v>0</v>
      </c>
      <c r="N25" s="448">
        <f t="shared" si="14"/>
        <v>0</v>
      </c>
      <c r="O25" s="448">
        <f t="shared" si="15"/>
        <v>0</v>
      </c>
      <c r="P25" s="449">
        <f t="shared" si="16"/>
        <v>0</v>
      </c>
      <c r="Q25" s="447">
        <f t="shared" ca="1" si="17"/>
        <v>79.193728692194071</v>
      </c>
    </row>
    <row r="26" spans="1:17">
      <c r="A26" s="447" t="s">
        <v>639</v>
      </c>
      <c r="B26" s="448">
        <f t="shared" ca="1" si="2"/>
        <v>323.564539053065</v>
      </c>
      <c r="C26" s="448">
        <f t="shared" ca="1" si="3"/>
        <v>0</v>
      </c>
      <c r="D26" s="448">
        <f t="shared" si="4"/>
        <v>369.91457367482008</v>
      </c>
      <c r="E26" s="448">
        <f t="shared" si="5"/>
        <v>43.7966580471318</v>
      </c>
      <c r="F26" s="448">
        <f t="shared" si="6"/>
        <v>228.90658211608945</v>
      </c>
      <c r="G26" s="448">
        <f t="shared" si="7"/>
        <v>0</v>
      </c>
      <c r="H26" s="448">
        <f t="shared" si="8"/>
        <v>0</v>
      </c>
      <c r="I26" s="448">
        <f t="shared" si="9"/>
        <v>0</v>
      </c>
      <c r="J26" s="448">
        <f t="shared" si="10"/>
        <v>1.5031053171887716</v>
      </c>
      <c r="K26" s="448">
        <f t="shared" si="11"/>
        <v>0</v>
      </c>
      <c r="L26" s="448">
        <f t="shared" si="12"/>
        <v>0</v>
      </c>
      <c r="M26" s="448">
        <f t="shared" si="13"/>
        <v>0</v>
      </c>
      <c r="N26" s="448">
        <f t="shared" si="14"/>
        <v>0</v>
      </c>
      <c r="O26" s="448">
        <f t="shared" si="15"/>
        <v>0</v>
      </c>
      <c r="P26" s="449">
        <f t="shared" si="16"/>
        <v>0</v>
      </c>
      <c r="Q26" s="447">
        <f t="shared" ca="1" si="17"/>
        <v>967.68545820829513</v>
      </c>
    </row>
    <row r="27" spans="1:17" s="453" customFormat="1">
      <c r="A27" s="451" t="s">
        <v>557</v>
      </c>
      <c r="B27" s="761">
        <f t="shared" ca="1" si="2"/>
        <v>0.67327368105956309</v>
      </c>
      <c r="C27" s="452">
        <f t="shared" ca="1" si="3"/>
        <v>0</v>
      </c>
      <c r="D27" s="452">
        <f t="shared" si="4"/>
        <v>0.80984415655889352</v>
      </c>
      <c r="E27" s="452">
        <f t="shared" si="5"/>
        <v>32.656316424892516</v>
      </c>
      <c r="F27" s="452">
        <f t="shared" si="6"/>
        <v>0</v>
      </c>
      <c r="G27" s="452">
        <f t="shared" si="7"/>
        <v>14366.455816128191</v>
      </c>
      <c r="H27" s="452">
        <f t="shared" si="8"/>
        <v>1720.670932933939</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16121.266183324642</v>
      </c>
    </row>
    <row r="28" spans="1:17">
      <c r="A28" s="447" t="s">
        <v>547</v>
      </c>
      <c r="B28" s="448">
        <f t="shared" ca="1" si="2"/>
        <v>0.51701912969753361</v>
      </c>
      <c r="C28" s="448">
        <f t="shared" ca="1" si="3"/>
        <v>0</v>
      </c>
      <c r="D28" s="448">
        <f t="shared" si="4"/>
        <v>0</v>
      </c>
      <c r="E28" s="448">
        <f t="shared" si="5"/>
        <v>0</v>
      </c>
      <c r="F28" s="448">
        <f t="shared" si="6"/>
        <v>0</v>
      </c>
      <c r="G28" s="448">
        <f t="shared" si="7"/>
        <v>179.94891343268407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180.4659325623816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63.849165449446993</v>
      </c>
      <c r="C32" s="448">
        <f t="shared" ca="1" si="3"/>
        <v>0</v>
      </c>
      <c r="D32" s="448">
        <f t="shared" si="4"/>
        <v>190.79375200587333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254.64291745532032</v>
      </c>
    </row>
    <row r="33" spans="1:17" s="460" customFormat="1">
      <c r="A33" s="457" t="s">
        <v>551</v>
      </c>
      <c r="B33" s="458">
        <f ca="1">SUM(B22:B32)</f>
        <v>4584.5499760657494</v>
      </c>
      <c r="C33" s="458">
        <f t="shared" ref="C33:Q33" ca="1" si="18">SUM(C22:C32)</f>
        <v>0</v>
      </c>
      <c r="D33" s="458">
        <f t="shared" ca="1" si="18"/>
        <v>12634.163553082695</v>
      </c>
      <c r="E33" s="458">
        <f t="shared" si="18"/>
        <v>210.35728943914188</v>
      </c>
      <c r="F33" s="458">
        <f t="shared" ca="1" si="18"/>
        <v>4594.4425848076171</v>
      </c>
      <c r="G33" s="458">
        <f t="shared" si="18"/>
        <v>14546.404729560874</v>
      </c>
      <c r="H33" s="458">
        <f t="shared" si="18"/>
        <v>1720.670932933939</v>
      </c>
      <c r="I33" s="458">
        <f t="shared" si="18"/>
        <v>0</v>
      </c>
      <c r="J33" s="458">
        <f t="shared" si="18"/>
        <v>96.312297826382817</v>
      </c>
      <c r="K33" s="458">
        <f t="shared" si="18"/>
        <v>0</v>
      </c>
      <c r="L33" s="458">
        <f t="shared" ca="1" si="18"/>
        <v>0</v>
      </c>
      <c r="M33" s="458">
        <f t="shared" si="18"/>
        <v>0</v>
      </c>
      <c r="N33" s="458">
        <f t="shared" ca="1" si="18"/>
        <v>0</v>
      </c>
      <c r="O33" s="458">
        <f t="shared" si="18"/>
        <v>0</v>
      </c>
      <c r="P33" s="458">
        <f t="shared" si="18"/>
        <v>0</v>
      </c>
      <c r="Q33" s="458">
        <f t="shared" ca="1" si="18"/>
        <v>38386.901363716403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8280.6954879999994</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1678.1219816962116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9958.8174696962105</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0.14931739947236583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0.14931739947236583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0.14931739947236583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0.14931739947236583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3331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281</v>
      </c>
      <c r="C14" s="327"/>
      <c r="D14" s="327"/>
      <c r="E14" s="327"/>
      <c r="F14" s="327"/>
    </row>
    <row r="15" spans="1:6">
      <c r="A15" s="1296" t="s">
        <v>177</v>
      </c>
      <c r="B15" s="1297">
        <v>3</v>
      </c>
      <c r="C15" s="327"/>
      <c r="D15" s="327"/>
      <c r="E15" s="327"/>
      <c r="F15" s="327"/>
    </row>
    <row r="16" spans="1:6">
      <c r="A16" s="1296" t="s">
        <v>6</v>
      </c>
      <c r="B16" s="1297">
        <v>196</v>
      </c>
      <c r="C16" s="327"/>
      <c r="D16" s="327"/>
      <c r="E16" s="327"/>
      <c r="F16" s="327"/>
    </row>
    <row r="17" spans="1:6">
      <c r="A17" s="1296" t="s">
        <v>7</v>
      </c>
      <c r="B17" s="1297">
        <v>5</v>
      </c>
      <c r="C17" s="327"/>
      <c r="D17" s="327"/>
      <c r="E17" s="327"/>
      <c r="F17" s="327"/>
    </row>
    <row r="18" spans="1:6">
      <c r="A18" s="1296" t="s">
        <v>8</v>
      </c>
      <c r="B18" s="1297">
        <v>68</v>
      </c>
      <c r="C18" s="327"/>
      <c r="D18" s="327"/>
      <c r="E18" s="327"/>
      <c r="F18" s="327"/>
    </row>
    <row r="19" spans="1:6">
      <c r="A19" s="1296" t="s">
        <v>9</v>
      </c>
      <c r="B19" s="1297">
        <v>55</v>
      </c>
      <c r="C19" s="327"/>
      <c r="D19" s="327"/>
      <c r="E19" s="327"/>
      <c r="F19" s="327"/>
    </row>
    <row r="20" spans="1:6">
      <c r="A20" s="1296" t="s">
        <v>10</v>
      </c>
      <c r="B20" s="1297">
        <v>36</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12</v>
      </c>
      <c r="C29" s="327"/>
      <c r="D29" s="327"/>
      <c r="E29" s="327"/>
      <c r="F29" s="327"/>
    </row>
    <row r="30" spans="1:6">
      <c r="A30" s="1291" t="s">
        <v>923</v>
      </c>
      <c r="B30" s="1299">
        <v>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7</v>
      </c>
      <c r="F36" s="1297">
        <v>477603.03617559402</v>
      </c>
    </row>
    <row r="37" spans="1:6">
      <c r="A37" s="1296" t="s">
        <v>24</v>
      </c>
      <c r="B37" s="1296" t="s">
        <v>27</v>
      </c>
      <c r="C37" s="1297">
        <v>0</v>
      </c>
      <c r="D37" s="1297">
        <v>0</v>
      </c>
      <c r="E37" s="1297">
        <v>0</v>
      </c>
      <c r="F37" s="1297">
        <v>0</v>
      </c>
    </row>
    <row r="38" spans="1:6">
      <c r="A38" s="1296" t="s">
        <v>24</v>
      </c>
      <c r="B38" s="1296" t="s">
        <v>28</v>
      </c>
      <c r="C38" s="1297">
        <v>1</v>
      </c>
      <c r="D38" s="1297">
        <v>259133.819043608</v>
      </c>
      <c r="E38" s="1297">
        <v>3</v>
      </c>
      <c r="F38" s="1297">
        <v>21394.639999999999</v>
      </c>
    </row>
    <row r="39" spans="1:6">
      <c r="A39" s="1296" t="s">
        <v>29</v>
      </c>
      <c r="B39" s="1296" t="s">
        <v>30</v>
      </c>
      <c r="C39" s="1297">
        <v>2687</v>
      </c>
      <c r="D39" s="1297">
        <v>48409320.7261848</v>
      </c>
      <c r="E39" s="1297">
        <v>3327</v>
      </c>
      <c r="F39" s="1297">
        <v>13893239.913017999</v>
      </c>
    </row>
    <row r="40" spans="1:6">
      <c r="A40" s="1296" t="s">
        <v>29</v>
      </c>
      <c r="B40" s="1296" t="s">
        <v>28</v>
      </c>
      <c r="C40" s="1297">
        <v>0</v>
      </c>
      <c r="D40" s="1297">
        <v>0</v>
      </c>
      <c r="E40" s="1297">
        <v>0</v>
      </c>
      <c r="F40" s="1297">
        <v>0</v>
      </c>
    </row>
    <row r="41" spans="1:6">
      <c r="A41" s="1296" t="s">
        <v>31</v>
      </c>
      <c r="B41" s="1296" t="s">
        <v>32</v>
      </c>
      <c r="C41" s="1297">
        <v>11</v>
      </c>
      <c r="D41" s="1297">
        <v>260734.86644931199</v>
      </c>
      <c r="E41" s="1297">
        <v>33</v>
      </c>
      <c r="F41" s="1297">
        <v>318416.17984126997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25471.041108682999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1524386.7434392399</v>
      </c>
      <c r="E48" s="1297">
        <v>29</v>
      </c>
      <c r="F48" s="1297">
        <v>1655771.72410377</v>
      </c>
    </row>
    <row r="49" spans="1:6">
      <c r="A49" s="1296" t="s">
        <v>31</v>
      </c>
      <c r="B49" s="1296" t="s">
        <v>39</v>
      </c>
      <c r="C49" s="1297">
        <v>0</v>
      </c>
      <c r="D49" s="1297">
        <v>0</v>
      </c>
      <c r="E49" s="1297">
        <v>0</v>
      </c>
      <c r="F49" s="1297">
        <v>0</v>
      </c>
    </row>
    <row r="50" spans="1:6">
      <c r="A50" s="1296" t="s">
        <v>31</v>
      </c>
      <c r="B50" s="1296" t="s">
        <v>40</v>
      </c>
      <c r="C50" s="1297">
        <v>3</v>
      </c>
      <c r="D50" s="1297">
        <v>245100.41418786801</v>
      </c>
      <c r="E50" s="1297">
        <v>5</v>
      </c>
      <c r="F50" s="1297">
        <v>167299.09330233</v>
      </c>
    </row>
    <row r="51" spans="1:6">
      <c r="A51" s="1296" t="s">
        <v>41</v>
      </c>
      <c r="B51" s="1296" t="s">
        <v>42</v>
      </c>
      <c r="C51" s="1297">
        <v>0</v>
      </c>
      <c r="D51" s="1297">
        <v>0</v>
      </c>
      <c r="E51" s="1297">
        <v>4</v>
      </c>
      <c r="F51" s="1297">
        <v>44196.809953891803</v>
      </c>
    </row>
    <row r="52" spans="1:6">
      <c r="A52" s="1296" t="s">
        <v>41</v>
      </c>
      <c r="B52" s="1296" t="s">
        <v>28</v>
      </c>
      <c r="C52" s="1297">
        <v>1</v>
      </c>
      <c r="D52" s="1297">
        <v>19721.634683852499</v>
      </c>
      <c r="E52" s="1297">
        <v>1</v>
      </c>
      <c r="F52" s="1297">
        <v>22906.151906133</v>
      </c>
    </row>
    <row r="53" spans="1:6">
      <c r="A53" s="1296" t="s">
        <v>43</v>
      </c>
      <c r="B53" s="1296" t="s">
        <v>44</v>
      </c>
      <c r="C53" s="1297">
        <v>45</v>
      </c>
      <c r="D53" s="1297">
        <v>944523.52478155098</v>
      </c>
      <c r="E53" s="1297">
        <v>92</v>
      </c>
      <c r="F53" s="1297">
        <v>427607.00142828003</v>
      </c>
    </row>
    <row r="54" spans="1:6">
      <c r="A54" s="1296" t="s">
        <v>45</v>
      </c>
      <c r="B54" s="1296" t="s">
        <v>46</v>
      </c>
      <c r="C54" s="1297">
        <v>0</v>
      </c>
      <c r="D54" s="1297">
        <v>0</v>
      </c>
      <c r="E54" s="1297">
        <v>1</v>
      </c>
      <c r="F54" s="1297">
        <v>424402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2543435.3308661398</v>
      </c>
      <c r="E57" s="1297">
        <v>52</v>
      </c>
      <c r="F57" s="1297">
        <v>1815920.97216483</v>
      </c>
    </row>
    <row r="58" spans="1:6">
      <c r="A58" s="1296" t="s">
        <v>48</v>
      </c>
      <c r="B58" s="1296" t="s">
        <v>50</v>
      </c>
      <c r="C58" s="1297">
        <v>3</v>
      </c>
      <c r="D58" s="1297">
        <v>110629.265389857</v>
      </c>
      <c r="E58" s="1297">
        <v>3</v>
      </c>
      <c r="F58" s="1297">
        <v>30860.820117686701</v>
      </c>
    </row>
    <row r="59" spans="1:6">
      <c r="A59" s="1296" t="s">
        <v>48</v>
      </c>
      <c r="B59" s="1296" t="s">
        <v>51</v>
      </c>
      <c r="C59" s="1297">
        <v>41</v>
      </c>
      <c r="D59" s="1297">
        <v>3392143.0267090099</v>
      </c>
      <c r="E59" s="1297">
        <v>72</v>
      </c>
      <c r="F59" s="1297">
        <v>3315826.7808030401</v>
      </c>
    </row>
    <row r="60" spans="1:6">
      <c r="A60" s="1296" t="s">
        <v>48</v>
      </c>
      <c r="B60" s="1296" t="s">
        <v>52</v>
      </c>
      <c r="C60" s="1297">
        <v>14</v>
      </c>
      <c r="D60" s="1297">
        <v>1253963.20308723</v>
      </c>
      <c r="E60" s="1297">
        <v>19</v>
      </c>
      <c r="F60" s="1297">
        <v>434589.14607084601</v>
      </c>
    </row>
    <row r="61" spans="1:6">
      <c r="A61" s="1296" t="s">
        <v>48</v>
      </c>
      <c r="B61" s="1296" t="s">
        <v>53</v>
      </c>
      <c r="C61" s="1297">
        <v>66</v>
      </c>
      <c r="D61" s="1297">
        <v>4434080.69877965</v>
      </c>
      <c r="E61" s="1297">
        <v>115</v>
      </c>
      <c r="F61" s="1297">
        <v>2244234.9610268502</v>
      </c>
    </row>
    <row r="62" spans="1:6">
      <c r="A62" s="1296" t="s">
        <v>48</v>
      </c>
      <c r="B62" s="1296" t="s">
        <v>54</v>
      </c>
      <c r="C62" s="1297">
        <v>0</v>
      </c>
      <c r="D62" s="1297">
        <v>0</v>
      </c>
      <c r="E62" s="1297">
        <v>3</v>
      </c>
      <c r="F62" s="1297">
        <v>32348.1220714107</v>
      </c>
    </row>
    <row r="63" spans="1:6">
      <c r="A63" s="1296" t="s">
        <v>48</v>
      </c>
      <c r="B63" s="1296" t="s">
        <v>28</v>
      </c>
      <c r="C63" s="1297">
        <v>87</v>
      </c>
      <c r="D63" s="1297">
        <v>6095654.23423889</v>
      </c>
      <c r="E63" s="1297">
        <v>100</v>
      </c>
      <c r="F63" s="1297">
        <v>4579740.5251093898</v>
      </c>
    </row>
    <row r="64" spans="1:6">
      <c r="A64" s="1296" t="s">
        <v>55</v>
      </c>
      <c r="B64" s="1296" t="s">
        <v>56</v>
      </c>
      <c r="C64" s="1297">
        <v>0</v>
      </c>
      <c r="D64" s="1297">
        <v>0</v>
      </c>
      <c r="E64" s="1297">
        <v>0</v>
      </c>
      <c r="F64" s="1297">
        <v>0</v>
      </c>
    </row>
    <row r="65" spans="1:6">
      <c r="A65" s="1296" t="s">
        <v>55</v>
      </c>
      <c r="B65" s="1296" t="s">
        <v>28</v>
      </c>
      <c r="C65" s="1297">
        <v>2</v>
      </c>
      <c r="D65" s="1297">
        <v>63347.610311410499</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260752.507877839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55738590</v>
      </c>
      <c r="E73" s="446"/>
      <c r="F73" s="327"/>
    </row>
    <row r="74" spans="1:6">
      <c r="A74" s="1296" t="s">
        <v>63</v>
      </c>
      <c r="B74" s="1296" t="s">
        <v>706</v>
      </c>
      <c r="C74" s="1309" t="s">
        <v>707</v>
      </c>
      <c r="D74" s="1297">
        <v>9674407.0257305726</v>
      </c>
      <c r="E74" s="446"/>
      <c r="F74" s="327"/>
    </row>
    <row r="75" spans="1:6">
      <c r="A75" s="1296" t="s">
        <v>64</v>
      </c>
      <c r="B75" s="1296" t="s">
        <v>704</v>
      </c>
      <c r="C75" s="1309" t="s">
        <v>708</v>
      </c>
      <c r="D75" s="1297">
        <v>3497505</v>
      </c>
      <c r="E75" s="446"/>
      <c r="F75" s="327"/>
    </row>
    <row r="76" spans="1:6">
      <c r="A76" s="1296" t="s">
        <v>64</v>
      </c>
      <c r="B76" s="1296" t="s">
        <v>706</v>
      </c>
      <c r="C76" s="1309" t="s">
        <v>709</v>
      </c>
      <c r="D76" s="1297">
        <v>66533.025730571942</v>
      </c>
      <c r="E76" s="446"/>
      <c r="F76" s="327"/>
    </row>
    <row r="77" spans="1:6">
      <c r="A77" s="1296" t="s">
        <v>65</v>
      </c>
      <c r="B77" s="1296" t="s">
        <v>704</v>
      </c>
      <c r="C77" s="1309" t="s">
        <v>710</v>
      </c>
      <c r="D77" s="1297">
        <v>439939</v>
      </c>
      <c r="E77" s="446"/>
      <c r="F77" s="327"/>
    </row>
    <row r="78" spans="1:6">
      <c r="A78" s="1291" t="s">
        <v>65</v>
      </c>
      <c r="B78" s="1291" t="s">
        <v>706</v>
      </c>
      <c r="C78" s="1291" t="s">
        <v>711</v>
      </c>
      <c r="D78" s="1299">
        <v>49714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187293.94853885612</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8280.6954879999994</v>
      </c>
      <c r="C90" s="327"/>
      <c r="D90" s="327"/>
      <c r="E90" s="327"/>
      <c r="F90" s="327"/>
    </row>
    <row r="91" spans="1:6">
      <c r="A91" s="1296" t="s">
        <v>67</v>
      </c>
      <c r="B91" s="1297">
        <v>1262.5846937650115</v>
      </c>
      <c r="C91" s="327"/>
      <c r="D91" s="327"/>
      <c r="E91" s="327"/>
      <c r="F91" s="327"/>
    </row>
    <row r="92" spans="1:6">
      <c r="A92" s="1291" t="s">
        <v>68</v>
      </c>
      <c r="B92" s="1292">
        <v>415.53728793120018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2045</v>
      </c>
      <c r="C97" s="327"/>
      <c r="D97" s="327"/>
      <c r="E97" s="327"/>
      <c r="F97" s="327"/>
    </row>
    <row r="98" spans="1:6">
      <c r="A98" s="1296" t="s">
        <v>71</v>
      </c>
      <c r="B98" s="1297">
        <v>5</v>
      </c>
      <c r="C98" s="327"/>
      <c r="D98" s="327"/>
      <c r="E98" s="327"/>
      <c r="F98" s="327"/>
    </row>
    <row r="99" spans="1:6">
      <c r="A99" s="1296" t="s">
        <v>72</v>
      </c>
      <c r="B99" s="1297">
        <v>12</v>
      </c>
      <c r="C99" s="327"/>
      <c r="D99" s="327"/>
      <c r="E99" s="327"/>
      <c r="F99" s="327"/>
    </row>
    <row r="100" spans="1:6">
      <c r="A100" s="1296" t="s">
        <v>73</v>
      </c>
      <c r="B100" s="1297">
        <v>386</v>
      </c>
      <c r="C100" s="327"/>
      <c r="D100" s="327"/>
      <c r="E100" s="327"/>
      <c r="F100" s="327"/>
    </row>
    <row r="101" spans="1:6">
      <c r="A101" s="1296" t="s">
        <v>74</v>
      </c>
      <c r="B101" s="1297">
        <v>32</v>
      </c>
      <c r="C101" s="327"/>
      <c r="D101" s="327"/>
      <c r="E101" s="327"/>
      <c r="F101" s="327"/>
    </row>
    <row r="102" spans="1:6">
      <c r="A102" s="1296" t="s">
        <v>75</v>
      </c>
      <c r="B102" s="1297">
        <v>51</v>
      </c>
      <c r="C102" s="327"/>
      <c r="D102" s="327"/>
      <c r="E102" s="327"/>
      <c r="F102" s="327"/>
    </row>
    <row r="103" spans="1:6">
      <c r="A103" s="1296" t="s">
        <v>76</v>
      </c>
      <c r="B103" s="1297">
        <v>72</v>
      </c>
      <c r="C103" s="327"/>
      <c r="D103" s="327"/>
      <c r="E103" s="327"/>
      <c r="F103" s="327"/>
    </row>
    <row r="104" spans="1:6">
      <c r="A104" s="1296" t="s">
        <v>77</v>
      </c>
      <c r="B104" s="1297">
        <v>379</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v>
      </c>
      <c r="C123" s="1297">
        <v>6</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54</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2</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30703.387497143034</v>
      </c>
      <c r="C3" s="43" t="s">
        <v>163</v>
      </c>
      <c r="D3" s="43"/>
      <c r="E3" s="156"/>
      <c r="F3" s="43"/>
      <c r="G3" s="43"/>
      <c r="H3" s="43"/>
      <c r="I3" s="43"/>
      <c r="J3" s="43"/>
      <c r="K3" s="96"/>
    </row>
    <row r="4" spans="1:11">
      <c r="A4" s="353" t="s">
        <v>164</v>
      </c>
      <c r="B4" s="49">
        <f>IF(ISERROR('SEAP template'!B78+'SEAP template'!C78),0,'SEAP template'!B78+'SEAP template'!C78)</f>
        <v>9958.8174696962105</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0.14931739947236583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424.40199999999999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424.40199999999999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0.14931739947236583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63.370602970870998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13893.239913018</v>
      </c>
      <c r="C5" s="17">
        <f>IF(ISERROR('Eigen informatie GS &amp; warmtenet'!B57),0,'Eigen informatie GS &amp; warmtenet'!B57)</f>
        <v>0</v>
      </c>
      <c r="D5" s="30">
        <f>(SUM(HH_hh_gas_kWh,HH_rest_gas_kWh)/1000)*0.902</f>
        <v>43665.207295018692</v>
      </c>
      <c r="E5" s="17">
        <f>B32*B41</f>
        <v>444.08500757881421</v>
      </c>
      <c r="F5" s="17">
        <f>B36*B45</f>
        <v>13609.195001367705</v>
      </c>
      <c r="G5" s="18"/>
      <c r="H5" s="17"/>
      <c r="I5" s="17"/>
      <c r="J5" s="17">
        <f>B35*B44+C35*C44</f>
        <v>257.7310550453887</v>
      </c>
      <c r="K5" s="17"/>
      <c r="L5" s="17"/>
      <c r="M5" s="17"/>
      <c r="N5" s="17">
        <f>B34*B43+C34*C43</f>
        <v>4951.7189401720052</v>
      </c>
      <c r="O5" s="17">
        <f>B52*B53*B54</f>
        <v>93.8</v>
      </c>
      <c r="P5" s="17">
        <f>B60*B61*B62/1000-B60*B61*B62/1000/B63</f>
        <v>95.333333333333343</v>
      </c>
    </row>
    <row r="6" spans="1:16">
      <c r="A6" s="16" t="s">
        <v>617</v>
      </c>
      <c r="B6" s="769">
        <f>kWh_PV_kleiner_dan_10kW</f>
        <v>1262.5846937650115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15155.824606783011</v>
      </c>
      <c r="C8" s="21">
        <f>C5</f>
        <v>0</v>
      </c>
      <c r="D8" s="21">
        <f>D5</f>
        <v>43665.207295018692</v>
      </c>
      <c r="E8" s="21">
        <f>E5</f>
        <v>444.08500757881421</v>
      </c>
      <c r="F8" s="21">
        <f>F5</f>
        <v>13609.195001367705</v>
      </c>
      <c r="G8" s="21"/>
      <c r="H8" s="21"/>
      <c r="I8" s="21"/>
      <c r="J8" s="21">
        <f>J5</f>
        <v>257.7310550453887</v>
      </c>
      <c r="K8" s="21"/>
      <c r="L8" s="21">
        <f>L5</f>
        <v>0</v>
      </c>
      <c r="M8" s="21">
        <f>M5</f>
        <v>0</v>
      </c>
      <c r="N8" s="21">
        <f>N5</f>
        <v>4951.7189401720052</v>
      </c>
      <c r="O8" s="21">
        <f>O5</f>
        <v>93.8</v>
      </c>
      <c r="P8" s="21">
        <f>P5</f>
        <v>95.333333333333343</v>
      </c>
    </row>
    <row r="9" spans="1:16">
      <c r="B9" s="19"/>
      <c r="C9" s="19"/>
      <c r="D9" s="257"/>
      <c r="E9" s="19"/>
      <c r="F9" s="19"/>
      <c r="G9" s="19"/>
      <c r="H9" s="19"/>
      <c r="I9" s="19"/>
      <c r="J9" s="19"/>
      <c r="K9" s="19"/>
      <c r="L9" s="19"/>
      <c r="M9" s="19"/>
      <c r="N9" s="19"/>
      <c r="O9" s="19"/>
      <c r="P9" s="19"/>
    </row>
    <row r="10" spans="1:16">
      <c r="A10" s="24" t="s">
        <v>207</v>
      </c>
      <c r="B10" s="25">
        <f ca="1">'EF ele_warmte'!B12</f>
        <v>0.14931739947236583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2263.0283171441306</v>
      </c>
      <c r="C12" s="23">
        <f ca="1">C10*C8</f>
        <v>0</v>
      </c>
      <c r="D12" s="23">
        <f>D8*D10</f>
        <v>8820.3718735937764</v>
      </c>
      <c r="E12" s="23">
        <f>E10*E8</f>
        <v>100.80729672039082</v>
      </c>
      <c r="F12" s="23">
        <f>F10*F8</f>
        <v>3633.6550653651775</v>
      </c>
      <c r="G12" s="23"/>
      <c r="H12" s="23"/>
      <c r="I12" s="23"/>
      <c r="J12" s="23">
        <f>J10*J8</f>
        <v>91.236793486067597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3331</v>
      </c>
      <c r="C26" s="36"/>
      <c r="D26" s="227"/>
    </row>
    <row r="27" spans="1:5" s="15" customFormat="1">
      <c r="A27" s="229" t="s">
        <v>722</v>
      </c>
      <c r="B27" s="37">
        <f>SUM(HH_hh_gas_aantal,HH_rest_gas_aantal)</f>
        <v>2687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2552.65</v>
      </c>
      <c r="C31" s="34" t="s">
        <v>104</v>
      </c>
      <c r="D31" s="173"/>
    </row>
    <row r="32" spans="1:5">
      <c r="A32" s="170" t="s">
        <v>72</v>
      </c>
      <c r="B32" s="33">
        <f>IF((B21*($B$26-($B$27-0.05*$B$27)-$B$60))&lt;0,0,B21*($B$26-($B$27-0.05*$B$27)-$B$60))</f>
        <v>19.365892016477027</v>
      </c>
      <c r="C32" s="34" t="s">
        <v>104</v>
      </c>
      <c r="D32" s="173"/>
    </row>
    <row r="33" spans="1:6">
      <c r="A33" s="170" t="s">
        <v>73</v>
      </c>
      <c r="B33" s="33">
        <f>IF((B22*($B$26-($B$27-0.05*$B$27)-$B$60))&lt;0,0,B22*($B$26-($B$27-0.05*$B$27)-$B$60))</f>
        <v>130.35516635411963</v>
      </c>
      <c r="C33" s="34" t="s">
        <v>104</v>
      </c>
      <c r="D33" s="173"/>
    </row>
    <row r="34" spans="1:6">
      <c r="A34" s="170" t="s">
        <v>74</v>
      </c>
      <c r="B34" s="33">
        <f>IF((B24*($B$26-($B$27-0.05*$B$27)-$B$60))&lt;0,0,B24*($B$26-($B$27-0.05*$B$27)-$B$60))</f>
        <v>33.072872605466948</v>
      </c>
      <c r="C34" s="33">
        <f>B26*C24</f>
        <v>681.38958527146247</v>
      </c>
      <c r="D34" s="232"/>
    </row>
    <row r="35" spans="1:6">
      <c r="A35" s="170" t="s">
        <v>76</v>
      </c>
      <c r="B35" s="33">
        <f>IF((B19*($B$26-($B$27-0.05*$B$27)-$B$60))&lt;0,0,B19*($B$26-($B$27-0.05*$B$27)-$B$60))</f>
        <v>12.290965828152961</v>
      </c>
      <c r="C35" s="33">
        <f>B35/2</f>
        <v>6.1454829140764806</v>
      </c>
      <c r="D35" s="232"/>
    </row>
    <row r="36" spans="1:6">
      <c r="A36" s="170" t="s">
        <v>77</v>
      </c>
      <c r="B36" s="33">
        <f>IF((B18*($B$26-($B$27-0.05*$B$27)-$B$60))&lt;0,0,B18*($B$26-($B$27-0.05*$B$27)-$B$60))</f>
        <v>578.26510319578335</v>
      </c>
      <c r="C36" s="34" t="s">
        <v>104</v>
      </c>
      <c r="D36" s="173"/>
    </row>
    <row r="37" spans="1:6">
      <c r="A37" s="170" t="s">
        <v>78</v>
      </c>
      <c r="B37" s="33">
        <f>B60</f>
        <v>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12453.521327364053</v>
      </c>
      <c r="C5" s="17">
        <f>IF(ISERROR('Eigen informatie GS &amp; warmtenet'!B58),0,'Eigen informatie GS &amp; warmtenet'!B58)</f>
        <v>0</v>
      </c>
      <c r="D5" s="30">
        <f>SUM(D6:D12)</f>
        <v>16082.574994681843</v>
      </c>
      <c r="E5" s="17">
        <f>SUM(E6:E12)</f>
        <v>144.956258730966</v>
      </c>
      <c r="F5" s="17">
        <f>SUM(F6:F12)</f>
        <v>2509.6050773777124</v>
      </c>
      <c r="G5" s="18"/>
      <c r="H5" s="17"/>
      <c r="I5" s="17"/>
      <c r="J5" s="17">
        <f>SUM(J6:J12)</f>
        <v>0</v>
      </c>
      <c r="K5" s="17"/>
      <c r="L5" s="17"/>
      <c r="M5" s="17"/>
      <c r="N5" s="17">
        <f>SUM(N6:N12)</f>
        <v>1639.1508779938615</v>
      </c>
      <c r="O5" s="17">
        <f>B38*B39*B40</f>
        <v>0</v>
      </c>
      <c r="P5" s="17">
        <f>B46*B47*B48/1000-B46*B47*B48/1000/B49</f>
        <v>0</v>
      </c>
      <c r="R5" s="32"/>
    </row>
    <row r="6" spans="1:18">
      <c r="A6" s="32" t="s">
        <v>53</v>
      </c>
      <c r="B6" s="37">
        <f>B26</f>
        <v>2244.2349610268502</v>
      </c>
      <c r="C6" s="33"/>
      <c r="D6" s="37">
        <f>IF(ISERROR(TER_kantoor_gas_kWh/1000),0,TER_kantoor_gas_kWh/1000)*0.902</f>
        <v>3999.5407902992447</v>
      </c>
      <c r="E6" s="33">
        <f>$C$26*'E Balans VL '!I12/100/3.6*1000000</f>
        <v>8.7193279558140677</v>
      </c>
      <c r="F6" s="33">
        <f>$C$26*('E Balans VL '!L12+'E Balans VL '!N12)/100/3.6*1000000</f>
        <v>341.32771666213483</v>
      </c>
      <c r="G6" s="34"/>
      <c r="H6" s="33"/>
      <c r="I6" s="33"/>
      <c r="J6" s="33">
        <f>$C$26*('E Balans VL '!D12+'E Balans VL '!E12)/100/3.6*1000000</f>
        <v>0</v>
      </c>
      <c r="K6" s="33"/>
      <c r="L6" s="33"/>
      <c r="M6" s="33"/>
      <c r="N6" s="33">
        <f>$C$26*'E Balans VL '!Y12/100/3.6*1000000</f>
        <v>1.2368423162531048</v>
      </c>
      <c r="O6" s="33"/>
      <c r="P6" s="33"/>
      <c r="R6" s="32"/>
    </row>
    <row r="7" spans="1:18">
      <c r="A7" s="32" t="s">
        <v>52</v>
      </c>
      <c r="B7" s="37">
        <f t="shared" ref="B7:B12" si="0">B27</f>
        <v>434.58914607084603</v>
      </c>
      <c r="C7" s="33"/>
      <c r="D7" s="37">
        <f>IF(ISERROR(TER_horeca_gas_kWh/1000),0,TER_horeca_gas_kWh/1000)*0.902</f>
        <v>1131.0748091846815</v>
      </c>
      <c r="E7" s="33">
        <f>$C$27*'E Balans VL '!I9/100/3.6*1000000</f>
        <v>24.480522788057783</v>
      </c>
      <c r="F7" s="33">
        <f>$C$27*('E Balans VL '!L9+'E Balans VL '!N9)/100/3.6*1000000</f>
        <v>125.30949140579466</v>
      </c>
      <c r="G7" s="34"/>
      <c r="H7" s="33"/>
      <c r="I7" s="33"/>
      <c r="J7" s="33">
        <f>$C$27*('E Balans VL '!D9+'E Balans VL '!E9)/100/3.6*1000000</f>
        <v>0</v>
      </c>
      <c r="K7" s="33"/>
      <c r="L7" s="33"/>
      <c r="M7" s="33"/>
      <c r="N7" s="33">
        <f>$C$27*'E Balans VL '!Y9/100/3.6*1000000</f>
        <v>0.11998780489247754</v>
      </c>
      <c r="O7" s="33"/>
      <c r="P7" s="33"/>
      <c r="R7" s="32"/>
    </row>
    <row r="8" spans="1:18">
      <c r="A8" s="6" t="s">
        <v>51</v>
      </c>
      <c r="B8" s="37">
        <f t="shared" si="0"/>
        <v>3315.82678080304</v>
      </c>
      <c r="C8" s="33"/>
      <c r="D8" s="37">
        <f>IF(ISERROR(TER_handel_gas_kWh/1000),0,TER_handel_gas_kWh/1000)*0.902</f>
        <v>3059.7130100915269</v>
      </c>
      <c r="E8" s="33">
        <f>$C$28*'E Balans VL '!I13/100/3.6*1000000</f>
        <v>47.792313392589314</v>
      </c>
      <c r="F8" s="33">
        <f>$C$28*('E Balans VL '!L13+'E Balans VL '!N13)/100/3.6*1000000</f>
        <v>576.03633222046926</v>
      </c>
      <c r="G8" s="34"/>
      <c r="H8" s="33"/>
      <c r="I8" s="33"/>
      <c r="J8" s="33">
        <f>$C$28*('E Balans VL '!D13+'E Balans VL '!E13)/100/3.6*1000000</f>
        <v>0</v>
      </c>
      <c r="K8" s="33"/>
      <c r="L8" s="33"/>
      <c r="M8" s="33"/>
      <c r="N8" s="33">
        <f>$C$28*'E Balans VL '!Y13/100/3.6*1000000</f>
        <v>9.9345861607271875</v>
      </c>
      <c r="O8" s="33"/>
      <c r="P8" s="33"/>
      <c r="R8" s="32"/>
    </row>
    <row r="9" spans="1:18">
      <c r="A9" s="32" t="s">
        <v>50</v>
      </c>
      <c r="B9" s="37">
        <f t="shared" si="0"/>
        <v>30.8608201176867</v>
      </c>
      <c r="C9" s="33"/>
      <c r="D9" s="37">
        <f>IF(ISERROR(TER_gezond_gas_kWh/1000),0,TER_gezond_gas_kWh/1000)*0.902</f>
        <v>99.787597381651011</v>
      </c>
      <c r="E9" s="33">
        <f>$C$29*'E Balans VL '!I10/100/3.6*1000000</f>
        <v>3.2967354716516149E-2</v>
      </c>
      <c r="F9" s="33">
        <f>$C$29*('E Balans VL '!L10+'E Balans VL '!N10)/100/3.6*1000000</f>
        <v>5.0343376567128324</v>
      </c>
      <c r="G9" s="34"/>
      <c r="H9" s="33"/>
      <c r="I9" s="33"/>
      <c r="J9" s="33">
        <f>$C$29*('E Balans VL '!D10+'E Balans VL '!E10)/100/3.6*1000000</f>
        <v>0</v>
      </c>
      <c r="K9" s="33"/>
      <c r="L9" s="33"/>
      <c r="M9" s="33"/>
      <c r="N9" s="33">
        <f>$C$29*'E Balans VL '!Y10/100/3.6*1000000</f>
        <v>0.31769453427892708</v>
      </c>
      <c r="O9" s="33"/>
      <c r="P9" s="33"/>
      <c r="R9" s="32"/>
    </row>
    <row r="10" spans="1:18">
      <c r="A10" s="32" t="s">
        <v>49</v>
      </c>
      <c r="B10" s="37">
        <f t="shared" si="0"/>
        <v>1815.9209721648299</v>
      </c>
      <c r="C10" s="33"/>
      <c r="D10" s="37">
        <f>IF(ISERROR(TER_ander_gas_kWh/1000),0,TER_ander_gas_kWh/1000)*0.902</f>
        <v>2294.1786684412582</v>
      </c>
      <c r="E10" s="33">
        <f>$C$30*'E Balans VL '!I14/100/3.6*1000000</f>
        <v>8.3511443289012171</v>
      </c>
      <c r="F10" s="33">
        <f>$C$30*('E Balans VL '!L14+'E Balans VL '!N14)/100/3.6*1000000</f>
        <v>544.28879465342709</v>
      </c>
      <c r="G10" s="34"/>
      <c r="H10" s="33"/>
      <c r="I10" s="33"/>
      <c r="J10" s="33">
        <f>$C$30*('E Balans VL '!D14+'E Balans VL '!E14)/100/3.6*1000000</f>
        <v>0</v>
      </c>
      <c r="K10" s="33"/>
      <c r="L10" s="33"/>
      <c r="M10" s="33"/>
      <c r="N10" s="33">
        <f>$C$30*'E Balans VL '!Y14/100/3.6*1000000</f>
        <v>1264.0008669659665</v>
      </c>
      <c r="O10" s="33"/>
      <c r="P10" s="33"/>
      <c r="R10" s="32"/>
    </row>
    <row r="11" spans="1:18">
      <c r="A11" s="32" t="s">
        <v>54</v>
      </c>
      <c r="B11" s="37">
        <f t="shared" si="0"/>
        <v>32.3481220714107</v>
      </c>
      <c r="C11" s="33"/>
      <c r="D11" s="37">
        <f>IF(ISERROR(TER_onderwijs_gas_kWh/1000),0,TER_onderwijs_gas_kWh/1000)*0.902</f>
        <v>0</v>
      </c>
      <c r="E11" s="33">
        <f>$C$31*'E Balans VL '!I11/100/3.6*1000000</f>
        <v>3.0007137283244865E-2</v>
      </c>
      <c r="F11" s="33">
        <f>$C$31*('E Balans VL '!L11+'E Balans VL '!N11)/100/3.6*1000000</f>
        <v>11.36315181555331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4579.7405251093896</v>
      </c>
      <c r="C12" s="33"/>
      <c r="D12" s="37">
        <f>IF(ISERROR(TER_rest_gas_kWh/1000),0,TER_rest_gas_kWh/1000)*0.902</f>
        <v>5498.2801192834795</v>
      </c>
      <c r="E12" s="33">
        <f>$C$32*'E Balans VL '!I8/100/3.6*1000000</f>
        <v>55.549975773603848</v>
      </c>
      <c r="F12" s="33">
        <f>$C$32*('E Balans VL '!L8+'E Balans VL '!N8)/100/3.6*1000000</f>
        <v>906.24525296362037</v>
      </c>
      <c r="G12" s="34"/>
      <c r="H12" s="33"/>
      <c r="I12" s="33"/>
      <c r="J12" s="33">
        <f>$C$32*('E Balans VL '!D8+'E Balans VL '!E8)/100/3.6*1000000</f>
        <v>0</v>
      </c>
      <c r="K12" s="33"/>
      <c r="L12" s="33"/>
      <c r="M12" s="33"/>
      <c r="N12" s="33">
        <f>$C$32*'E Balans VL '!Y8/100/3.6*1000000</f>
        <v>363.54090021174329</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12453.521327364053</v>
      </c>
      <c r="C16" s="21">
        <f t="shared" ca="1" si="1"/>
        <v>0</v>
      </c>
      <c r="D16" s="21">
        <f t="shared" ca="1" si="1"/>
        <v>16082.574994681843</v>
      </c>
      <c r="E16" s="21">
        <f t="shared" si="1"/>
        <v>144.956258730966</v>
      </c>
      <c r="F16" s="21">
        <f t="shared" ca="1" si="1"/>
        <v>2509.6050773777124</v>
      </c>
      <c r="G16" s="21">
        <f t="shared" si="1"/>
        <v>0</v>
      </c>
      <c r="H16" s="21">
        <f t="shared" si="1"/>
        <v>0</v>
      </c>
      <c r="I16" s="21">
        <f t="shared" si="1"/>
        <v>0</v>
      </c>
      <c r="J16" s="21">
        <f t="shared" si="1"/>
        <v>0</v>
      </c>
      <c r="K16" s="21">
        <f t="shared" si="1"/>
        <v>0</v>
      </c>
      <c r="L16" s="21">
        <f t="shared" ca="1" si="1"/>
        <v>0</v>
      </c>
      <c r="M16" s="21">
        <f t="shared" si="1"/>
        <v>0</v>
      </c>
      <c r="N16" s="21">
        <f t="shared" ca="1" si="1"/>
        <v>1639.1508779938615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0.14931739947236583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1859.5274188756459</v>
      </c>
      <c r="C20" s="23">
        <f t="shared" ref="C20:P20" ca="1" si="2">C16*C18</f>
        <v>0</v>
      </c>
      <c r="D20" s="23">
        <f t="shared" ca="1" si="2"/>
        <v>3248.6801489257327</v>
      </c>
      <c r="E20" s="23">
        <f t="shared" si="2"/>
        <v>32.905070731929285</v>
      </c>
      <c r="F20" s="23">
        <f t="shared" ca="1" si="2"/>
        <v>670.06455565984925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2244.2349610268502</v>
      </c>
      <c r="C26" s="39">
        <f>IF(ISERROR(B26*3.6/1000000/'E Balans VL '!Z12*100),0,B26*3.6/1000000/'E Balans VL '!Z12*100)</f>
        <v>4.7668662221697536E-2</v>
      </c>
      <c r="D26" s="235" t="s">
        <v>672</v>
      </c>
      <c r="F26" s="6"/>
    </row>
    <row r="27" spans="1:18">
      <c r="A27" s="230" t="s">
        <v>52</v>
      </c>
      <c r="B27" s="33">
        <f>IF(ISERROR(TER_horeca_ele_kWh/1000),0,TER_horeca_ele_kWh/1000)</f>
        <v>434.58914607084603</v>
      </c>
      <c r="C27" s="39">
        <f>IF(ISERROR(B27*3.6/1000000/'E Balans VL '!Z9*100),0,B27*3.6/1000000/'E Balans VL '!Z9*100)</f>
        <v>3.3791952788934349E-2</v>
      </c>
      <c r="D27" s="235" t="s">
        <v>672</v>
      </c>
      <c r="F27" s="6"/>
    </row>
    <row r="28" spans="1:18">
      <c r="A28" s="170" t="s">
        <v>51</v>
      </c>
      <c r="B28" s="33">
        <f>IF(ISERROR(TER_handel_ele_kWh/1000),0,TER_handel_ele_kWh/1000)</f>
        <v>3315.82678080304</v>
      </c>
      <c r="C28" s="39">
        <f>IF(ISERROR(B28*3.6/1000000/'E Balans VL '!Z13*100),0,B28*3.6/1000000/'E Balans VL '!Z13*100)</f>
        <v>9.4869706536525308E-2</v>
      </c>
      <c r="D28" s="235" t="s">
        <v>672</v>
      </c>
      <c r="F28" s="6"/>
    </row>
    <row r="29" spans="1:18">
      <c r="A29" s="230" t="s">
        <v>50</v>
      </c>
      <c r="B29" s="33">
        <f>IF(ISERROR(TER_gezond_ele_kWh/1000),0,TER_gezond_ele_kWh/1000)</f>
        <v>30.8608201176867</v>
      </c>
      <c r="C29" s="39">
        <f>IF(ISERROR(B29*3.6/1000000/'E Balans VL '!Z10*100),0,B29*3.6/1000000/'E Balans VL '!Z10*100)</f>
        <v>3.3645465122819399E-3</v>
      </c>
      <c r="D29" s="235" t="s">
        <v>672</v>
      </c>
      <c r="F29" s="6"/>
    </row>
    <row r="30" spans="1:18">
      <c r="A30" s="230" t="s">
        <v>49</v>
      </c>
      <c r="B30" s="33">
        <f>IF(ISERROR(TER_ander_ele_kWh/1000),0,TER_ander_ele_kWh/1000)</f>
        <v>1815.9209721648299</v>
      </c>
      <c r="C30" s="39">
        <f>IF(ISERROR(B30*3.6/1000000/'E Balans VL '!Z14*100),0,B30*3.6/1000000/'E Balans VL '!Z14*100)</f>
        <v>0.1328849774239472</v>
      </c>
      <c r="D30" s="235" t="s">
        <v>672</v>
      </c>
      <c r="F30" s="6"/>
    </row>
    <row r="31" spans="1:18">
      <c r="A31" s="230" t="s">
        <v>54</v>
      </c>
      <c r="B31" s="33">
        <f>IF(ISERROR(TER_onderwijs_ele_kWh/1000),0,TER_onderwijs_ele_kWh/1000)</f>
        <v>32.3481220714107</v>
      </c>
      <c r="C31" s="39">
        <f>IF(ISERROR(B31*3.6/1000000/'E Balans VL '!Z11*100),0,B31*3.6/1000000/'E Balans VL '!Z11*100)</f>
        <v>6.4971443390959109E-3</v>
      </c>
      <c r="D31" s="235" t="s">
        <v>672</v>
      </c>
    </row>
    <row r="32" spans="1:18">
      <c r="A32" s="230" t="s">
        <v>249</v>
      </c>
      <c r="B32" s="33">
        <f>IF(ISERROR(TER_rest_ele_kWh/1000),0,TER_rest_ele_kWh/1000)</f>
        <v>4579.7405251093896</v>
      </c>
      <c r="C32" s="39">
        <f>IF(ISERROR(B32*3.6/1000000/'E Balans VL '!Z8*100),0,B32*3.6/1000000/'E Balans VL '!Z8*100)</f>
        <v>3.7322105976330996E-2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2166.9580383560528</v>
      </c>
      <c r="C5" s="17">
        <f>IF(ISERROR('Eigen informatie GS &amp; warmtenet'!B59),0,'Eigen informatie GS &amp; warmtenet'!B59)</f>
        <v>0</v>
      </c>
      <c r="D5" s="30">
        <f>SUM(D6:D15)</f>
        <v>1831.2602657169309</v>
      </c>
      <c r="E5" s="17">
        <f>SUM(E6:E15)</f>
        <v>192.93681959088897</v>
      </c>
      <c r="F5" s="17">
        <f>SUM(F6:F15)</f>
        <v>857.32802290670202</v>
      </c>
      <c r="G5" s="18"/>
      <c r="H5" s="17"/>
      <c r="I5" s="17"/>
      <c r="J5" s="17">
        <f>SUM(J6:J15)</f>
        <v>4.2460602180473774</v>
      </c>
      <c r="K5" s="17"/>
      <c r="L5" s="17"/>
      <c r="M5" s="17"/>
      <c r="N5" s="17">
        <f>SUM(N6:N15)</f>
        <v>153.60217434643675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25.471041108683</v>
      </c>
      <c r="C8" s="33"/>
      <c r="D8" s="37">
        <f>IF( ISERROR(IND_metaal_Gas_kWH/1000),0,IND_metaal_Gas_kWH/1000)*0.902</f>
        <v>0</v>
      </c>
      <c r="E8" s="33">
        <f>C30*'E Balans VL '!I18/100/3.6*1000000</f>
        <v>0.73162390720082293</v>
      </c>
      <c r="F8" s="33">
        <f>C30*'E Balans VL '!L18/100/3.6*1000000+C30*'E Balans VL '!N18/100/3.6*1000000</f>
        <v>6.5328321658555977</v>
      </c>
      <c r="G8" s="34"/>
      <c r="H8" s="33"/>
      <c r="I8" s="33"/>
      <c r="J8" s="40">
        <f>C30*'E Balans VL '!D18/100/3.6*1000000+C30*'E Balans VL '!E18/100/3.6*1000000</f>
        <v>0</v>
      </c>
      <c r="K8" s="33"/>
      <c r="L8" s="33"/>
      <c r="M8" s="33"/>
      <c r="N8" s="33">
        <f>C30*'E Balans VL '!Y18/100/3.6*1000000</f>
        <v>0.6915907598620038</v>
      </c>
      <c r="O8" s="33"/>
      <c r="P8" s="33"/>
      <c r="R8" s="32"/>
    </row>
    <row r="9" spans="1:18">
      <c r="A9" s="6" t="s">
        <v>32</v>
      </c>
      <c r="B9" s="37">
        <f t="shared" si="0"/>
        <v>318.41617984126998</v>
      </c>
      <c r="C9" s="33"/>
      <c r="D9" s="37">
        <f>IF( ISERROR(IND_andere_gas_kWh/1000),0,IND_andere_gas_kWh/1000)*0.902</f>
        <v>235.18284953727942</v>
      </c>
      <c r="E9" s="33">
        <f>C31*'E Balans VL '!I19/100/3.6*1000000</f>
        <v>86.187430971539442</v>
      </c>
      <c r="F9" s="33">
        <f>C31*'E Balans VL '!L19/100/3.6*1000000+C31*'E Balans VL '!N19/100/3.6*1000000</f>
        <v>212.09887124476828</v>
      </c>
      <c r="G9" s="34"/>
      <c r="H9" s="33"/>
      <c r="I9" s="33"/>
      <c r="J9" s="40">
        <f>C31*'E Balans VL '!D19/100/3.6*1000000+C31*'E Balans VL '!E19/100/3.6*1000000</f>
        <v>0</v>
      </c>
      <c r="K9" s="33"/>
      <c r="L9" s="33"/>
      <c r="M9" s="33"/>
      <c r="N9" s="33">
        <f>C31*'E Balans VL '!Y19/100/3.6*1000000</f>
        <v>26.919978739253011</v>
      </c>
      <c r="O9" s="33"/>
      <c r="P9" s="33"/>
      <c r="R9" s="32"/>
    </row>
    <row r="10" spans="1:18">
      <c r="A10" s="6" t="s">
        <v>40</v>
      </c>
      <c r="B10" s="37">
        <f t="shared" si="0"/>
        <v>167.29909330232999</v>
      </c>
      <c r="C10" s="33"/>
      <c r="D10" s="37">
        <f>IF( ISERROR(IND_voed_gas_kWh/1000),0,IND_voed_gas_kWh/1000)*0.902</f>
        <v>221.08057359745695</v>
      </c>
      <c r="E10" s="33">
        <f>C32*'E Balans VL '!I20/100/3.6*1000000</f>
        <v>13.645298409403336</v>
      </c>
      <c r="F10" s="33">
        <f>C32*'E Balans VL '!L20/100/3.6*1000000+C32*'E Balans VL '!N20/100/3.6*1000000</f>
        <v>249.45812681749601</v>
      </c>
      <c r="G10" s="34"/>
      <c r="H10" s="33"/>
      <c r="I10" s="33"/>
      <c r="J10" s="40">
        <f>C32*'E Balans VL '!D20/100/3.6*1000000+C32*'E Balans VL '!E20/100/3.6*1000000</f>
        <v>2.2131639305330384E-3</v>
      </c>
      <c r="K10" s="33"/>
      <c r="L10" s="33"/>
      <c r="M10" s="33"/>
      <c r="N10" s="33">
        <f>C32*'E Balans VL '!Y20/100/3.6*1000000</f>
        <v>49.146570263767337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1655.7717241037699</v>
      </c>
      <c r="C15" s="33"/>
      <c r="D15" s="37">
        <f>IF( ISERROR(IND_rest_gas_kWh/1000),0,IND_rest_gas_kWh/1000)*0.902</f>
        <v>1374.9968425821944</v>
      </c>
      <c r="E15" s="33">
        <f>C37*'E Balans VL '!I15/100/3.6*1000000</f>
        <v>92.372466302745366</v>
      </c>
      <c r="F15" s="33">
        <f>C37*'E Balans VL '!L15/100/3.6*1000000+C37*'E Balans VL '!N15/100/3.6*1000000</f>
        <v>389.23819267858215</v>
      </c>
      <c r="G15" s="34"/>
      <c r="H15" s="33"/>
      <c r="I15" s="33"/>
      <c r="J15" s="40">
        <f>C37*'E Balans VL '!D15/100/3.6*1000000+C37*'E Balans VL '!E15/100/3.6*1000000</f>
        <v>4.243847054116844</v>
      </c>
      <c r="K15" s="33"/>
      <c r="L15" s="33"/>
      <c r="M15" s="33"/>
      <c r="N15" s="33">
        <f>C37*'E Balans VL '!Y15/100/3.6*1000000</f>
        <v>76.844034583554418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2166.9580383560528</v>
      </c>
      <c r="C18" s="21">
        <f>C5+C16</f>
        <v>0</v>
      </c>
      <c r="D18" s="21">
        <f>MAX((D5+D16),0)</f>
        <v>1831.2602657169309</v>
      </c>
      <c r="E18" s="21">
        <f>MAX((E5+E16),0)</f>
        <v>192.93681959088897</v>
      </c>
      <c r="F18" s="21">
        <f>MAX((F5+F16),0)</f>
        <v>857.32802290670202</v>
      </c>
      <c r="G18" s="21"/>
      <c r="H18" s="21"/>
      <c r="I18" s="21"/>
      <c r="J18" s="21">
        <f>MAX((J5+J16),0)</f>
        <v>4.2460602180473774</v>
      </c>
      <c r="K18" s="21"/>
      <c r="L18" s="21">
        <f>MAX((L5+L16),0)</f>
        <v>0</v>
      </c>
      <c r="M18" s="21"/>
      <c r="N18" s="21">
        <f>MAX((N5+N16),0)</f>
        <v>153.60217434643675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0.14931739947236583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323.564539053065</v>
      </c>
      <c r="C22" s="23">
        <f ca="1">C18*C20</f>
        <v>0</v>
      </c>
      <c r="D22" s="23">
        <f>D18*D20</f>
        <v>369.91457367482008</v>
      </c>
      <c r="E22" s="23">
        <f>E18*E20</f>
        <v>43.7966580471318</v>
      </c>
      <c r="F22" s="23">
        <f>F18*F20</f>
        <v>228.90658211608945</v>
      </c>
      <c r="G22" s="23"/>
      <c r="H22" s="23"/>
      <c r="I22" s="23"/>
      <c r="J22" s="23">
        <f>J18*J20</f>
        <v>1.5031053171887716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25.471041108683</v>
      </c>
      <c r="C30" s="39">
        <f>IF(ISERROR(B30*3.6/1000000/'E Balans VL '!Z18*100),0,B30*3.6/1000000/'E Balans VL '!Z18*100)</f>
        <v>2.5062854244527841E-3</v>
      </c>
      <c r="D30" s="235" t="s">
        <v>672</v>
      </c>
    </row>
    <row r="31" spans="1:18">
      <c r="A31" s="6" t="s">
        <v>32</v>
      </c>
      <c r="B31" s="37">
        <f>IF( ISERROR(IND_ander_ele_kWh/1000),0,IND_ander_ele_kWh/1000)</f>
        <v>318.41617984126998</v>
      </c>
      <c r="C31" s="39">
        <f>IF(ISERROR(B31*3.6/1000000/'E Balans VL '!Z19*100),0,B31*3.6/1000000/'E Balans VL '!Z19*100)</f>
        <v>1.3866770634002695E-2</v>
      </c>
      <c r="D31" s="235" t="s">
        <v>672</v>
      </c>
    </row>
    <row r="32" spans="1:18">
      <c r="A32" s="170" t="s">
        <v>40</v>
      </c>
      <c r="B32" s="37">
        <f>IF( ISERROR(IND_voed_ele_kWh/1000),0,IND_voed_ele_kWh/1000)</f>
        <v>167.29909330232999</v>
      </c>
      <c r="C32" s="39">
        <f>IF(ISERROR(B32*3.6/1000000/'E Balans VL '!Z20*100),0,B32*3.6/1000000/'E Balans VL '!Z20*100)</f>
        <v>3.1742590238719622E-2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1655.7717241037699</v>
      </c>
      <c r="C37" s="39">
        <f>IF(ISERROR(B37*3.6/1000000/'E Balans VL '!Z15*100),0,B37*3.6/1000000/'E Balans VL '!Z15*100)</f>
        <v>1.2759754841101791E-2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67.102961860024806</v>
      </c>
      <c r="C5" s="17">
        <f>'Eigen informatie GS &amp; warmtenet'!B60</f>
        <v>0</v>
      </c>
      <c r="D5" s="30">
        <f>IF(ISERROR(SUM(LB_lb_gas_kWh,LB_rest_gas_kWh)/1000),0,SUM(LB_lb_gas_kWh,LB_rest_gas_kWh)/1000)*0.902</f>
        <v>17.788914484834955</v>
      </c>
      <c r="E5" s="17">
        <f>B17*'E Balans VL '!I25/3.6*1000000/100</f>
        <v>0.8455837656274775</v>
      </c>
      <c r="F5" s="17">
        <f>B17*('E Balans VL '!L25/3.6*1000000+'E Balans VL '!N25/3.6*1000000)/100</f>
        <v>231.52202871348788</v>
      </c>
      <c r="G5" s="18"/>
      <c r="H5" s="17"/>
      <c r="I5" s="17"/>
      <c r="J5" s="17">
        <f>('E Balans VL '!D25+'E Balans VL '!E25)/3.6*1000000*landbouw!B17/100</f>
        <v>10.091522664199006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67.102961860024806</v>
      </c>
      <c r="C8" s="21">
        <f>C5+C6</f>
        <v>0</v>
      </c>
      <c r="D8" s="21">
        <f>MAX((D5+D6),0)</f>
        <v>17.788914484834955</v>
      </c>
      <c r="E8" s="21">
        <f>MAX((E5+E6),0)</f>
        <v>0.8455837656274775</v>
      </c>
      <c r="F8" s="21">
        <f>MAX((F5+F6),0)</f>
        <v>231.52202871348788</v>
      </c>
      <c r="G8" s="21"/>
      <c r="H8" s="21"/>
      <c r="I8" s="21"/>
      <c r="J8" s="21">
        <f>MAX((J5+J6),0)</f>
        <v>10.091522664199006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0.14931739947236583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10.019639761832252</v>
      </c>
      <c r="C12" s="23">
        <f ca="1">C8*C10</f>
        <v>0</v>
      </c>
      <c r="D12" s="23">
        <f>D8*D10</f>
        <v>3.5933607259366611</v>
      </c>
      <c r="E12" s="23">
        <f>E8*E10</f>
        <v>0.19194751479743741</v>
      </c>
      <c r="F12" s="23">
        <f>F8*F10</f>
        <v>61.816381666501272</v>
      </c>
      <c r="G12" s="23"/>
      <c r="H12" s="23"/>
      <c r="I12" s="23"/>
      <c r="J12" s="23">
        <f>J8*J10</f>
        <v>3.5723990231264482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9.3587482168813844E-3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30.894524095004147</v>
      </c>
      <c r="C26" s="245">
        <f>B26*'GWP N2O_CH4'!B5</f>
        <v>648.78500599508709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6.4773831114403375</v>
      </c>
      <c r="C27" s="245">
        <f>B27*'GWP N2O_CH4'!B5</f>
        <v>136.02504534024709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0.3343730952011299</v>
      </c>
      <c r="C28" s="245">
        <f>B28*'GWP N2O_CH4'!B4</f>
        <v>103.65565951235027</v>
      </c>
      <c r="D28" s="50"/>
    </row>
    <row r="29" spans="1:4">
      <c r="A29" s="41" t="s">
        <v>266</v>
      </c>
      <c r="B29" s="245">
        <f>B34*'ha_N2O bodem landbouw'!B4</f>
        <v>1.6738113877456551</v>
      </c>
      <c r="C29" s="245">
        <f>B29*'GWP N2O_CH4'!B4</f>
        <v>518.88153020115305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4.1793397832990011E-4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1.6232436811645631E-5</v>
      </c>
      <c r="C5" s="434" t="s">
        <v>204</v>
      </c>
      <c r="D5" s="419">
        <f>SUM(D6:D11)</f>
        <v>1.4432866156495131E-5</v>
      </c>
      <c r="E5" s="419">
        <f>SUM(E6:E11)</f>
        <v>5.1789752920534384E-4</v>
      </c>
      <c r="F5" s="432" t="s">
        <v>204</v>
      </c>
      <c r="G5" s="419">
        <f>SUM(G6:G11)</f>
        <v>0.19370502223993066</v>
      </c>
      <c r="H5" s="419">
        <f>SUM(H6:H11)</f>
        <v>2.4877170114707553E-2</v>
      </c>
      <c r="I5" s="434" t="s">
        <v>204</v>
      </c>
      <c r="J5" s="434" t="s">
        <v>204</v>
      </c>
      <c r="K5" s="434" t="s">
        <v>204</v>
      </c>
      <c r="L5" s="434" t="s">
        <v>204</v>
      </c>
      <c r="M5" s="419">
        <f>SUM(M6:M11)</f>
        <v>9.8799699144646886E-3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1.453195272203938E-5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1.2946245385866008E-5</v>
      </c>
      <c r="E6" s="873">
        <f>vkm_GW_PW*SUMIFS(TableVerdeelsleutelVkm[LPG],TableVerdeelsleutelVkm[Voertuigtype],"Lichte voertuigen")*SUMIFS(TableECFTransport[EnergieConsumptieFactor (PJ per km)],TableECFTransport[Index],CONCATENATE($A6,"_LPG_LPG"))</f>
        <v>4.6596557789557768E-4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9.1331768704235428E-2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2.2390748341261816E-2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5.1444161079378312E-3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5.8513492369744827E-7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9.1565416376646627E-2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2.0872090994834142E-6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4.1343196361290037E-3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9.8614683896694279E-7</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1.3852085452915562E-6</v>
      </c>
      <c r="E8" s="422">
        <f>vkm_NGW_PW*SUMIFS(TableVerdeelsleutelVkm[LPG],TableVerdeelsleutelVkm[Voertuigtype],"Lichte voertuigen")*SUMIFS(TableECFTransport[EnergieConsumptieFactor (PJ per km)],TableECFTransport[Index],CONCATENATE($A8,"_LPG_LPG"))</f>
        <v>4.744921964460357E-5</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8.7362756160983806E-3</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2.2998134845164621E-3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4.9929025057469912E-4</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4.0241016147735089E-9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8.0888064618599468E-4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1.7325880904615952E-8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3.6522156813943023E-5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1.2217138495750924E-7</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1.0141222533756714E-7</v>
      </c>
      <c r="E10" s="422">
        <f>vkm_SW_PW*SUMIFS(TableVerdeelsleutelVkm[LPG],TableVerdeelsleutelVkm[Voertuigtype],"Lichte voertuigen")*SUMIFS(TableECFTransport[EnergieConsumptieFactor (PJ per km)],TableECFTransport[Index],CONCATENATE($A10,"_LPG_LPG"))</f>
        <v>4.4827316651626221E-6</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8.1436584176836351E-4</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1.844927144146289E-4</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4.5179610102834487E-5</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3.0068403695779205E-9</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4.4831505499586726E-4</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1.1039534258491103E-8</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2.0242152906377061E-5</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4.5090102254571196</v>
      </c>
      <c r="C14" s="21"/>
      <c r="D14" s="21">
        <f t="shared" ref="D14:M14" si="0">((D5)*10^9/3600)+D12</f>
        <v>4.0091294879153141</v>
      </c>
      <c r="E14" s="21">
        <f t="shared" si="0"/>
        <v>143.86042477926219</v>
      </c>
      <c r="F14" s="21"/>
      <c r="G14" s="21">
        <f t="shared" si="0"/>
        <v>53806.950622202959</v>
      </c>
      <c r="H14" s="21">
        <f t="shared" si="0"/>
        <v>6910.325031863209</v>
      </c>
      <c r="I14" s="21"/>
      <c r="J14" s="21"/>
      <c r="K14" s="21"/>
      <c r="L14" s="21"/>
      <c r="M14" s="21">
        <f t="shared" si="0"/>
        <v>2744.4360873513024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0.14931739947236583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0.67327368105956309</v>
      </c>
      <c r="C18" s="23"/>
      <c r="D18" s="23">
        <f t="shared" ref="D18:M18" si="1">D14*D16</f>
        <v>0.80984415655889352</v>
      </c>
      <c r="E18" s="23">
        <f t="shared" si="1"/>
        <v>32.656316424892516</v>
      </c>
      <c r="F18" s="23"/>
      <c r="G18" s="23">
        <f t="shared" si="1"/>
        <v>14366.455816128191</v>
      </c>
      <c r="H18" s="23">
        <f t="shared" si="1"/>
        <v>1720.670932933939</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1.2465184054156971E-5</v>
      </c>
      <c r="C50" s="316">
        <f t="shared" ref="C50:P50" si="2">SUM(C51:C52)</f>
        <v>0</v>
      </c>
      <c r="D50" s="316">
        <f t="shared" si="2"/>
        <v>0</v>
      </c>
      <c r="E50" s="316">
        <f t="shared" si="2"/>
        <v>0</v>
      </c>
      <c r="F50" s="316">
        <f t="shared" si="2"/>
        <v>0</v>
      </c>
      <c r="G50" s="316">
        <f t="shared" si="2"/>
        <v>2.4262774844856275E-3</v>
      </c>
      <c r="H50" s="316">
        <f t="shared" si="2"/>
        <v>0</v>
      </c>
      <c r="I50" s="316">
        <f t="shared" si="2"/>
        <v>0</v>
      </c>
      <c r="J50" s="316">
        <f t="shared" si="2"/>
        <v>0</v>
      </c>
      <c r="K50" s="316">
        <f t="shared" si="2"/>
        <v>0</v>
      </c>
      <c r="L50" s="316">
        <f t="shared" si="2"/>
        <v>0</v>
      </c>
      <c r="M50" s="316">
        <f t="shared" si="2"/>
        <v>1.0879632108395307E-4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1.2465184054156971E-5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2.4262774844856275E-3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1.0879632108395307E-4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3.4625511261547142</v>
      </c>
      <c r="C54" s="21">
        <f t="shared" ref="C54:P54" si="3">(C50)*10^9/3600</f>
        <v>0</v>
      </c>
      <c r="D54" s="21">
        <f t="shared" si="3"/>
        <v>0</v>
      </c>
      <c r="E54" s="21">
        <f t="shared" si="3"/>
        <v>0</v>
      </c>
      <c r="F54" s="21">
        <f t="shared" si="3"/>
        <v>0</v>
      </c>
      <c r="G54" s="21">
        <f t="shared" si="3"/>
        <v>673.96596791267439</v>
      </c>
      <c r="H54" s="21">
        <f t="shared" si="3"/>
        <v>0</v>
      </c>
      <c r="I54" s="21">
        <f t="shared" si="3"/>
        <v>0</v>
      </c>
      <c r="J54" s="21">
        <f t="shared" si="3"/>
        <v>0</v>
      </c>
      <c r="K54" s="21">
        <f t="shared" si="3"/>
        <v>0</v>
      </c>
      <c r="L54" s="21">
        <f t="shared" si="3"/>
        <v>0</v>
      </c>
      <c r="M54" s="21">
        <f t="shared" si="3"/>
        <v>30.221200301098072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0.14931739947236583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0.51701912969753361</v>
      </c>
      <c r="C58" s="23">
        <f t="shared" ref="C58:P58" ca="1" si="4">C54*C56</f>
        <v>0</v>
      </c>
      <c r="D58" s="23">
        <f t="shared" si="4"/>
        <v>0</v>
      </c>
      <c r="E58" s="23">
        <f t="shared" si="4"/>
        <v>0</v>
      </c>
      <c r="F58" s="23">
        <f t="shared" si="4"/>
        <v>0</v>
      </c>
      <c r="G58" s="23">
        <f t="shared" si="4"/>
        <v>179.94891343268407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8280.6954879999994</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1678.1219816962116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9958.8174696962105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2021-11-11T13:18:25Z</dcterms:modified>
</cp:coreProperties>
</file>