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6EF0C92C-7987-496A-A475-BFAF26A6249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B8" i="18" s="1"/>
  <c r="M31" i="18"/>
  <c r="G22" i="18"/>
  <c r="F22" i="18"/>
  <c r="E22" i="18"/>
  <c r="D22" i="18"/>
  <c r="C22" i="18"/>
  <c r="L20" i="18"/>
  <c r="D20" i="18"/>
  <c r="G12" i="18"/>
  <c r="F12" i="18"/>
  <c r="E12" i="18"/>
  <c r="D12" i="18"/>
  <c r="C12" i="18"/>
  <c r="L10" i="18"/>
  <c r="K10" i="18"/>
  <c r="G10" i="18"/>
  <c r="D10" i="18"/>
  <c r="B6" i="18"/>
  <c r="B5" i="18"/>
  <c r="B4" i="18"/>
  <c r="J9" i="18" l="1"/>
  <c r="F20" i="18"/>
  <c r="B17" i="18"/>
  <c r="B20" i="18" s="1"/>
  <c r="I51" i="18"/>
  <c r="H17" i="18" s="1"/>
  <c r="G51" i="18"/>
  <c r="F51" i="18"/>
  <c r="C51" i="18"/>
  <c r="B51" i="18"/>
  <c r="C17" i="18" s="1"/>
  <c r="C20" i="18" s="1"/>
  <c r="C47" i="18"/>
  <c r="O18" i="18"/>
  <c r="H20" i="18"/>
  <c r="G20" i="18"/>
  <c r="K20" i="18"/>
  <c r="B10" i="18"/>
  <c r="O19" i="18"/>
  <c r="O9" i="18"/>
  <c r="D51" i="18"/>
  <c r="H51" i="18"/>
  <c r="E50" i="18"/>
  <c r="E8" i="18" s="1"/>
  <c r="E10" i="18" s="1"/>
  <c r="E51" i="18"/>
  <c r="E17" i="18" s="1"/>
  <c r="E20" i="18" s="1"/>
  <c r="N6" i="17"/>
  <c r="I17" i="18" l="1"/>
  <c r="I20" i="18" s="1"/>
  <c r="I50" i="18"/>
  <c r="H8" i="18" s="1"/>
  <c r="H10" i="18" s="1"/>
  <c r="G50" i="18"/>
  <c r="F50" i="18"/>
  <c r="D50" i="18"/>
  <c r="C50" i="18"/>
  <c r="B50" i="18"/>
  <c r="C8" i="18" s="1"/>
  <c r="C10" i="18" s="1"/>
  <c r="H50"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Q54" i="14"/>
  <c r="P54" i="14"/>
  <c r="P56" i="14" s="1"/>
  <c r="L54" i="14"/>
  <c r="J54" i="14"/>
  <c r="J56" i="14" s="1"/>
  <c r="I54" i="14"/>
  <c r="I56" i="14" s="1"/>
  <c r="H54" i="14"/>
  <c r="H56" i="14" s="1"/>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R44" i="14"/>
  <c r="Q26" i="14"/>
  <c r="I26" i="14"/>
  <c r="E25" i="14"/>
  <c r="E55" i="14" s="1"/>
  <c r="C25" i="14"/>
  <c r="B14" i="48" s="1"/>
  <c r="P26" i="14"/>
  <c r="N26" i="14"/>
  <c r="J26" i="14"/>
  <c r="H26" i="14"/>
  <c r="P25" i="48"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3"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<sst xmlns="http://schemas.openxmlformats.org/spreadsheetml/2006/main" count="2526" uniqueCount="930">
  <si>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</si>
  <si>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</si>
  <si>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</si>
  <si>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</si>
  <si>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</si>
  <si>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</si>
  <si>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</si>
  <si>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</si>
  <si>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</si>
  <si>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</si>
  <si>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</si>
  <si>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</si>
  <si>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</si>
  <si>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</si>
  <si>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</si>
  <si>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</si>
  <si>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</si>
  <si>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</si>
  <si>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</si>
  <si>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</si>
  <si>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</si>
  <si>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</si>
  <si>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</si>
  <si>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</si>
  <si>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</si>
  <si>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</si>
  <si>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</si>
  <si>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</si>
  <si>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</si>
  <si>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</si>
  <si>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</si>
  <si>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</si>
  <si>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</si>
  <si>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</si>
  <si>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</si>
  <si>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</si>
  <si>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</si>
  <si>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</si>
  <si>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</si>
  <si>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</si>
  <si>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</si>
  <si>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</si>
  <si>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</si>
  <si>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</si>
  <si>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</si>
  <si>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</si>
  <si>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</si>
  <si>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</si>
  <si>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</si>
  <si>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</si>
  <si>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</si>
  <si>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</si>
  <si>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</si>
  <si>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</si>
  <si>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</si>
  <si>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</si>
  <si>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</si>
  <si>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</si>
  <si>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</si>
  <si>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</si>
  <si>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</si>
  <si>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</si>
  <si>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</si>
  <si>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</si>
  <si>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</si>
  <si>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</si>
  <si>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</si>
  <si>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</si>
  <si>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</si>
  <si>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</si>
  <si>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</si>
  <si>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</si>
  <si>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</si>
  <si>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</si>
  <si>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</si>
  <si>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</si>
  <si>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</si>
  <si>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</si>
  <si>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</si>
  <si>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</si>
  <si>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</si>
  <si>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</si>
  <si>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</si>
  <si>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</si>
  <si>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</si>
  <si>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</si>
  <si>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</si>
  <si>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</si>
  <si>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</si>
  <si>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</si>
  <si>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</si>
  <si>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</si>
  <si>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</si>
  <si>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</si>
  <si>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</si>
  <si>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</si>
  <si>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</si>
  <si>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</si>
  <si>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</si>
  <si>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</si>
  <si>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</si>
  <si>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</si>
  <si>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</si>
  <si>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</si>
  <si>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</si>
  <si>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</si>
  <si>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</si>
  <si>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</si>
  <si>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</si>
  <si>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</si>
  <si>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</si>
  <si>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</si>
  <si>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</si>
  <si>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</si>
  <si>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</si>
  <si>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</si>
  <si>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</si>
  <si>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</si>
  <si>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</si>
  <si>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</si>
  <si>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</si>
  <si>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</si>
  <si>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</si>
  <si>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</si>
  <si>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</si>
  <si>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</si>
  <si>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</si>
  <si>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</si>
  <si>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</si>
  <si>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</si>
  <si>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</si>
  <si>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</si>
  <si>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</si>
  <si>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</si>
  <si>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</si>
  <si>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</si>
  <si>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</si>
  <si>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</si>
  <si>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</si>
  <si>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</si>
  <si>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</si>
  <si>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</si>
  <si>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</si>
  <si>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</si>
  <si>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</si>
  <si>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</si>
  <si>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</si>
  <si>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</si>
  <si>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</si>
  <si>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</si>
  <si>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</si>
  <si>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</si>
  <si>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</si>
  <si>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</si>
  <si>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</si>
  <si>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</si>
  <si>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</si>
  <si>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</si>
  <si>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</si>
  <si>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</si>
  <si>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</si>
  <si>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</si>
  <si>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</si>
  <si>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</si>
  <si>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</si>
  <si>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</si>
  <si>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</si>
  <si>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</si>
  <si>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</si>
  <si>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</si>
  <si>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</si>
  <si>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</si>
  <si>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</si>
  <si>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</si>
  <si>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</si>
  <si>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</si>
  <si>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</si>
  <si>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</si>
  <si>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</si>
  <si>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</si>
  <si>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</si>
  <si>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</si>
  <si>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</si>
  <si>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</si>
  <si>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</si>
  <si>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</si>
  <si>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</si>
  <si>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</si>
  <si>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</si>
  <si>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</si>
  <si>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</si>
  <si>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</si>
  <si>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</si>
  <si>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</si>
  <si>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</si>
  <si>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</si>
  <si>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</si>
  <si>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</si>
  <si>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</si>
  <si>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</si>
  <si>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</si>
  <si>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</si>
  <si>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</si>
  <si>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</si>
  <si>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</si>
  <si>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</si>
  <si>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</si>
  <si>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</si>
  <si>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</si>
  <si>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</si>
  <si>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</si>
  <si>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</si>
  <si>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</si>
  <si>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</si>
  <si>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</si>
  <si>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</si>
  <si>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</si>
  <si>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</si>
  <si>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</si>
  <si>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</si>
  <si>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</si>
  <si>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</si>
  <si>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</si>
  <si>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</si>
  <si>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</si>
  <si>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</si>
  <si>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</si>
  <si>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</si>
  <si>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</si>
  <si>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</si>
  <si>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</si>
  <si>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</si>
  <si>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</si>
  <si>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</si>
  <si>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</si>
  <si>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</si>
  <si>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</si>
  <si>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</si>
  <si>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</si>
  <si>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</si>
  <si>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</si>
  <si>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</si>
  <si>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</si>
  <si>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</si>
  <si>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</si>
  <si>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</si>
  <si>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</si>
  <si>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</si>
  <si>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</si>
  <si>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</si>
  <si>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</si>
  <si>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</si>
  <si>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</si>
  <si>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</si>
  <si>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</si>
  <si>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</si>
  <si>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</si>
  <si>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</si>
  <si>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</si>
  <si>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</si>
  <si>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</si>
  <si>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</si>
  <si>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</si>
  <si>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</si>
  <si>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</si>
  <si>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</si>
  <si>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</si>
  <si>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</si>
  <si>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</si>
  <si>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</si>
  <si>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</si>
  <si>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</si>
  <si>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</si>
  <si>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</si>
  <si>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</si>
  <si>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</si>
  <si>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</si>
  <si>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</si>
  <si>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</si>
  <si>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</si>
  <si>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</si>
  <si>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</si>
  <si>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</si>
  <si>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</si>
  <si>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</si>
  <si>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</si>
  <si>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</si>
  <si>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</si>
  <si>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</si>
  <si>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</si>
  <si>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</si>
  <si>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</si>
  <si>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</si>
  <si>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</si>
  <si>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</si>
  <si>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</si>
  <si>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</si>
  <si>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</si>
  <si>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</si>
  <si>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</si>
  <si>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</si>
  <si>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</si>
  <si>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</si>
  <si>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</si>
  <si>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</si>
  <si>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</si>
  <si>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</si>
  <si>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</si>
  <si>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</si>
  <si>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</si>
  <si>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</si>
  <si>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</si>
  <si>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</si>
  <si>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</si>
  <si>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</si>
  <si>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</si>
  <si>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</si>
  <si>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</si>
  <si>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</si>
  <si>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</si>
  <si>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</si>
  <si>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</si>
  <si>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</si>
  <si>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</si>
  <si>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</si>
  <si>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</si>
  <si>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</si>
  <si>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</si>
  <si>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</si>
  <si>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</si>
  <si>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</si>
  <si>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</si>
  <si>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</si>
  <si>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</si>
  <si>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</si>
  <si>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</si>
  <si>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</si>
  <si>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</si>
  <si>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</si>
  <si>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</si>
  <si>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</si>
  <si>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</si>
  <si>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</si>
  <si>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</si>
  <si>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</si>
  <si>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</si>
  <si>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</si>
  <si>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</si>
  <si>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</si>
  <si>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</si>
  <si>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</si>
  <si>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</si>
  <si>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</si>
  <si>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</si>
  <si>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</si>
  <si>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</si>
  <si>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</si>
  <si>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</si>
  <si>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</si>
  <si>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</si>
  <si>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</si>
  <si>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</si>
  <si>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</si>
  <si>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</si>
  <si>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</si>
  <si>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</si>
  <si>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</si>
  <si>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</si>
  <si>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</si>
  <si>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</si>
  <si>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</si>
  <si>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</si>
  <si>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</si>
  <si>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</si>
  <si>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</si>
  <si>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</si>
  <si>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</si>
  <si>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</si>
  <si>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</si>
  <si>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</si>
  <si>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</si>
  <si>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</si>
  <si>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</si>
  <si>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</si>
  <si>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</si>
  <si>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</si>
  <si>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</si>
  <si>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</si>
  <si>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</si>
  <si>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</si>
  <si>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</si>
  <si>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</si>
  <si>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</si>
  <si>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</si>
  <si>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</si>
  <si>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</si>
  <si>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</si>
  <si>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</si>
  <si>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</si>
  <si>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</si>
  <si>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</si>
  <si>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</si>
  <si>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</si>
  <si>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</si>
  <si>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</si>
  <si>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</si>
  <si>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</si>
  <si>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</si>
  <si>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</si>
  <si>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</si>
  <si>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</si>
  <si>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</si>
  <si>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</si>
  <si>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</si>
  <si>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</si>
  <si>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</si>
  <si>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</si>
  <si>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</si>
  <si>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</si>
  <si>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</si>
  <si>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</si>
  <si>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</si>
  <si>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</si>
  <si>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</si>
  <si>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</si>
  <si>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</si>
  <si>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</si>
  <si>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</si>
  <si>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</si>
  <si>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</si>
  <si>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</si>
  <si>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</si>
  <si>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</si>
  <si>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</si>
  <si>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</si>
  <si>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</si>
  <si>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</si>
  <si>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</si>
  <si>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</si>
  <si>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</si>
  <si>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</si>
  <si>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</si>
  <si>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</si>
  <si>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</si>
  <si>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</si>
  <si>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</si>
  <si>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</si>
  <si>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</si>
  <si>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</si>
  <si>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</si>
  <si>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</si>
  <si>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</si>
  <si>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</si>
  <si>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</si>
  <si>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</si>
  <si>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</si>
  <si>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</si>
  <si>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</si>
  <si>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</si>
  <si>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</si>
  <si>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</si>
  <si>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</si>
  <si>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</si>
  <si>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</si>
  <si>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</si>
  <si>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</si>
  <si>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</si>
  <si>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</si>
  <si>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</si>
  <si>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</si>
  <si>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</si>
  <si>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</si>
  <si>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</si>
  <si>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</si>
  <si>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</si>
  <si>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</si>
  <si>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</si>
  <si>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</si>
  <si>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</si>
  <si>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</si>
  <si>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</si>
  <si>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</si>
  <si>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</si>
  <si>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</si>
  <si>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</si>
  <si>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</si>
  <si>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</si>
  <si>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</si>
  <si>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</si>
  <si>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</si>
  <si>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</si>
  <si>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</si>
  <si>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</si>
  <si>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</si>
  <si>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</si>
  <si>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</si>
  <si>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</si>
  <si>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</si>
  <si>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</si>
  <si>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</si>
  <si>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</si>
  <si>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</si>
  <si>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</si>
  <si>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</si>
  <si>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</si>
  <si>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</si>
  <si>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</si>
  <si>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</si>
  <si>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</si>
  <si>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</si>
  <si>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</si>
  <si>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</si>
  <si>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</si>
  <si>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</si>
  <si>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</si>
  <si>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</si>
  <si>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</si>
  <si>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</si>
  <si>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</si>
  <si>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</si>
  <si>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</si>
  <si>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</si>
  <si>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</si>
  <si>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</si>
  <si>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</si>
  <si>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</si>
  <si>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</si>
  <si>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</si>
  <si>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</si>
  <si>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</si>
  <si>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</si>
  <si>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</si>
  <si>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</si>
  <si>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</si>
  <si>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</si>
  <si>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</si>
  <si>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</si>
  <si>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</si>
  <si>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</si>
  <si>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</si>
  <si>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</si>
  <si>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</si>
  <si>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</si>
  <si>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</si>
  <si>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</si>
  <si>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</si>
  <si>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</si>
  <si>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</si>
  <si>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</si>
  <si>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</si>
  <si>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</si>
  <si>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</si>
  <si>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</si>
  <si>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</si>
  <si>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</si>
  <si>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</si>
  <si>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</si>
  <si>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</si>
  <si>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</si>
  <si>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</si>
  <si>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</si>
  <si>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</si>
  <si>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</si>
  <si>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</si>
  <si>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</si>
  <si>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</si>
  <si>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</si>
  <si>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</si>
  <si>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</si>
  <si>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</si>
  <si>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</si>
  <si>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</si>
  <si>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</si>
  <si>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</si>
  <si>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</si>
  <si>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</si>
  <si>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</si>
  <si>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</si>
  <si>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</si>
  <si>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</si>
  <si>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</si>
  <si>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</si>
  <si>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</si>
  <si>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</si>
  <si>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</si>
  <si>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</si>
  <si>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</si>
  <si>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</si>
  <si>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</si>
  <si>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</si>
  <si>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</si>
  <si>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</si>
  <si>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</si>
  <si>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</si>
  <si>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</si>
  <si>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</si>
  <si>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</si>
  <si>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</si>
  <si>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</si>
  <si>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</si>
  <si>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</si>
  <si>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</si>
  <si>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</si>
  <si>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</si>
  <si>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</si>
  <si>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</si>
  <si>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</si>
  <si>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</si>
  <si>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</si>
  <si>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</si>
  <si>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</si>
  <si>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</si>
  <si>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</si>
  <si>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</si>
  <si>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</si>
  <si>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</si>
  <si>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</si>
  <si>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</si>
  <si>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</si>
  <si>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</si>
  <si>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</si>
  <si>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</si>
  <si>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</si>
  <si>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</si>
  <si>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</si>
  <si>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</si>
  <si>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</si>
  <si>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</si>
  <si>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</si>
  <si>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</si>
  <si>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</si>
  <si>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</si>
  <si>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</si>
  <si>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</si>
  <si>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</si>
  <si>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</si>
  <si>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</si>
  <si>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</si>
  <si>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</si>
  <si>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</si>
  <si>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</si>
  <si>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</si>
  <si>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</si>
  <si>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</si>
  <si>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</si>
  <si>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</si>
  <si>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</si>
  <si>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</si>
  <si>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</si>
  <si>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</si>
  <si>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</si>
  <si>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</si>
  <si>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</si>
  <si>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</si>
  <si>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</si>
  <si>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</si>
  <si>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</si>
  <si>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</si>
  <si>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</si>
  <si>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</si>
  <si>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</si>
  <si>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</si>
  <si>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</si>
  <si>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</si>
  <si>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</si>
  <si>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</si>
  <si>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</si>
  <si>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</si>
  <si>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</si>
  <si>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</si>
  <si>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</si>
  <si>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</si>
  <si>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</si>
  <si>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</si>
  <si>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</si>
  <si>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</si>
  <si>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</si>
  <si>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</si>
  <si>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</si>
  <si>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</si>
  <si>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</si>
  <si>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</si>
  <si>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</si>
  <si>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</si>
  <si>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</si>
  <si>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</si>
  <si>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</si>
  <si>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</si>
  <si>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</si>
  <si>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</si>
  <si>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</si>
  <si>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</si>
  <si>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</si>
  <si>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</si>
  <si>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</si>
  <si>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</si>
  <si>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</si>
  <si>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</si>
  <si>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</si>
  <si>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</si>
  <si>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</si>
  <si>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</si>
  <si>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</si>
  <si>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</si>
  <si>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</si>
  <si>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</si>
  <si>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</si>
  <si>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</si>
  <si>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</si>
  <si>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</si>
  <si>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</si>
  <si>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</si>
  <si>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</si>
  <si>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</si>
  <si>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</si>
  <si>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</si>
  <si>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</si>
  <si>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</si>
  <si>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</si>
  <si>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</si>
  <si>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</si>
  <si>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</si>
  <si>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</si>
  <si>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</si>
  <si>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</si>
  <si>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</si>
  <si>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</si>
  <si>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</si>
  <si>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</si>
  <si>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</si>
  <si>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</si>
  <si>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</si>
  <si>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</si>
  <si>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</si>
  <si>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</si>
  <si>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</si>
  <si>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</si>
  <si>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</si>
  <si>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</si>
  <si>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</si>
  <si>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</si>
  <si>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</si>
  <si>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</si>
  <si>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</si>
  <si>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</si>
  <si>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</si>
  <si>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</si>
  <si>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</si>
  <si>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</si>
  <si>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</si>
  <si>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</si>
  <si>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</si>
  <si>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</si>
  <si>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</si>
  <si>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</si>
  <si>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</si>
  <si>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</si>
  <si>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</si>
  <si>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</si>
  <si>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</si>
  <si>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</si>
  <si>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</si>
  <si>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</si>
  <si>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</si>
  <si>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</si>
  <si>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</si>
  <si>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</si>
  <si>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</si>
  <si>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</si>
  <si>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</si>
  <si>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</si>
  <si>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</si>
  <si>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</si>
  <si>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</si>
  <si>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</si>
  <si>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</si>
  <si>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</si>
  <si>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</si>
  <si>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</si>
  <si>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</si>
  <si>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</si>
  <si>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</si>
  <si>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</si>
  <si>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</si>
  <si>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</si>
  <si>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</si>
  <si>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</si>
  <si>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</si>
  <si>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</si>
  <si>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</si>
  <si>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</si>
  <si>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</si>
  <si>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</si>
  <si>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</si>
  <si>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</si>
  <si>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</si>
  <si>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</si>
  <si>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</si>
  <si>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</si>
  <si>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</si>
  <si>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</si>
  <si>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</si>
  <si>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</si>
  <si>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</si>
  <si>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</si>
  <si>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</si>
  <si>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</si>
  <si>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</si>
  <si>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</si>
  <si>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</si>
  <si>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</si>
  <si>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</si>
  <si>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</si>
  <si>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</si>
  <si>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</si>
  <si>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</si>
  <si>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</si>
  <si>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</si>
  <si>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</si>
  <si>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</si>
  <si>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</si>
  <si>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</si>
  <si>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</si>
  <si>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</si>
  <si>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</si>
  <si>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</si>
  <si>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</si>
  <si>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</si>
  <si>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</si>
  <si>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</si>
  <si>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</si>
  <si>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</si>
  <si>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</si>
  <si>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</si>
  <si>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</si>
  <si>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</si>
  <si>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</si>
  <si>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</si>
  <si>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</si>
  <si>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</si>
  <si>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</si>
  <si>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</si>
  <si>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</si>
  <si>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</si>
  <si>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</si>
  <si>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</si>
  <si>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</si>
  <si>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</si>
  <si>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</si>
  <si>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</si>
  <si>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</si>
  <si>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</si>
  <si>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</si>
  <si>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</si>
  <si>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</si>
  <si>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</si>
  <si>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</si>
  <si>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</si>
  <si>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</si>
  <si>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</si>
  <si>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</si>
  <si>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</si>
  <si>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</si>
  <si>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</si>
  <si>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</si>
  <si>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</si>
  <si>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</si>
  <si>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</si>
  <si>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</si>
  <si>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</si>
  <si>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</si>
  <si>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</si>
  <si>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</si>
  <si>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</si>
  <si>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</si>
  <si>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</si>
  <si>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</si>
  <si>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</si>
  <si>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</si>
  <si>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</si>
  <si>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</si>
  <si>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</si>
  <si>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</si>
  <si>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</si>
  <si>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</si>
  <si>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</si>
  <si>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</si>
  <si>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</si>
  <si>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</si>
  <si>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</si>
  <si>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</si>
  <si>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</si>
  <si>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</si>
  <si>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</si>
  <si>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</si>
  <si>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</si>
  <si>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</si>
  <si>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</si>
  <si>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</si>
  <si>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</si>
  <si>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</si>
  <si>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</si>
  <si>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</si>
  <si>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</si>
  <si>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</si>
  <si>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</si>
  <si>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</si>
  <si>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</si>
  <si>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</si>
  <si>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</si>
  <si>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</si>
  <si>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</si>
  <si>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</si>
  <si>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</si>
  <si>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</si>
  <si>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</si>
  <si>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</si>
  <si>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</si>
  <si>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</si>
  <si>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11022</t>
  </si>
  <si>
    <t>KALMTHOUT</t>
  </si>
  <si>
    <t>Cultuurgrond (ha)</t>
  </si>
  <si>
    <t>Paarden&amp;pony's 200 - 600 kg</t>
  </si>
  <si>
    <t>Paarden&amp;pony's &lt; 200 kg</t>
  </si>
  <si>
    <t>Fluvius</t>
  </si>
  <si>
    <t>referentietaak LNE (2017); Jaarverslag De Lijn</t>
  </si>
  <si>
    <t>interne verbrandingsmotor</t>
  </si>
  <si>
    <t>WKK interne verbrandinsgmotor (gas)</t>
  </si>
  <si>
    <t>IVEKA</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</si>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</sst>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3EDC5B67-E3EF-4A0B-860B-0F604926DE2B}"/>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199401.72479841232</c:v>
                </c:pt>
                <c:pt idx="1">
                  <c:v>54715.024193675941</c:v>
                </c:pt>
                <c:pt idx="2">
                  <c:v>1081.405</c:v>
                </c:pt>
                <c:pt idx="3">
                  <c:v>35212.058815469354</c:v>
                </c:pt>
                <c:pt idx="4">
                  <c:v>50697.662884694</c:v>
                </c:pt>
                <c:pt idx="5">
                  <c:v>75068.908494567004</c:v>
                </c:pt>
                <c:pt idx="6">
                  <c:v>994.62919637437892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199401.72479841232</c:v>
                </c:pt>
                <c:pt idx="1">
                  <c:v>54715.024193675941</c:v>
                </c:pt>
                <c:pt idx="2">
                  <c:v>1081.405</c:v>
                </c:pt>
                <c:pt idx="3">
                  <c:v>35212.058815469354</c:v>
                </c:pt>
                <c:pt idx="4">
                  <c:v>50697.662884694</c:v>
                </c:pt>
                <c:pt idx="5">
                  <c:v>75068.908494567004</c:v>
                </c:pt>
                <c:pt idx="6">
                  <c:v>994.62919637437892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39569.58909203361</c:v>
                </c:pt>
                <c:pt idx="2">
                  <c:v>10444.382005215832</c:v>
                </c:pt>
                <c:pt idx="3">
                  <c:v>191.90559108438362</c:v>
                </c:pt>
                <c:pt idx="4">
                  <c:v>8253.0554956491069</c:v>
                </c:pt>
                <c:pt idx="5">
                  <c:v>10276.221896878851</c:v>
                </c:pt>
                <c:pt idx="6">
                  <c:v>18965.098403186887</c:v>
                </c:pt>
                <c:pt idx="7">
                  <c:v>253.78884592608924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39569.58909203361</c:v>
                </c:pt>
                <c:pt idx="2">
                  <c:v>10444.382005215832</c:v>
                </c:pt>
                <c:pt idx="3">
                  <c:v>191.90559108438362</c:v>
                </c:pt>
                <c:pt idx="4">
                  <c:v>8253.0554956491069</c:v>
                </c:pt>
                <c:pt idx="5">
                  <c:v>10276.221896878851</c:v>
                </c:pt>
                <c:pt idx="6">
                  <c:v>18965.098403186887</c:v>
                </c:pt>
                <c:pt idx="7">
                  <c:v>253.78884592608924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11022</v>
      </c>
      <c r="B6" s="385"/>
      <c r="C6" s="386"/>
    </row>
    <row r="7" spans="1:7" s="383" customFormat="1" ht="15.75" customHeight="1">
      <c r="A7" s="387" t="str">
        <f>txtMunicipality</f>
        <v>KALMTHOUT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19963.171335046827</v>
      </c>
      <c r="D10" s="676">
        <f ca="1">tertiair!C16</f>
        <v>0</v>
      </c>
      <c r="E10" s="676">
        <f ca="1">tertiair!D16</f>
        <v>29754.240052439163</v>
      </c>
      <c r="F10" s="676">
        <f>tertiair!E16</f>
        <v>252.65778774083549</v>
      </c>
      <c r="G10" s="676">
        <f ca="1">tertiair!F16</f>
        <v>3842.4096455824879</v>
      </c>
      <c r="H10" s="676">
        <f>tertiair!G16</f>
        <v>0</v>
      </c>
      <c r="I10" s="676">
        <f>tertiair!H16</f>
        <v>0</v>
      </c>
      <c r="J10" s="676">
        <f>tertiair!I16</f>
        <v>0</v>
      </c>
      <c r="K10" s="676">
        <f>tertiair!J16</f>
        <v>0</v>
      </c>
      <c r="L10" s="676">
        <f>tertiair!K16</f>
        <v>0</v>
      </c>
      <c r="M10" s="676">
        <f ca="1">tertiair!L16</f>
        <v>0</v>
      </c>
      <c r="N10" s="676">
        <f>tertiair!M16</f>
        <v>0</v>
      </c>
      <c r="O10" s="676">
        <f ca="1">tertiair!N16</f>
        <v>1907.6837061999536</v>
      </c>
      <c r="P10" s="676">
        <f>tertiair!O16</f>
        <v>0</v>
      </c>
      <c r="Q10" s="677">
        <f>tertiair!P16</f>
        <v>76.266666666666666</v>
      </c>
      <c r="R10" s="679">
        <f ca="1">SUM(C10:Q10)</f>
        <v>55796.42919367594</v>
      </c>
      <c r="S10" s="67"/>
    </row>
    <row r="11" spans="1:19" s="444" customFormat="1">
      <c r="A11" s="791" t="s">
        <v>214</v>
      </c>
      <c r="B11" s="796"/>
      <c r="C11" s="676">
        <f>huishoudens!B8</f>
        <v>36440.610564401773</v>
      </c>
      <c r="D11" s="676">
        <f>huishoudens!C8</f>
        <v>0</v>
      </c>
      <c r="E11" s="676">
        <f>huishoudens!D8</f>
        <v>112758.18950077151</v>
      </c>
      <c r="F11" s="676">
        <f>huishoudens!E8</f>
        <v>1198.6017150310456</v>
      </c>
      <c r="G11" s="676">
        <f>huishoudens!F8</f>
        <v>36731.716203988901</v>
      </c>
      <c r="H11" s="676">
        <f>huishoudens!G8</f>
        <v>0</v>
      </c>
      <c r="I11" s="676">
        <f>huishoudens!H8</f>
        <v>0</v>
      </c>
      <c r="J11" s="676">
        <f>huishoudens!I8</f>
        <v>0</v>
      </c>
      <c r="K11" s="676">
        <f>huishoudens!J8</f>
        <v>695.62556565105058</v>
      </c>
      <c r="L11" s="676">
        <f>huishoudens!K8</f>
        <v>0</v>
      </c>
      <c r="M11" s="676">
        <f>huishoudens!L8</f>
        <v>0</v>
      </c>
      <c r="N11" s="676">
        <f>huishoudens!M8</f>
        <v>0</v>
      </c>
      <c r="O11" s="676">
        <f>huishoudens!N8</f>
        <v>10820.507915234723</v>
      </c>
      <c r="P11" s="676">
        <f>huishoudens!O8</f>
        <v>184.47333333333336</v>
      </c>
      <c r="Q11" s="677">
        <f>huishoudens!P8</f>
        <v>572</v>
      </c>
      <c r="R11" s="679">
        <f>SUM(C11:Q11)</f>
        <v>199401.72479841232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16053.926312213225</v>
      </c>
      <c r="D13" s="676">
        <f>industrie!C18</f>
        <v>0</v>
      </c>
      <c r="E13" s="676">
        <f>industrie!D18</f>
        <v>15369.832976548158</v>
      </c>
      <c r="F13" s="676">
        <f>industrie!E18</f>
        <v>1442.4933408945435</v>
      </c>
      <c r="G13" s="676">
        <f>industrie!F18</f>
        <v>14946.032659820274</v>
      </c>
      <c r="H13" s="676">
        <f>industrie!G18</f>
        <v>0</v>
      </c>
      <c r="I13" s="676">
        <f>industrie!H18</f>
        <v>0</v>
      </c>
      <c r="J13" s="676">
        <f>industrie!I18</f>
        <v>0</v>
      </c>
      <c r="K13" s="676">
        <f>industrie!J18</f>
        <v>12.873399522165297</v>
      </c>
      <c r="L13" s="676">
        <f>industrie!K18</f>
        <v>0</v>
      </c>
      <c r="M13" s="676">
        <f>industrie!L18</f>
        <v>0</v>
      </c>
      <c r="N13" s="676">
        <f>industrie!M18</f>
        <v>0</v>
      </c>
      <c r="O13" s="676">
        <f>industrie!N18</f>
        <v>2872.504195695642</v>
      </c>
      <c r="P13" s="676">
        <f>industrie!O18</f>
        <v>0</v>
      </c>
      <c r="Q13" s="677">
        <f>industrie!P18</f>
        <v>0</v>
      </c>
      <c r="R13" s="679">
        <f>SUM(C13:Q13)</f>
        <v>50697.662884694</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72457.708211661826</v>
      </c>
      <c r="D16" s="711">
        <f t="shared" ref="D16:R16" ca="1" si="0">SUM(D9:D15)</f>
        <v>0</v>
      </c>
      <c r="E16" s="711">
        <f t="shared" ca="1" si="0"/>
        <v>157882.26252975882</v>
      </c>
      <c r="F16" s="711">
        <f t="shared" si="0"/>
        <v>2893.7528436664247</v>
      </c>
      <c r="G16" s="711">
        <f t="shared" ca="1" si="0"/>
        <v>55520.158509391666</v>
      </c>
      <c r="H16" s="711">
        <f t="shared" si="0"/>
        <v>0</v>
      </c>
      <c r="I16" s="711">
        <f t="shared" si="0"/>
        <v>0</v>
      </c>
      <c r="J16" s="711">
        <f t="shared" si="0"/>
        <v>0</v>
      </c>
      <c r="K16" s="711">
        <f t="shared" si="0"/>
        <v>708.49896517321588</v>
      </c>
      <c r="L16" s="711">
        <f t="shared" si="0"/>
        <v>0</v>
      </c>
      <c r="M16" s="711">
        <f t="shared" ca="1" si="0"/>
        <v>0</v>
      </c>
      <c r="N16" s="711">
        <f t="shared" si="0"/>
        <v>0</v>
      </c>
      <c r="O16" s="711">
        <f t="shared" ca="1" si="0"/>
        <v>15600.695817130319</v>
      </c>
      <c r="P16" s="711">
        <f t="shared" si="0"/>
        <v>184.47333333333336</v>
      </c>
      <c r="Q16" s="711">
        <f t="shared" si="0"/>
        <v>648.26666666666665</v>
      </c>
      <c r="R16" s="711">
        <f t="shared" ca="1" si="0"/>
        <v>305895.81687678228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4.8667502436443764</v>
      </c>
      <c r="D19" s="676">
        <f>transport!C54</f>
        <v>0</v>
      </c>
      <c r="E19" s="676">
        <f>transport!D54</f>
        <v>0</v>
      </c>
      <c r="F19" s="676">
        <f>transport!E54</f>
        <v>0</v>
      </c>
      <c r="G19" s="676">
        <f>transport!F54</f>
        <v>0</v>
      </c>
      <c r="H19" s="676">
        <f>transport!G54</f>
        <v>947.28537400388029</v>
      </c>
      <c r="I19" s="676">
        <f>transport!H54</f>
        <v>0</v>
      </c>
      <c r="J19" s="676">
        <f>transport!I54</f>
        <v>0</v>
      </c>
      <c r="K19" s="676">
        <f>transport!J54</f>
        <v>0</v>
      </c>
      <c r="L19" s="676">
        <f>transport!K54</f>
        <v>0</v>
      </c>
      <c r="M19" s="676">
        <f>transport!L54</f>
        <v>0</v>
      </c>
      <c r="N19" s="676">
        <f>transport!M54</f>
        <v>42.477072126854345</v>
      </c>
      <c r="O19" s="676">
        <f>transport!N54</f>
        <v>0</v>
      </c>
      <c r="P19" s="676">
        <f>transport!O54</f>
        <v>0</v>
      </c>
      <c r="Q19" s="677">
        <f>transport!P54</f>
        <v>0</v>
      </c>
      <c r="R19" s="679">
        <f>SUM(C19:Q19)</f>
        <v>994.62919637437892</v>
      </c>
      <c r="S19" s="67"/>
    </row>
    <row r="20" spans="1:19" s="444" customFormat="1">
      <c r="A20" s="791" t="s">
        <v>296</v>
      </c>
      <c r="B20" s="796"/>
      <c r="C20" s="676">
        <f>transport!B14</f>
        <v>6.7695713990863524</v>
      </c>
      <c r="D20" s="676">
        <f>transport!C14</f>
        <v>0</v>
      </c>
      <c r="E20" s="676">
        <f>transport!D14</f>
        <v>6.6124137985598814</v>
      </c>
      <c r="F20" s="676">
        <f>transport!E14</f>
        <v>234.84025774822626</v>
      </c>
      <c r="G20" s="676">
        <f>transport!F14</f>
        <v>0</v>
      </c>
      <c r="H20" s="676">
        <f>transport!G14</f>
        <v>60272.824129541848</v>
      </c>
      <c r="I20" s="676">
        <f>transport!H14</f>
        <v>11310.877870459082</v>
      </c>
      <c r="J20" s="676">
        <f>transport!I14</f>
        <v>0</v>
      </c>
      <c r="K20" s="676">
        <f>transport!J14</f>
        <v>0</v>
      </c>
      <c r="L20" s="676">
        <f>transport!K14</f>
        <v>0</v>
      </c>
      <c r="M20" s="676">
        <f>transport!L14</f>
        <v>0</v>
      </c>
      <c r="N20" s="676">
        <f>transport!M14</f>
        <v>3236.9842516202052</v>
      </c>
      <c r="O20" s="676">
        <f>transport!N14</f>
        <v>0</v>
      </c>
      <c r="P20" s="676">
        <f>transport!O14</f>
        <v>0</v>
      </c>
      <c r="Q20" s="677">
        <f>transport!P14</f>
        <v>0</v>
      </c>
      <c r="R20" s="679">
        <f>SUM(C20:Q20)</f>
        <v>75068.908494567004</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11.636321642730728</v>
      </c>
      <c r="D22" s="794">
        <f t="shared" ref="D22:R22" si="1">SUM(D18:D21)</f>
        <v>0</v>
      </c>
      <c r="E22" s="794">
        <f t="shared" si="1"/>
        <v>6.6124137985598814</v>
      </c>
      <c r="F22" s="794">
        <f t="shared" si="1"/>
        <v>234.84025774822626</v>
      </c>
      <c r="G22" s="794">
        <f t="shared" si="1"/>
        <v>0</v>
      </c>
      <c r="H22" s="794">
        <f t="shared" si="1"/>
        <v>61220.109503545726</v>
      </c>
      <c r="I22" s="794">
        <f t="shared" si="1"/>
        <v>11310.877870459082</v>
      </c>
      <c r="J22" s="794">
        <f t="shared" si="1"/>
        <v>0</v>
      </c>
      <c r="K22" s="794">
        <f t="shared" si="1"/>
        <v>0</v>
      </c>
      <c r="L22" s="794">
        <f t="shared" si="1"/>
        <v>0</v>
      </c>
      <c r="M22" s="794">
        <f t="shared" si="1"/>
        <v>0</v>
      </c>
      <c r="N22" s="794">
        <f t="shared" si="1"/>
        <v>3279.4613237470594</v>
      </c>
      <c r="O22" s="794">
        <f t="shared" si="1"/>
        <v>0</v>
      </c>
      <c r="P22" s="794">
        <f t="shared" si="1"/>
        <v>0</v>
      </c>
      <c r="Q22" s="794">
        <f t="shared" si="1"/>
        <v>0</v>
      </c>
      <c r="R22" s="794">
        <f t="shared" si="1"/>
        <v>76063.53769094139</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3094.00404894243</v>
      </c>
      <c r="D24" s="676">
        <f>+landbouw!C8</f>
        <v>13026.803571428569</v>
      </c>
      <c r="E24" s="676">
        <f>+landbouw!D8</f>
        <v>7911.8706574503958</v>
      </c>
      <c r="F24" s="676">
        <f>+landbouw!E8</f>
        <v>38.988436904302624</v>
      </c>
      <c r="G24" s="676">
        <f>+landbouw!F8</f>
        <v>10675.089063179428</v>
      </c>
      <c r="H24" s="676">
        <f>+landbouw!G8</f>
        <v>0</v>
      </c>
      <c r="I24" s="676">
        <f>+landbouw!H8</f>
        <v>0</v>
      </c>
      <c r="J24" s="676">
        <f>+landbouw!I8</f>
        <v>0</v>
      </c>
      <c r="K24" s="676">
        <f>+landbouw!J8</f>
        <v>465.30303756422722</v>
      </c>
      <c r="L24" s="676">
        <f>+landbouw!K8</f>
        <v>0</v>
      </c>
      <c r="M24" s="676">
        <f>+landbouw!L8</f>
        <v>0</v>
      </c>
      <c r="N24" s="676">
        <f>+landbouw!M8</f>
        <v>0</v>
      </c>
      <c r="O24" s="676">
        <f>+landbouw!N8</f>
        <v>0</v>
      </c>
      <c r="P24" s="676">
        <f>+landbouw!O8</f>
        <v>0</v>
      </c>
      <c r="Q24" s="677">
        <f>+landbouw!P8</f>
        <v>0</v>
      </c>
      <c r="R24" s="679">
        <f>SUM(C24:Q24)</f>
        <v>35212.058815469354</v>
      </c>
      <c r="S24" s="67"/>
    </row>
    <row r="25" spans="1:19" s="444" customFormat="1" ht="15" thickBot="1">
      <c r="A25" s="813" t="s">
        <v>833</v>
      </c>
      <c r="B25" s="977"/>
      <c r="C25" s="978">
        <f>IF(Onbekend_ele_kWh="---",0,Onbekend_ele_kWh)/1000+IF(REST_rest_ele_kWh="---",0,REST_rest_ele_kWh)/1000</f>
        <v>896.72514525839199</v>
      </c>
      <c r="D25" s="978"/>
      <c r="E25" s="978">
        <f>IF(onbekend_gas_kWh="---",0,onbekend_gas_kWh)/1000+IF(REST_rest_gas_kWh="---",0,REST_rest_gas_kWh)/1000</f>
        <v>4209.1979853458197</v>
      </c>
      <c r="F25" s="978"/>
      <c r="G25" s="978"/>
      <c r="H25" s="978"/>
      <c r="I25" s="978"/>
      <c r="J25" s="978"/>
      <c r="K25" s="978"/>
      <c r="L25" s="978"/>
      <c r="M25" s="978"/>
      <c r="N25" s="978"/>
      <c r="O25" s="978"/>
      <c r="P25" s="978"/>
      <c r="Q25" s="979"/>
      <c r="R25" s="679">
        <f>SUM(C25:Q25)</f>
        <v>5105.923130604212</v>
      </c>
      <c r="S25" s="67"/>
    </row>
    <row r="26" spans="1:19" s="444" customFormat="1" ht="15.75" thickBot="1">
      <c r="A26" s="684" t="s">
        <v>834</v>
      </c>
      <c r="B26" s="799"/>
      <c r="C26" s="794">
        <f>SUM(C24:C25)</f>
        <v>3990.7291942008219</v>
      </c>
      <c r="D26" s="794">
        <f t="shared" ref="D26:R26" si="2">SUM(D24:D25)</f>
        <v>13026.803571428569</v>
      </c>
      <c r="E26" s="794">
        <f t="shared" si="2"/>
        <v>12121.068642796215</v>
      </c>
      <c r="F26" s="794">
        <f t="shared" si="2"/>
        <v>38.988436904302624</v>
      </c>
      <c r="G26" s="794">
        <f t="shared" si="2"/>
        <v>10675.089063179428</v>
      </c>
      <c r="H26" s="794">
        <f t="shared" si="2"/>
        <v>0</v>
      </c>
      <c r="I26" s="794">
        <f t="shared" si="2"/>
        <v>0</v>
      </c>
      <c r="J26" s="794">
        <f t="shared" si="2"/>
        <v>0</v>
      </c>
      <c r="K26" s="794">
        <f t="shared" si="2"/>
        <v>465.30303756422722</v>
      </c>
      <c r="L26" s="794">
        <f t="shared" si="2"/>
        <v>0</v>
      </c>
      <c r="M26" s="794">
        <f t="shared" si="2"/>
        <v>0</v>
      </c>
      <c r="N26" s="794">
        <f t="shared" si="2"/>
        <v>0</v>
      </c>
      <c r="O26" s="794">
        <f t="shared" si="2"/>
        <v>0</v>
      </c>
      <c r="P26" s="794">
        <f t="shared" si="2"/>
        <v>0</v>
      </c>
      <c r="Q26" s="794">
        <f t="shared" si="2"/>
        <v>0</v>
      </c>
      <c r="R26" s="794">
        <f t="shared" si="2"/>
        <v>40317.981946073567</v>
      </c>
      <c r="S26" s="67"/>
    </row>
    <row r="27" spans="1:19" s="444" customFormat="1" ht="17.25" thickTop="1" thickBot="1">
      <c r="A27" s="685" t="s">
        <v>109</v>
      </c>
      <c r="B27" s="786"/>
      <c r="C27" s="686">
        <f ca="1">C22+C16+C26</f>
        <v>76460.073727505369</v>
      </c>
      <c r="D27" s="686">
        <f t="shared" ref="D27:R27" ca="1" si="3">D22+D16+D26</f>
        <v>13026.803571428569</v>
      </c>
      <c r="E27" s="686">
        <f t="shared" ca="1" si="3"/>
        <v>170009.94358635359</v>
      </c>
      <c r="F27" s="686">
        <f t="shared" si="3"/>
        <v>3167.5815383189533</v>
      </c>
      <c r="G27" s="686">
        <f t="shared" ca="1" si="3"/>
        <v>66195.247572571097</v>
      </c>
      <c r="H27" s="686">
        <f t="shared" si="3"/>
        <v>61220.109503545726</v>
      </c>
      <c r="I27" s="686">
        <f t="shared" si="3"/>
        <v>11310.877870459082</v>
      </c>
      <c r="J27" s="686">
        <f t="shared" si="3"/>
        <v>0</v>
      </c>
      <c r="K27" s="686">
        <f t="shared" si="3"/>
        <v>1173.8020027374432</v>
      </c>
      <c r="L27" s="686">
        <f t="shared" si="3"/>
        <v>0</v>
      </c>
      <c r="M27" s="686">
        <f t="shared" ca="1" si="3"/>
        <v>0</v>
      </c>
      <c r="N27" s="686">
        <f t="shared" si="3"/>
        <v>3279.4613237470594</v>
      </c>
      <c r="O27" s="686">
        <f t="shared" ca="1" si="3"/>
        <v>15600.695817130319</v>
      </c>
      <c r="P27" s="686">
        <f t="shared" si="3"/>
        <v>184.47333333333336</v>
      </c>
      <c r="Q27" s="686">
        <f t="shared" si="3"/>
        <v>648.26666666666665</v>
      </c>
      <c r="R27" s="686">
        <f t="shared" ca="1" si="3"/>
        <v>422277.33651379729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3542.6544125198102</v>
      </c>
      <c r="D40" s="676">
        <f ca="1">tertiair!C20</f>
        <v>0</v>
      </c>
      <c r="E40" s="676">
        <f ca="1">tertiair!D20</f>
        <v>6010.3564905927115</v>
      </c>
      <c r="F40" s="676">
        <f>tertiair!E20</f>
        <v>57.35331781716966</v>
      </c>
      <c r="G40" s="676">
        <f ca="1">tertiair!F20</f>
        <v>1025.9233753705244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10636.287596300215</v>
      </c>
    </row>
    <row r="41" spans="1:18">
      <c r="A41" s="804" t="s">
        <v>214</v>
      </c>
      <c r="B41" s="811"/>
      <c r="C41" s="676">
        <f ca="1">huishoudens!B12</f>
        <v>6466.7325468602021</v>
      </c>
      <c r="D41" s="676">
        <f ca="1">huishoudens!C12</f>
        <v>0</v>
      </c>
      <c r="E41" s="676">
        <f>huishoudens!D12</f>
        <v>22777.154279155846</v>
      </c>
      <c r="F41" s="676">
        <f>huishoudens!E12</f>
        <v>272.08258931204739</v>
      </c>
      <c r="G41" s="676">
        <f>huishoudens!F12</f>
        <v>9807.3682264650379</v>
      </c>
      <c r="H41" s="676">
        <f>huishoudens!G12</f>
        <v>0</v>
      </c>
      <c r="I41" s="676">
        <f>huishoudens!H12</f>
        <v>0</v>
      </c>
      <c r="J41" s="676">
        <f>huishoudens!I12</f>
        <v>0</v>
      </c>
      <c r="K41" s="676">
        <f>huishoudens!J12</f>
        <v>246.25145024047188</v>
      </c>
      <c r="L41" s="676">
        <f>huishoudens!K12</f>
        <v>0</v>
      </c>
      <c r="M41" s="676">
        <f>huishoudens!L12</f>
        <v>0</v>
      </c>
      <c r="N41" s="676">
        <f>huishoudens!M12</f>
        <v>0</v>
      </c>
      <c r="O41" s="676">
        <f>huishoudens!N12</f>
        <v>0</v>
      </c>
      <c r="P41" s="676">
        <f>huishoudens!O12</f>
        <v>0</v>
      </c>
      <c r="Q41" s="753">
        <f>huishoudens!P12</f>
        <v>0</v>
      </c>
      <c r="R41" s="832">
        <f t="shared" ca="1" si="4"/>
        <v>39569.58909203361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2848.9217436302015</v>
      </c>
      <c r="D43" s="676">
        <f ca="1">industrie!C22</f>
        <v>0</v>
      </c>
      <c r="E43" s="676">
        <f>industrie!D22</f>
        <v>3104.7062612627278</v>
      </c>
      <c r="F43" s="676">
        <f>industrie!E22</f>
        <v>327.44598838306138</v>
      </c>
      <c r="G43" s="676">
        <f>industrie!F22</f>
        <v>3990.5907201720133</v>
      </c>
      <c r="H43" s="676">
        <f>industrie!G22</f>
        <v>0</v>
      </c>
      <c r="I43" s="676">
        <f>industrie!H22</f>
        <v>0</v>
      </c>
      <c r="J43" s="676">
        <f>industrie!I22</f>
        <v>0</v>
      </c>
      <c r="K43" s="676">
        <f>industrie!J22</f>
        <v>4.5571834308465151</v>
      </c>
      <c r="L43" s="676">
        <f>industrie!K22</f>
        <v>0</v>
      </c>
      <c r="M43" s="676">
        <f>industrie!L22</f>
        <v>0</v>
      </c>
      <c r="N43" s="676">
        <f>industrie!M22</f>
        <v>0</v>
      </c>
      <c r="O43" s="676">
        <f>industrie!N22</f>
        <v>0</v>
      </c>
      <c r="P43" s="676">
        <f>industrie!O22</f>
        <v>0</v>
      </c>
      <c r="Q43" s="753">
        <f>industrie!P22</f>
        <v>0</v>
      </c>
      <c r="R43" s="831">
        <f t="shared" ca="1" si="4"/>
        <v>10276.221896878851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12858.308703010214</v>
      </c>
      <c r="D46" s="711">
        <f t="shared" ref="D46:Q46" ca="1" si="5">SUM(D39:D45)</f>
        <v>0</v>
      </c>
      <c r="E46" s="711">
        <f t="shared" ca="1" si="5"/>
        <v>31892.217031011285</v>
      </c>
      <c r="F46" s="711">
        <f t="shared" si="5"/>
        <v>656.88189551227845</v>
      </c>
      <c r="G46" s="711">
        <f t="shared" ca="1" si="5"/>
        <v>14823.882322007576</v>
      </c>
      <c r="H46" s="711">
        <f t="shared" si="5"/>
        <v>0</v>
      </c>
      <c r="I46" s="711">
        <f t="shared" si="5"/>
        <v>0</v>
      </c>
      <c r="J46" s="711">
        <f t="shared" si="5"/>
        <v>0</v>
      </c>
      <c r="K46" s="711">
        <f t="shared" si="5"/>
        <v>250.8086336713184</v>
      </c>
      <c r="L46" s="711">
        <f t="shared" si="5"/>
        <v>0</v>
      </c>
      <c r="M46" s="711">
        <f t="shared" ca="1" si="5"/>
        <v>0</v>
      </c>
      <c r="N46" s="711">
        <f t="shared" si="5"/>
        <v>0</v>
      </c>
      <c r="O46" s="711">
        <f t="shared" ca="1" si="5"/>
        <v>0</v>
      </c>
      <c r="P46" s="711">
        <f t="shared" si="5"/>
        <v>0</v>
      </c>
      <c r="Q46" s="711">
        <f t="shared" si="5"/>
        <v>0</v>
      </c>
      <c r="R46" s="711">
        <f ca="1">SUM(R39:R45)</f>
        <v>60482.098585212676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0.86365106705317807</v>
      </c>
      <c r="D49" s="676">
        <f ca="1">transport!C58</f>
        <v>0</v>
      </c>
      <c r="E49" s="676">
        <f>transport!D58</f>
        <v>0</v>
      </c>
      <c r="F49" s="676">
        <f>transport!E58</f>
        <v>0</v>
      </c>
      <c r="G49" s="676">
        <f>transport!F58</f>
        <v>0</v>
      </c>
      <c r="H49" s="676">
        <f>transport!G58</f>
        <v>252.92519485903605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253.78884592608924</v>
      </c>
    </row>
    <row r="50" spans="1:18">
      <c r="A50" s="807" t="s">
        <v>296</v>
      </c>
      <c r="B50" s="817"/>
      <c r="C50" s="682">
        <f ca="1">transport!B18</f>
        <v>1.2013247587440452</v>
      </c>
      <c r="D50" s="682">
        <f>transport!C18</f>
        <v>0</v>
      </c>
      <c r="E50" s="682">
        <f>transport!D18</f>
        <v>1.3357075873090962</v>
      </c>
      <c r="F50" s="682">
        <f>transport!E18</f>
        <v>53.308738508847362</v>
      </c>
      <c r="G50" s="682">
        <f>transport!F18</f>
        <v>0</v>
      </c>
      <c r="H50" s="682">
        <f>transport!G18</f>
        <v>16092.844042587674</v>
      </c>
      <c r="I50" s="682">
        <f>transport!H18</f>
        <v>2816.4085897443115</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18965.098403186887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2.0649758257972231</v>
      </c>
      <c r="D52" s="711">
        <f t="shared" ref="D52:Q52" ca="1" si="6">SUM(D48:D51)</f>
        <v>0</v>
      </c>
      <c r="E52" s="711">
        <f t="shared" si="6"/>
        <v>1.3357075873090962</v>
      </c>
      <c r="F52" s="711">
        <f t="shared" si="6"/>
        <v>53.308738508847362</v>
      </c>
      <c r="G52" s="711">
        <f t="shared" si="6"/>
        <v>0</v>
      </c>
      <c r="H52" s="711">
        <f t="shared" si="6"/>
        <v>16345.76923744671</v>
      </c>
      <c r="I52" s="711">
        <f t="shared" si="6"/>
        <v>2816.4085897443115</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19218.887249112977</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549.06041291632016</v>
      </c>
      <c r="D54" s="682">
        <f ca="1">+landbouw!C12</f>
        <v>3081.9807795838847</v>
      </c>
      <c r="E54" s="682">
        <f>+landbouw!D12</f>
        <v>1598.1978728049801</v>
      </c>
      <c r="F54" s="682">
        <f>+landbouw!E12</f>
        <v>8.8503751772766961</v>
      </c>
      <c r="G54" s="682">
        <f>+landbouw!F12</f>
        <v>2850.2487798689076</v>
      </c>
      <c r="H54" s="682">
        <f>+landbouw!G12</f>
        <v>0</v>
      </c>
      <c r="I54" s="682">
        <f>+landbouw!H12</f>
        <v>0</v>
      </c>
      <c r="J54" s="682">
        <f>+landbouw!I12</f>
        <v>0</v>
      </c>
      <c r="K54" s="682">
        <f>+landbouw!J12</f>
        <v>164.71727529773642</v>
      </c>
      <c r="L54" s="682">
        <f>+landbouw!K12</f>
        <v>0</v>
      </c>
      <c r="M54" s="682">
        <f>+landbouw!L12</f>
        <v>0</v>
      </c>
      <c r="N54" s="682">
        <f>+landbouw!M12</f>
        <v>0</v>
      </c>
      <c r="O54" s="682">
        <f>+landbouw!N12</f>
        <v>0</v>
      </c>
      <c r="P54" s="682">
        <f>+landbouw!O12</f>
        <v>0</v>
      </c>
      <c r="Q54" s="683">
        <f>+landbouw!P12</f>
        <v>0</v>
      </c>
      <c r="R54" s="710">
        <f ca="1">SUM(C54:Q54)</f>
        <v>8253.0554956491069</v>
      </c>
    </row>
    <row r="55" spans="1:18" ht="15" thickBot="1">
      <c r="A55" s="807" t="s">
        <v>833</v>
      </c>
      <c r="B55" s="817"/>
      <c r="C55" s="682">
        <f ca="1">C25*'EF ele_warmte'!B12</f>
        <v>159.13239631871639</v>
      </c>
      <c r="D55" s="682"/>
      <c r="E55" s="682">
        <f>E25*EF_CO2_aardgas</f>
        <v>850.25799303985559</v>
      </c>
      <c r="F55" s="682"/>
      <c r="G55" s="682"/>
      <c r="H55" s="682"/>
      <c r="I55" s="682"/>
      <c r="J55" s="682"/>
      <c r="K55" s="682"/>
      <c r="L55" s="682"/>
      <c r="M55" s="682"/>
      <c r="N55" s="682"/>
      <c r="O55" s="682"/>
      <c r="P55" s="682"/>
      <c r="Q55" s="683"/>
      <c r="R55" s="710">
        <f ca="1">SUM(C55:Q55)</f>
        <v>1009.390389358572</v>
      </c>
    </row>
    <row r="56" spans="1:18" ht="15.75" thickBot="1">
      <c r="A56" s="805" t="s">
        <v>834</v>
      </c>
      <c r="B56" s="818"/>
      <c r="C56" s="711">
        <f ca="1">SUM(C54:C55)</f>
        <v>708.19280923503652</v>
      </c>
      <c r="D56" s="711">
        <f t="shared" ref="D56:Q56" ca="1" si="7">SUM(D54:D55)</f>
        <v>3081.9807795838847</v>
      </c>
      <c r="E56" s="711">
        <f t="shared" si="7"/>
        <v>2448.4558658448359</v>
      </c>
      <c r="F56" s="711">
        <f t="shared" si="7"/>
        <v>8.8503751772766961</v>
      </c>
      <c r="G56" s="711">
        <f t="shared" si="7"/>
        <v>2850.2487798689076</v>
      </c>
      <c r="H56" s="711">
        <f t="shared" si="7"/>
        <v>0</v>
      </c>
      <c r="I56" s="711">
        <f t="shared" si="7"/>
        <v>0</v>
      </c>
      <c r="J56" s="711">
        <f t="shared" si="7"/>
        <v>0</v>
      </c>
      <c r="K56" s="711">
        <f t="shared" si="7"/>
        <v>164.71727529773642</v>
      </c>
      <c r="L56" s="711">
        <f t="shared" si="7"/>
        <v>0</v>
      </c>
      <c r="M56" s="711">
        <f t="shared" si="7"/>
        <v>0</v>
      </c>
      <c r="N56" s="711">
        <f t="shared" si="7"/>
        <v>0</v>
      </c>
      <c r="O56" s="711">
        <f t="shared" si="7"/>
        <v>0</v>
      </c>
      <c r="P56" s="711">
        <f t="shared" si="7"/>
        <v>0</v>
      </c>
      <c r="Q56" s="712">
        <f t="shared" si="7"/>
        <v>0</v>
      </c>
      <c r="R56" s="713">
        <f ca="1">SUM(R54:R55)</f>
        <v>9262.445885007679</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13568.566488071048</v>
      </c>
      <c r="D61" s="719">
        <f t="shared" ref="D61:Q61" ca="1" si="8">D46+D52+D56</f>
        <v>3081.9807795838847</v>
      </c>
      <c r="E61" s="719">
        <f t="shared" ca="1" si="8"/>
        <v>34342.008604443428</v>
      </c>
      <c r="F61" s="719">
        <f t="shared" si="8"/>
        <v>719.04100919840243</v>
      </c>
      <c r="G61" s="719">
        <f t="shared" ca="1" si="8"/>
        <v>17674.131101876483</v>
      </c>
      <c r="H61" s="719">
        <f t="shared" si="8"/>
        <v>16345.76923744671</v>
      </c>
      <c r="I61" s="719">
        <f t="shared" si="8"/>
        <v>2816.4085897443115</v>
      </c>
      <c r="J61" s="719">
        <f t="shared" si="8"/>
        <v>0</v>
      </c>
      <c r="K61" s="719">
        <f t="shared" si="8"/>
        <v>415.52590896905485</v>
      </c>
      <c r="L61" s="719">
        <f t="shared" si="8"/>
        <v>0</v>
      </c>
      <c r="M61" s="719">
        <f t="shared" ca="1" si="8"/>
        <v>0</v>
      </c>
      <c r="N61" s="719">
        <f t="shared" si="8"/>
        <v>0</v>
      </c>
      <c r="O61" s="719">
        <f t="shared" ca="1" si="8"/>
        <v>0</v>
      </c>
      <c r="P61" s="719">
        <f t="shared" si="8"/>
        <v>0</v>
      </c>
      <c r="Q61" s="719">
        <f t="shared" si="8"/>
        <v>0</v>
      </c>
      <c r="R61" s="719">
        <f ca="1">R46+R52+R56</f>
        <v>88963.431719333326</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0.17745950045023248</v>
      </c>
      <c r="D63" s="762">
        <f t="shared" ca="1" si="9"/>
        <v>0.23658764505696028</v>
      </c>
      <c r="E63" s="984">
        <f t="shared" ca="1" si="9"/>
        <v>0.20200000000000001</v>
      </c>
      <c r="F63" s="762">
        <f t="shared" si="9"/>
        <v>0.22700000000000001</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11316.950500000001</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4389.2688570564205</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39.986157247960108</v>
      </c>
      <c r="C76" s="729">
        <f>'lokale energieproductie'!B8*IFERROR(SUM(D76:H76)/SUM(D76:O76),0)</f>
        <v>9067.5263427520385</v>
      </c>
      <c r="D76" s="994">
        <f>'lokale energieproductie'!C8</f>
        <v>10666.955122286279</v>
      </c>
      <c r="E76" s="995">
        <f>'lokale energieproductie'!D8</f>
        <v>0</v>
      </c>
      <c r="F76" s="995">
        <f>'lokale energieproductie'!E8</f>
        <v>0</v>
      </c>
      <c r="G76" s="995">
        <f>'lokale energieproductie'!F8</f>
        <v>0</v>
      </c>
      <c r="H76" s="995">
        <f>'lokale energieproductie'!G8</f>
        <v>0</v>
      </c>
      <c r="I76" s="995">
        <f>'lokale energieproductie'!I8</f>
        <v>0</v>
      </c>
      <c r="J76" s="995">
        <f>'lokale energieproductie'!J8</f>
        <v>47.039349956519516</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2154.7249347018287</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15746.205514304382</v>
      </c>
      <c r="C78" s="734">
        <f>SUM(C72:C77)</f>
        <v>9067.5263427520385</v>
      </c>
      <c r="D78" s="735">
        <f t="shared" ref="D78:H78" si="10">SUM(D76:D77)</f>
        <v>10666.955122286279</v>
      </c>
      <c r="E78" s="735">
        <f t="shared" si="10"/>
        <v>0</v>
      </c>
      <c r="F78" s="735">
        <f t="shared" si="10"/>
        <v>0</v>
      </c>
      <c r="G78" s="735">
        <f t="shared" si="10"/>
        <v>0</v>
      </c>
      <c r="H78" s="735">
        <f t="shared" si="10"/>
        <v>0</v>
      </c>
      <c r="I78" s="735">
        <f>SUM(I76:I77)</f>
        <v>0</v>
      </c>
      <c r="J78" s="735">
        <f>SUM(J76:J77)</f>
        <v>47.039349956519516</v>
      </c>
      <c r="K78" s="735">
        <f t="shared" ref="K78:L78" si="11">SUM(K76:K77)</f>
        <v>0</v>
      </c>
      <c r="L78" s="735">
        <f t="shared" si="11"/>
        <v>0</v>
      </c>
      <c r="M78" s="735">
        <f>SUM(M76:M77)</f>
        <v>0</v>
      </c>
      <c r="N78" s="735">
        <f>SUM(N76:N77)</f>
        <v>0</v>
      </c>
      <c r="O78" s="842">
        <f>SUM(O76:O77)</f>
        <v>0</v>
      </c>
      <c r="P78" s="736">
        <v>0</v>
      </c>
      <c r="Q78" s="736">
        <f>SUM(Q76:Q77)</f>
        <v>2154.7249347018287</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57.193642725764157</v>
      </c>
      <c r="C87" s="745">
        <f>'lokale energieproductie'!B17*IFERROR(SUM(D87:H87)/SUM(D87:O87),0)</f>
        <v>12969.609928702803</v>
      </c>
      <c r="D87" s="756">
        <f>'lokale energieproductie'!C17</f>
        <v>15257.330591999427</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67.28207861490904</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3081.9807795838847</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57.193642725764157</v>
      </c>
      <c r="C90" s="734">
        <f>SUM(C87:C89)</f>
        <v>12969.609928702803</v>
      </c>
      <c r="D90" s="734">
        <f t="shared" ref="D90:H90" si="12">SUM(D87:D89)</f>
        <v>15257.330591999427</v>
      </c>
      <c r="E90" s="734">
        <f t="shared" si="12"/>
        <v>0</v>
      </c>
      <c r="F90" s="734">
        <f t="shared" si="12"/>
        <v>0</v>
      </c>
      <c r="G90" s="734">
        <f t="shared" si="12"/>
        <v>0</v>
      </c>
      <c r="H90" s="734">
        <f t="shared" si="12"/>
        <v>0</v>
      </c>
      <c r="I90" s="734">
        <f>SUM(I87:I89)</f>
        <v>0</v>
      </c>
      <c r="J90" s="734">
        <f>SUM(J87:J89)</f>
        <v>67.28207861490904</v>
      </c>
      <c r="K90" s="734">
        <f t="shared" ref="K90:L90" si="13">SUM(K87:K89)</f>
        <v>0</v>
      </c>
      <c r="L90" s="734">
        <f t="shared" si="13"/>
        <v>0</v>
      </c>
      <c r="M90" s="734">
        <f>SUM(M87:M89)</f>
        <v>0</v>
      </c>
      <c r="N90" s="734">
        <f>SUM(N87:N89)</f>
        <v>0</v>
      </c>
      <c r="O90" s="734">
        <f>SUM(O87:O89)</f>
        <v>0</v>
      </c>
      <c r="P90" s="734">
        <v>0</v>
      </c>
      <c r="Q90" s="734">
        <f>SUM(Q87:Q89)</f>
        <v>3081.9807795838847</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36440.610564401773</v>
      </c>
      <c r="C4" s="448">
        <f>huishoudens!C8</f>
        <v>0</v>
      </c>
      <c r="D4" s="448">
        <f>huishoudens!D8</f>
        <v>112758.18950077151</v>
      </c>
      <c r="E4" s="448">
        <f>huishoudens!E8</f>
        <v>1198.6017150310456</v>
      </c>
      <c r="F4" s="448">
        <f>huishoudens!F8</f>
        <v>36731.716203988901</v>
      </c>
      <c r="G4" s="448">
        <f>huishoudens!G8</f>
        <v>0</v>
      </c>
      <c r="H4" s="448">
        <f>huishoudens!H8</f>
        <v>0</v>
      </c>
      <c r="I4" s="448">
        <f>huishoudens!I8</f>
        <v>0</v>
      </c>
      <c r="J4" s="448">
        <f>huishoudens!J8</f>
        <v>695.62556565105058</v>
      </c>
      <c r="K4" s="448">
        <f>huishoudens!K8</f>
        <v>0</v>
      </c>
      <c r="L4" s="448">
        <f>huishoudens!L8</f>
        <v>0</v>
      </c>
      <c r="M4" s="448">
        <f>huishoudens!M8</f>
        <v>0</v>
      </c>
      <c r="N4" s="448">
        <f>huishoudens!N8</f>
        <v>10820.507915234723</v>
      </c>
      <c r="O4" s="448">
        <f>huishoudens!O8</f>
        <v>184.47333333333336</v>
      </c>
      <c r="P4" s="449">
        <f>huishoudens!P8</f>
        <v>572</v>
      </c>
      <c r="Q4" s="450">
        <f>SUM(B4:P4)</f>
        <v>199401.72479841232</v>
      </c>
    </row>
    <row r="5" spans="1:17">
      <c r="A5" s="447" t="s">
        <v>149</v>
      </c>
      <c r="B5" s="448">
        <f ca="1">tertiair!B16</f>
        <v>18881.766335046828</v>
      </c>
      <c r="C5" s="448">
        <f ca="1">tertiair!C16</f>
        <v>0</v>
      </c>
      <c r="D5" s="448">
        <f ca="1">tertiair!D16</f>
        <v>29754.240052439163</v>
      </c>
      <c r="E5" s="448">
        <f>tertiair!E16</f>
        <v>252.65778774083549</v>
      </c>
      <c r="F5" s="448">
        <f ca="1">tertiair!F16</f>
        <v>3842.4096455824879</v>
      </c>
      <c r="G5" s="448">
        <f>tertiair!G16</f>
        <v>0</v>
      </c>
      <c r="H5" s="448">
        <f>tertiair!H16</f>
        <v>0</v>
      </c>
      <c r="I5" s="448">
        <f>tertiair!I16</f>
        <v>0</v>
      </c>
      <c r="J5" s="448">
        <f>tertiair!J16</f>
        <v>0</v>
      </c>
      <c r="K5" s="448">
        <f>tertiair!K16</f>
        <v>0</v>
      </c>
      <c r="L5" s="448">
        <f ca="1">tertiair!L16</f>
        <v>0</v>
      </c>
      <c r="M5" s="448">
        <f>tertiair!M16</f>
        <v>0</v>
      </c>
      <c r="N5" s="448">
        <f ca="1">tertiair!N16</f>
        <v>1907.6837061999536</v>
      </c>
      <c r="O5" s="448">
        <f>tertiair!O16</f>
        <v>0</v>
      </c>
      <c r="P5" s="449">
        <f>tertiair!P16</f>
        <v>76.266666666666666</v>
      </c>
      <c r="Q5" s="447">
        <f t="shared" ref="Q5:Q14" ca="1" si="0">SUM(B5:P5)</f>
        <v>54715.024193675941</v>
      </c>
    </row>
    <row r="6" spans="1:17">
      <c r="A6" s="447" t="s">
        <v>187</v>
      </c>
      <c r="B6" s="448">
        <f>'openbare verlichting'!B8</f>
        <v>1081.405</v>
      </c>
      <c r="C6" s="448"/>
      <c r="D6" s="448"/>
      <c r="E6" s="448"/>
      <c r="F6" s="448"/>
      <c r="G6" s="448"/>
      <c r="H6" s="448"/>
      <c r="I6" s="448"/>
      <c r="J6" s="448"/>
      <c r="K6" s="448"/>
      <c r="L6" s="448"/>
      <c r="M6" s="448"/>
      <c r="N6" s="448"/>
      <c r="O6" s="448"/>
      <c r="P6" s="449"/>
      <c r="Q6" s="447">
        <f t="shared" si="0"/>
        <v>1081.405</v>
      </c>
    </row>
    <row r="7" spans="1:17">
      <c r="A7" s="447" t="s">
        <v>105</v>
      </c>
      <c r="B7" s="448">
        <f>landbouw!B8</f>
        <v>3094.00404894243</v>
      </c>
      <c r="C7" s="448">
        <f>landbouw!C8</f>
        <v>13026.803571428569</v>
      </c>
      <c r="D7" s="448">
        <f>landbouw!D8</f>
        <v>7911.8706574503958</v>
      </c>
      <c r="E7" s="448">
        <f>landbouw!E8</f>
        <v>38.988436904302624</v>
      </c>
      <c r="F7" s="448">
        <f>landbouw!F8</f>
        <v>10675.089063179428</v>
      </c>
      <c r="G7" s="448">
        <f>landbouw!G8</f>
        <v>0</v>
      </c>
      <c r="H7" s="448">
        <f>landbouw!H8</f>
        <v>0</v>
      </c>
      <c r="I7" s="448">
        <f>landbouw!I8</f>
        <v>0</v>
      </c>
      <c r="J7" s="448">
        <f>landbouw!J8</f>
        <v>465.30303756422722</v>
      </c>
      <c r="K7" s="448">
        <f>landbouw!K8</f>
        <v>0</v>
      </c>
      <c r="L7" s="448">
        <f>landbouw!L8</f>
        <v>0</v>
      </c>
      <c r="M7" s="448">
        <f>landbouw!M8</f>
        <v>0</v>
      </c>
      <c r="N7" s="448">
        <f>landbouw!N8</f>
        <v>0</v>
      </c>
      <c r="O7" s="448">
        <f>landbouw!O8</f>
        <v>0</v>
      </c>
      <c r="P7" s="449">
        <f>landbouw!P8</f>
        <v>0</v>
      </c>
      <c r="Q7" s="447">
        <f t="shared" si="0"/>
        <v>35212.058815469354</v>
      </c>
    </row>
    <row r="8" spans="1:17">
      <c r="A8" s="447" t="s">
        <v>639</v>
      </c>
      <c r="B8" s="448">
        <f>industrie!B18</f>
        <v>16053.926312213225</v>
      </c>
      <c r="C8" s="448">
        <f>industrie!C18</f>
        <v>0</v>
      </c>
      <c r="D8" s="448">
        <f>industrie!D18</f>
        <v>15369.832976548158</v>
      </c>
      <c r="E8" s="448">
        <f>industrie!E18</f>
        <v>1442.4933408945435</v>
      </c>
      <c r="F8" s="448">
        <f>industrie!F18</f>
        <v>14946.032659820274</v>
      </c>
      <c r="G8" s="448">
        <f>industrie!G18</f>
        <v>0</v>
      </c>
      <c r="H8" s="448">
        <f>industrie!H18</f>
        <v>0</v>
      </c>
      <c r="I8" s="448">
        <f>industrie!I18</f>
        <v>0</v>
      </c>
      <c r="J8" s="448">
        <f>industrie!J18</f>
        <v>12.873399522165297</v>
      </c>
      <c r="K8" s="448">
        <f>industrie!K18</f>
        <v>0</v>
      </c>
      <c r="L8" s="448">
        <f>industrie!L18</f>
        <v>0</v>
      </c>
      <c r="M8" s="448">
        <f>industrie!M18</f>
        <v>0</v>
      </c>
      <c r="N8" s="448">
        <f>industrie!N18</f>
        <v>2872.504195695642</v>
      </c>
      <c r="O8" s="448">
        <f>industrie!O18</f>
        <v>0</v>
      </c>
      <c r="P8" s="449">
        <f>industrie!P18</f>
        <v>0</v>
      </c>
      <c r="Q8" s="447">
        <f t="shared" si="0"/>
        <v>50697.662884694</v>
      </c>
    </row>
    <row r="9" spans="1:17" s="453" customFormat="1">
      <c r="A9" s="451" t="s">
        <v>557</v>
      </c>
      <c r="B9" s="452">
        <f>transport!B14</f>
        <v>6.7695713990863524</v>
      </c>
      <c r="C9" s="452">
        <f>transport!C14</f>
        <v>0</v>
      </c>
      <c r="D9" s="452">
        <f>transport!D14</f>
        <v>6.6124137985598814</v>
      </c>
      <c r="E9" s="452">
        <f>transport!E14</f>
        <v>234.84025774822626</v>
      </c>
      <c r="F9" s="452">
        <f>transport!F14</f>
        <v>0</v>
      </c>
      <c r="G9" s="452">
        <f>transport!G14</f>
        <v>60272.824129541848</v>
      </c>
      <c r="H9" s="452">
        <f>transport!H14</f>
        <v>11310.877870459082</v>
      </c>
      <c r="I9" s="452">
        <f>transport!I14</f>
        <v>0</v>
      </c>
      <c r="J9" s="452">
        <f>transport!J14</f>
        <v>0</v>
      </c>
      <c r="K9" s="452">
        <f>transport!K14</f>
        <v>0</v>
      </c>
      <c r="L9" s="452">
        <f>transport!L14</f>
        <v>0</v>
      </c>
      <c r="M9" s="452">
        <f>transport!M14</f>
        <v>3236.9842516202052</v>
      </c>
      <c r="N9" s="452">
        <f>transport!N14</f>
        <v>0</v>
      </c>
      <c r="O9" s="452">
        <f>transport!O14</f>
        <v>0</v>
      </c>
      <c r="P9" s="452">
        <f>transport!P14</f>
        <v>0</v>
      </c>
      <c r="Q9" s="451">
        <f>SUM(B9:P9)</f>
        <v>75068.908494567004</v>
      </c>
    </row>
    <row r="10" spans="1:17">
      <c r="A10" s="447" t="s">
        <v>547</v>
      </c>
      <c r="B10" s="448">
        <f>transport!B54</f>
        <v>4.8667502436443764</v>
      </c>
      <c r="C10" s="448">
        <f>transport!C54</f>
        <v>0</v>
      </c>
      <c r="D10" s="448">
        <f>transport!D54</f>
        <v>0</v>
      </c>
      <c r="E10" s="448">
        <f>transport!E54</f>
        <v>0</v>
      </c>
      <c r="F10" s="448">
        <f>transport!F54</f>
        <v>0</v>
      </c>
      <c r="G10" s="448">
        <f>transport!G54</f>
        <v>947.28537400388029</v>
      </c>
      <c r="H10" s="448">
        <f>transport!H54</f>
        <v>0</v>
      </c>
      <c r="I10" s="448">
        <f>transport!I54</f>
        <v>0</v>
      </c>
      <c r="J10" s="448">
        <f>transport!J54</f>
        <v>0</v>
      </c>
      <c r="K10" s="448">
        <f>transport!K54</f>
        <v>0</v>
      </c>
      <c r="L10" s="448">
        <f>transport!L54</f>
        <v>0</v>
      </c>
      <c r="M10" s="448">
        <f>transport!M54</f>
        <v>42.477072126854345</v>
      </c>
      <c r="N10" s="448">
        <f>transport!N54</f>
        <v>0</v>
      </c>
      <c r="O10" s="448">
        <f>transport!O54</f>
        <v>0</v>
      </c>
      <c r="P10" s="449">
        <f>transport!P54</f>
        <v>0</v>
      </c>
      <c r="Q10" s="447">
        <f t="shared" si="0"/>
        <v>994.62919637437892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896.72514525839199</v>
      </c>
      <c r="C14" s="455"/>
      <c r="D14" s="455">
        <f>'SEAP template'!E25</f>
        <v>4209.1979853458197</v>
      </c>
      <c r="E14" s="455"/>
      <c r="F14" s="455"/>
      <c r="G14" s="455"/>
      <c r="H14" s="455"/>
      <c r="I14" s="455"/>
      <c r="J14" s="455"/>
      <c r="K14" s="455"/>
      <c r="L14" s="455"/>
      <c r="M14" s="455"/>
      <c r="N14" s="455"/>
      <c r="O14" s="455"/>
      <c r="P14" s="456"/>
      <c r="Q14" s="447">
        <f t="shared" si="0"/>
        <v>5105.923130604212</v>
      </c>
    </row>
    <row r="15" spans="1:17" s="460" customFormat="1">
      <c r="A15" s="457" t="s">
        <v>551</v>
      </c>
      <c r="B15" s="458">
        <f ca="1">SUM(B4:B14)</f>
        <v>76460.073727505369</v>
      </c>
      <c r="C15" s="458">
        <f t="shared" ref="C15:Q15" ca="1" si="1">SUM(C4:C14)</f>
        <v>13026.803571428569</v>
      </c>
      <c r="D15" s="458">
        <f t="shared" ca="1" si="1"/>
        <v>170009.94358635359</v>
      </c>
      <c r="E15" s="458">
        <f t="shared" si="1"/>
        <v>3167.5815383189533</v>
      </c>
      <c r="F15" s="458">
        <f t="shared" ca="1" si="1"/>
        <v>66195.247572571097</v>
      </c>
      <c r="G15" s="458">
        <f t="shared" si="1"/>
        <v>61220.109503545726</v>
      </c>
      <c r="H15" s="458">
        <f t="shared" si="1"/>
        <v>11310.877870459082</v>
      </c>
      <c r="I15" s="458">
        <f t="shared" si="1"/>
        <v>0</v>
      </c>
      <c r="J15" s="458">
        <f t="shared" si="1"/>
        <v>1173.802002737443</v>
      </c>
      <c r="K15" s="458">
        <f t="shared" si="1"/>
        <v>0</v>
      </c>
      <c r="L15" s="458">
        <f t="shared" ca="1" si="1"/>
        <v>0</v>
      </c>
      <c r="M15" s="458">
        <f t="shared" si="1"/>
        <v>3279.4613237470594</v>
      </c>
      <c r="N15" s="458">
        <f t="shared" ca="1" si="1"/>
        <v>15600.695817130319</v>
      </c>
      <c r="O15" s="458">
        <f t="shared" si="1"/>
        <v>184.47333333333336</v>
      </c>
      <c r="P15" s="458">
        <f t="shared" si="1"/>
        <v>648.26666666666665</v>
      </c>
      <c r="Q15" s="458">
        <f t="shared" ca="1" si="1"/>
        <v>422277.33651379723</v>
      </c>
    </row>
    <row r="17" spans="1:17">
      <c r="A17" s="461" t="s">
        <v>552</v>
      </c>
      <c r="B17" s="767">
        <f ca="1">huishoudens!B10</f>
        <v>0.17745950045023245</v>
      </c>
      <c r="C17" s="767">
        <f ca="1">huishoudens!C10</f>
        <v>0.23658764505696028</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6466.7325468602021</v>
      </c>
      <c r="C22" s="448">
        <f t="shared" ref="C22:C32" ca="1" si="3">C4*$C$17</f>
        <v>0</v>
      </c>
      <c r="D22" s="448">
        <f t="shared" ref="D22:D32" si="4">D4*$D$17</f>
        <v>22777.154279155846</v>
      </c>
      <c r="E22" s="448">
        <f t="shared" ref="E22:E32" si="5">E4*$E$17</f>
        <v>272.08258931204739</v>
      </c>
      <c r="F22" s="448">
        <f t="shared" ref="F22:F32" si="6">F4*$F$17</f>
        <v>9807.3682264650379</v>
      </c>
      <c r="G22" s="448">
        <f t="shared" ref="G22:G32" si="7">G4*$G$17</f>
        <v>0</v>
      </c>
      <c r="H22" s="448">
        <f t="shared" ref="H22:H32" si="8">H4*$H$17</f>
        <v>0</v>
      </c>
      <c r="I22" s="448">
        <f t="shared" ref="I22:I32" si="9">I4*$I$17</f>
        <v>0</v>
      </c>
      <c r="J22" s="448">
        <f t="shared" ref="J22:J32" si="10">J4*$J$17</f>
        <v>246.25145024047188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39569.58909203361</v>
      </c>
    </row>
    <row r="23" spans="1:17">
      <c r="A23" s="447" t="s">
        <v>149</v>
      </c>
      <c r="B23" s="448">
        <f t="shared" ca="1" si="2"/>
        <v>3350.7488214354266</v>
      </c>
      <c r="C23" s="448">
        <f t="shared" ca="1" si="3"/>
        <v>0</v>
      </c>
      <c r="D23" s="448">
        <f t="shared" ca="1" si="4"/>
        <v>6010.3564905927115</v>
      </c>
      <c r="E23" s="448">
        <f t="shared" si="5"/>
        <v>57.35331781716966</v>
      </c>
      <c r="F23" s="448">
        <f t="shared" ca="1" si="6"/>
        <v>1025.9233753705244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10444.382005215832</v>
      </c>
    </row>
    <row r="24" spans="1:17">
      <c r="A24" s="447" t="s">
        <v>187</v>
      </c>
      <c r="B24" s="448">
        <f t="shared" ca="1" si="2"/>
        <v>191.90559108438362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191.90559108438362</v>
      </c>
    </row>
    <row r="25" spans="1:17">
      <c r="A25" s="447" t="s">
        <v>105</v>
      </c>
      <c r="B25" s="448">
        <f t="shared" ca="1" si="2"/>
        <v>549.06041291632016</v>
      </c>
      <c r="C25" s="448">
        <f t="shared" ca="1" si="3"/>
        <v>3081.9807795838847</v>
      </c>
      <c r="D25" s="448">
        <f t="shared" si="4"/>
        <v>1598.1978728049801</v>
      </c>
      <c r="E25" s="448">
        <f t="shared" si="5"/>
        <v>8.8503751772766961</v>
      </c>
      <c r="F25" s="448">
        <f t="shared" si="6"/>
        <v>2850.2487798689076</v>
      </c>
      <c r="G25" s="448">
        <f t="shared" si="7"/>
        <v>0</v>
      </c>
      <c r="H25" s="448">
        <f t="shared" si="8"/>
        <v>0</v>
      </c>
      <c r="I25" s="448">
        <f t="shared" si="9"/>
        <v>0</v>
      </c>
      <c r="J25" s="448">
        <f t="shared" si="10"/>
        <v>164.71727529773642</v>
      </c>
      <c r="K25" s="448">
        <f t="shared" si="11"/>
        <v>0</v>
      </c>
      <c r="L25" s="448">
        <f t="shared" si="12"/>
        <v>0</v>
      </c>
      <c r="M25" s="448">
        <f t="shared" si="13"/>
        <v>0</v>
      </c>
      <c r="N25" s="448">
        <f t="shared" si="14"/>
        <v>0</v>
      </c>
      <c r="O25" s="448">
        <f t="shared" si="15"/>
        <v>0</v>
      </c>
      <c r="P25" s="449">
        <f t="shared" si="16"/>
        <v>0</v>
      </c>
      <c r="Q25" s="447">
        <f t="shared" ca="1" si="17"/>
        <v>8253.0554956491069</v>
      </c>
    </row>
    <row r="26" spans="1:17">
      <c r="A26" s="447" t="s">
        <v>639</v>
      </c>
      <c r="B26" s="448">
        <f t="shared" ca="1" si="2"/>
        <v>2848.9217436302015</v>
      </c>
      <c r="C26" s="448">
        <f t="shared" ca="1" si="3"/>
        <v>0</v>
      </c>
      <c r="D26" s="448">
        <f t="shared" si="4"/>
        <v>3104.7062612627278</v>
      </c>
      <c r="E26" s="448">
        <f t="shared" si="5"/>
        <v>327.44598838306138</v>
      </c>
      <c r="F26" s="448">
        <f t="shared" si="6"/>
        <v>3990.5907201720133</v>
      </c>
      <c r="G26" s="448">
        <f t="shared" si="7"/>
        <v>0</v>
      </c>
      <c r="H26" s="448">
        <f t="shared" si="8"/>
        <v>0</v>
      </c>
      <c r="I26" s="448">
        <f t="shared" si="9"/>
        <v>0</v>
      </c>
      <c r="J26" s="448">
        <f t="shared" si="10"/>
        <v>4.5571834308465151</v>
      </c>
      <c r="K26" s="448">
        <f t="shared" si="11"/>
        <v>0</v>
      </c>
      <c r="L26" s="448">
        <f t="shared" si="12"/>
        <v>0</v>
      </c>
      <c r="M26" s="448">
        <f t="shared" si="13"/>
        <v>0</v>
      </c>
      <c r="N26" s="448">
        <f t="shared" si="14"/>
        <v>0</v>
      </c>
      <c r="O26" s="448">
        <f t="shared" si="15"/>
        <v>0</v>
      </c>
      <c r="P26" s="449">
        <f t="shared" si="16"/>
        <v>0</v>
      </c>
      <c r="Q26" s="447">
        <f t="shared" ca="1" si="17"/>
        <v>10276.221896878851</v>
      </c>
    </row>
    <row r="27" spans="1:17" s="453" customFormat="1">
      <c r="A27" s="451" t="s">
        <v>557</v>
      </c>
      <c r="B27" s="761">
        <f t="shared" ca="1" si="2"/>
        <v>1.2013247587440452</v>
      </c>
      <c r="C27" s="452">
        <f t="shared" ca="1" si="3"/>
        <v>0</v>
      </c>
      <c r="D27" s="452">
        <f t="shared" si="4"/>
        <v>1.3357075873090962</v>
      </c>
      <c r="E27" s="452">
        <f t="shared" si="5"/>
        <v>53.308738508847362</v>
      </c>
      <c r="F27" s="452">
        <f t="shared" si="6"/>
        <v>0</v>
      </c>
      <c r="G27" s="452">
        <f t="shared" si="7"/>
        <v>16092.844042587674</v>
      </c>
      <c r="H27" s="452">
        <f t="shared" si="8"/>
        <v>2816.4085897443115</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18965.098403186887</v>
      </c>
    </row>
    <row r="28" spans="1:17">
      <c r="A28" s="447" t="s">
        <v>547</v>
      </c>
      <c r="B28" s="448">
        <f t="shared" ca="1" si="2"/>
        <v>0.86365106705317807</v>
      </c>
      <c r="C28" s="448">
        <f t="shared" ca="1" si="3"/>
        <v>0</v>
      </c>
      <c r="D28" s="448">
        <f t="shared" si="4"/>
        <v>0</v>
      </c>
      <c r="E28" s="448">
        <f t="shared" si="5"/>
        <v>0</v>
      </c>
      <c r="F28" s="448">
        <f t="shared" si="6"/>
        <v>0</v>
      </c>
      <c r="G28" s="448">
        <f t="shared" si="7"/>
        <v>252.92519485903605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253.78884592608924</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159.13239631871639</v>
      </c>
      <c r="C32" s="448">
        <f t="shared" ca="1" si="3"/>
        <v>0</v>
      </c>
      <c r="D32" s="448">
        <f t="shared" si="4"/>
        <v>850.25799303985559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1009.390389358572</v>
      </c>
    </row>
    <row r="33" spans="1:17" s="460" customFormat="1">
      <c r="A33" s="457" t="s">
        <v>551</v>
      </c>
      <c r="B33" s="458">
        <f ca="1">SUM(B22:B32)</f>
        <v>13568.566488071046</v>
      </c>
      <c r="C33" s="458">
        <f t="shared" ref="C33:Q33" ca="1" si="18">SUM(C22:C32)</f>
        <v>3081.9807795838847</v>
      </c>
      <c r="D33" s="458">
        <f t="shared" ca="1" si="18"/>
        <v>34342.008604443428</v>
      </c>
      <c r="E33" s="458">
        <f t="shared" si="18"/>
        <v>719.04100919840255</v>
      </c>
      <c r="F33" s="458">
        <f t="shared" ca="1" si="18"/>
        <v>17674.131101876483</v>
      </c>
      <c r="G33" s="458">
        <f t="shared" si="18"/>
        <v>16345.76923744671</v>
      </c>
      <c r="H33" s="458">
        <f t="shared" si="18"/>
        <v>2816.4085897443115</v>
      </c>
      <c r="I33" s="458">
        <f t="shared" si="18"/>
        <v>0</v>
      </c>
      <c r="J33" s="458">
        <f t="shared" si="18"/>
        <v>415.52590896905485</v>
      </c>
      <c r="K33" s="458">
        <f t="shared" si="18"/>
        <v>0</v>
      </c>
      <c r="L33" s="458">
        <f t="shared" ca="1" si="18"/>
        <v>0</v>
      </c>
      <c r="M33" s="458">
        <f t="shared" si="18"/>
        <v>0</v>
      </c>
      <c r="N33" s="458">
        <f t="shared" ca="1" si="18"/>
        <v>0</v>
      </c>
      <c r="O33" s="458">
        <f t="shared" si="18"/>
        <v>0</v>
      </c>
      <c r="P33" s="458">
        <f t="shared" si="18"/>
        <v>0</v>
      </c>
      <c r="Q33" s="458">
        <f t="shared" ca="1" si="18"/>
        <v>88963.431719333326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11316.950500000001</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4389.2688570564205</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39.986157247960108</v>
      </c>
      <c r="C8" s="1020">
        <f>'SEAP template'!C76</f>
        <v>9067.5263427520385</v>
      </c>
      <c r="D8" s="1020">
        <f>'SEAP template'!D76</f>
        <v>10666.955122286279</v>
      </c>
      <c r="E8" s="1020">
        <f>'SEAP template'!E76</f>
        <v>0</v>
      </c>
      <c r="F8" s="1020">
        <f>'SEAP template'!F76</f>
        <v>0</v>
      </c>
      <c r="G8" s="1020">
        <f>'SEAP template'!G76</f>
        <v>0</v>
      </c>
      <c r="H8" s="1020">
        <f>'SEAP template'!H76</f>
        <v>0</v>
      </c>
      <c r="I8" s="1020">
        <f>'SEAP template'!I76</f>
        <v>0</v>
      </c>
      <c r="J8" s="1020">
        <f>'SEAP template'!J76</f>
        <v>47.039349956519516</v>
      </c>
      <c r="K8" s="1020">
        <f>'SEAP template'!K76</f>
        <v>0</v>
      </c>
      <c r="L8" s="1020">
        <f>'SEAP template'!L76</f>
        <v>0</v>
      </c>
      <c r="M8" s="1020">
        <f>'SEAP template'!M76</f>
        <v>0</v>
      </c>
      <c r="N8" s="1020">
        <f>'SEAP template'!N76</f>
        <v>0</v>
      </c>
      <c r="O8" s="1020">
        <f>'SEAP template'!O76</f>
        <v>0</v>
      </c>
      <c r="P8" s="1021">
        <f>'SEAP template'!Q76</f>
        <v>2154.7249347018287</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15746.205514304382</v>
      </c>
      <c r="C10" s="1024">
        <f>SUM(C4:C9)</f>
        <v>9067.5263427520385</v>
      </c>
      <c r="D10" s="1024">
        <f t="shared" ref="D10:H10" si="0">SUM(D8:D9)</f>
        <v>10666.955122286279</v>
      </c>
      <c r="E10" s="1024">
        <f t="shared" si="0"/>
        <v>0</v>
      </c>
      <c r="F10" s="1024">
        <f t="shared" si="0"/>
        <v>0</v>
      </c>
      <c r="G10" s="1024">
        <f t="shared" si="0"/>
        <v>0</v>
      </c>
      <c r="H10" s="1024">
        <f t="shared" si="0"/>
        <v>0</v>
      </c>
      <c r="I10" s="1024">
        <f>SUM(I8:I9)</f>
        <v>0</v>
      </c>
      <c r="J10" s="1024">
        <f>SUM(J8:J9)</f>
        <v>47.039349956519516</v>
      </c>
      <c r="K10" s="1024">
        <f t="shared" ref="K10:L10" si="1">SUM(K8:K9)</f>
        <v>0</v>
      </c>
      <c r="L10" s="1024">
        <f t="shared" si="1"/>
        <v>0</v>
      </c>
      <c r="M10" s="1024">
        <f>SUM(M8:M9)</f>
        <v>0</v>
      </c>
      <c r="N10" s="1024">
        <f>SUM(N8:N9)</f>
        <v>0</v>
      </c>
      <c r="O10" s="1024">
        <f>SUM(O8:O9)</f>
        <v>0</v>
      </c>
      <c r="P10" s="1024">
        <f>SUM(P8:P9)</f>
        <v>2154.7249347018287</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0.17745950045023245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57.193642725764157</v>
      </c>
      <c r="C17" s="1026">
        <f>'SEAP template'!C87</f>
        <v>12969.609928702803</v>
      </c>
      <c r="D17" s="1021">
        <f>'SEAP template'!D87</f>
        <v>15257.330591999427</v>
      </c>
      <c r="E17" s="1021">
        <f>'SEAP template'!E87</f>
        <v>0</v>
      </c>
      <c r="F17" s="1021">
        <f>'SEAP template'!F87</f>
        <v>0</v>
      </c>
      <c r="G17" s="1021">
        <f>'SEAP template'!G87</f>
        <v>0</v>
      </c>
      <c r="H17" s="1021">
        <f>'SEAP template'!H87</f>
        <v>0</v>
      </c>
      <c r="I17" s="1021">
        <f>'SEAP template'!I87</f>
        <v>0</v>
      </c>
      <c r="J17" s="1021">
        <f>'SEAP template'!J87</f>
        <v>67.28207861490904</v>
      </c>
      <c r="K17" s="1021">
        <f>'SEAP template'!K87</f>
        <v>0</v>
      </c>
      <c r="L17" s="1021">
        <f>'SEAP template'!L87</f>
        <v>0</v>
      </c>
      <c r="M17" s="1021">
        <f>'SEAP template'!M87</f>
        <v>0</v>
      </c>
      <c r="N17" s="1021">
        <f>'SEAP template'!N87</f>
        <v>0</v>
      </c>
      <c r="O17" s="1021">
        <f>'SEAP template'!O87</f>
        <v>0</v>
      </c>
      <c r="P17" s="1021">
        <f>'SEAP template'!Q87</f>
        <v>3081.9807795838847</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57.193642725764157</v>
      </c>
      <c r="C20" s="1024">
        <f>SUM(C17:C19)</f>
        <v>12969.609928702803</v>
      </c>
      <c r="D20" s="1024">
        <f t="shared" ref="D20:H20" si="2">SUM(D17:D19)</f>
        <v>15257.330591999427</v>
      </c>
      <c r="E20" s="1024">
        <f t="shared" si="2"/>
        <v>0</v>
      </c>
      <c r="F20" s="1024">
        <f t="shared" si="2"/>
        <v>0</v>
      </c>
      <c r="G20" s="1024">
        <f t="shared" si="2"/>
        <v>0</v>
      </c>
      <c r="H20" s="1024">
        <f t="shared" si="2"/>
        <v>0</v>
      </c>
      <c r="I20" s="1024">
        <f>SUM(I17:I19)</f>
        <v>0</v>
      </c>
      <c r="J20" s="1024">
        <f>SUM(J17:J19)</f>
        <v>67.28207861490904</v>
      </c>
      <c r="K20" s="1024">
        <f t="shared" ref="K20:L20" si="3">SUM(K17:K19)</f>
        <v>0</v>
      </c>
      <c r="L20" s="1024">
        <f t="shared" si="3"/>
        <v>0</v>
      </c>
      <c r="M20" s="1024">
        <f>SUM(M17:M19)</f>
        <v>0</v>
      </c>
      <c r="N20" s="1024">
        <f>SUM(N17:N19)</f>
        <v>0</v>
      </c>
      <c r="O20" s="1024">
        <f>SUM(O17:O19)</f>
        <v>0</v>
      </c>
      <c r="P20" s="1024">
        <f>SUM(P17:P19)</f>
        <v>3081.9807795838847</v>
      </c>
    </row>
    <row r="22" spans="1:16">
      <c r="A22" s="461" t="s">
        <v>856</v>
      </c>
      <c r="B22" s="767" t="s">
        <v>850</v>
      </c>
      <c r="C22" s="767">
        <f ca="1">'EF ele_warmte'!B22</f>
        <v>0.23658764505696028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0.17745950045023245</v>
      </c>
      <c r="C17" s="498">
        <f ca="1">'EF ele_warmte'!B22</f>
        <v>0.23658764505696028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0.17745950045023245</v>
      </c>
      <c r="C17" s="498">
        <f ca="1">'EF ele_warmte'!B22</f>
        <v>0.23658764505696028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0.17745950045023245</v>
      </c>
      <c r="C29" s="499">
        <f ca="1">'EF ele_warmte'!B22</f>
        <v>0.23658764505696028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7139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3029</v>
      </c>
      <c r="C14" s="327"/>
      <c r="D14" s="327"/>
      <c r="E14" s="327"/>
      <c r="F14" s="327"/>
    </row>
    <row r="15" spans="1:6">
      <c r="A15" s="1296" t="s">
        <v>177</v>
      </c>
      <c r="B15" s="1297">
        <v>682</v>
      </c>
      <c r="C15" s="327"/>
      <c r="D15" s="327"/>
      <c r="E15" s="327"/>
      <c r="F15" s="327"/>
    </row>
    <row r="16" spans="1:6">
      <c r="A16" s="1296" t="s">
        <v>6</v>
      </c>
      <c r="B16" s="1297">
        <v>3491</v>
      </c>
      <c r="C16" s="327"/>
      <c r="D16" s="327"/>
      <c r="E16" s="327"/>
      <c r="F16" s="327"/>
    </row>
    <row r="17" spans="1:6">
      <c r="A17" s="1296" t="s">
        <v>7</v>
      </c>
      <c r="B17" s="1297">
        <v>147</v>
      </c>
      <c r="C17" s="327"/>
      <c r="D17" s="327"/>
      <c r="E17" s="327"/>
      <c r="F17" s="327"/>
    </row>
    <row r="18" spans="1:6">
      <c r="A18" s="1296" t="s">
        <v>8</v>
      </c>
      <c r="B18" s="1297">
        <v>1826</v>
      </c>
      <c r="C18" s="327"/>
      <c r="D18" s="327"/>
      <c r="E18" s="327"/>
      <c r="F18" s="327"/>
    </row>
    <row r="19" spans="1:6">
      <c r="A19" s="1296" t="s">
        <v>9</v>
      </c>
      <c r="B19" s="1297">
        <v>1515</v>
      </c>
      <c r="C19" s="327"/>
      <c r="D19" s="327"/>
      <c r="E19" s="327"/>
      <c r="F19" s="327"/>
    </row>
    <row r="20" spans="1:6">
      <c r="A20" s="1296" t="s">
        <v>10</v>
      </c>
      <c r="B20" s="1297">
        <v>760</v>
      </c>
      <c r="C20" s="327"/>
      <c r="D20" s="327"/>
      <c r="E20" s="327"/>
      <c r="F20" s="327"/>
    </row>
    <row r="21" spans="1:6">
      <c r="A21" s="1296" t="s">
        <v>11</v>
      </c>
      <c r="B21" s="1297">
        <v>9830</v>
      </c>
      <c r="C21" s="327"/>
      <c r="D21" s="327"/>
      <c r="E21" s="327"/>
      <c r="F21" s="327"/>
    </row>
    <row r="22" spans="1:6">
      <c r="A22" s="1296" t="s">
        <v>12</v>
      </c>
      <c r="B22" s="1297">
        <v>21502</v>
      </c>
      <c r="C22" s="327"/>
      <c r="D22" s="327"/>
      <c r="E22" s="327"/>
      <c r="F22" s="327"/>
    </row>
    <row r="23" spans="1:6">
      <c r="A23" s="1296" t="s">
        <v>13</v>
      </c>
      <c r="B23" s="1297">
        <v>416</v>
      </c>
      <c r="C23" s="327"/>
      <c r="D23" s="327"/>
      <c r="E23" s="327"/>
      <c r="F23" s="327"/>
    </row>
    <row r="24" spans="1:6">
      <c r="A24" s="1296" t="s">
        <v>14</v>
      </c>
      <c r="B24" s="1297">
        <v>16</v>
      </c>
      <c r="C24" s="327"/>
      <c r="D24" s="327"/>
      <c r="E24" s="327"/>
      <c r="F24" s="327"/>
    </row>
    <row r="25" spans="1:6">
      <c r="A25" s="1296" t="s">
        <v>15</v>
      </c>
      <c r="B25" s="1297">
        <v>1682</v>
      </c>
      <c r="C25" s="327"/>
      <c r="D25" s="327"/>
      <c r="E25" s="327"/>
      <c r="F25" s="327"/>
    </row>
    <row r="26" spans="1:6">
      <c r="A26" s="1296" t="s">
        <v>16</v>
      </c>
      <c r="B26" s="1297">
        <v>37</v>
      </c>
      <c r="C26" s="327"/>
      <c r="D26" s="327"/>
      <c r="E26" s="327"/>
      <c r="F26" s="327"/>
    </row>
    <row r="27" spans="1:6">
      <c r="A27" s="1296" t="s">
        <v>17</v>
      </c>
      <c r="B27" s="1297">
        <v>213</v>
      </c>
      <c r="C27" s="327"/>
      <c r="D27" s="327"/>
      <c r="E27" s="327"/>
      <c r="F27" s="327"/>
    </row>
    <row r="28" spans="1:6">
      <c r="A28" s="1296" t="s">
        <v>18</v>
      </c>
      <c r="B28" s="1298">
        <v>148000</v>
      </c>
      <c r="C28" s="327"/>
      <c r="D28" s="327"/>
      <c r="E28" s="327"/>
      <c r="F28" s="327"/>
    </row>
    <row r="29" spans="1:6">
      <c r="A29" s="1296" t="s">
        <v>922</v>
      </c>
      <c r="B29" s="1298">
        <v>335</v>
      </c>
      <c r="C29" s="327"/>
      <c r="D29" s="327"/>
      <c r="E29" s="327"/>
      <c r="F29" s="327"/>
    </row>
    <row r="30" spans="1:6">
      <c r="A30" s="1291" t="s">
        <v>923</v>
      </c>
      <c r="B30" s="1299">
        <v>71</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337752.40883475298</v>
      </c>
      <c r="E38" s="1297">
        <v>7</v>
      </c>
      <c r="F38" s="1297">
        <v>185369.932969991</v>
      </c>
    </row>
    <row r="39" spans="1:6">
      <c r="A39" s="1296" t="s">
        <v>29</v>
      </c>
      <c r="B39" s="1296" t="s">
        <v>30</v>
      </c>
      <c r="C39" s="1297">
        <v>5286</v>
      </c>
      <c r="D39" s="1297">
        <v>125009079.26914801</v>
      </c>
      <c r="E39" s="1297">
        <v>6945</v>
      </c>
      <c r="F39" s="1297">
        <v>33478818.248790599</v>
      </c>
    </row>
    <row r="40" spans="1:6">
      <c r="A40" s="1296" t="s">
        <v>29</v>
      </c>
      <c r="B40" s="1296" t="s">
        <v>28</v>
      </c>
      <c r="C40" s="1297">
        <v>0</v>
      </c>
      <c r="D40" s="1297">
        <v>0</v>
      </c>
      <c r="E40" s="1297">
        <v>0</v>
      </c>
      <c r="F40" s="1297">
        <v>0</v>
      </c>
    </row>
    <row r="41" spans="1:6">
      <c r="A41" s="1296" t="s">
        <v>31</v>
      </c>
      <c r="B41" s="1296" t="s">
        <v>32</v>
      </c>
      <c r="C41" s="1297">
        <v>75</v>
      </c>
      <c r="D41" s="1297">
        <v>2170068.4999498301</v>
      </c>
      <c r="E41" s="1297">
        <v>160</v>
      </c>
      <c r="F41" s="1297">
        <v>1694557.3567953301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8</v>
      </c>
      <c r="D44" s="1297">
        <v>276935.79213939502</v>
      </c>
      <c r="E44" s="1297">
        <v>16</v>
      </c>
      <c r="F44" s="1297">
        <v>898395.52821229899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6</v>
      </c>
      <c r="D47" s="1297">
        <v>192166.34869019</v>
      </c>
      <c r="E47" s="1297">
        <v>8</v>
      </c>
      <c r="F47" s="1297">
        <v>162434.817533277</v>
      </c>
    </row>
    <row r="48" spans="1:6">
      <c r="A48" s="1296" t="s">
        <v>31</v>
      </c>
      <c r="B48" s="1296" t="s">
        <v>28</v>
      </c>
      <c r="C48" s="1297">
        <v>32</v>
      </c>
      <c r="D48" s="1297">
        <v>12229722.602493901</v>
      </c>
      <c r="E48" s="1297">
        <v>33</v>
      </c>
      <c r="F48" s="1297">
        <v>4979726.3274081396</v>
      </c>
    </row>
    <row r="49" spans="1:6">
      <c r="A49" s="1296" t="s">
        <v>31</v>
      </c>
      <c r="B49" s="1296" t="s">
        <v>39</v>
      </c>
      <c r="C49" s="1297">
        <v>0</v>
      </c>
      <c r="D49" s="1297">
        <v>0</v>
      </c>
      <c r="E49" s="1297">
        <v>0</v>
      </c>
      <c r="F49" s="1297">
        <v>0</v>
      </c>
    </row>
    <row r="50" spans="1:6">
      <c r="A50" s="1296" t="s">
        <v>31</v>
      </c>
      <c r="B50" s="1296" t="s">
        <v>40</v>
      </c>
      <c r="C50" s="1297">
        <v>12</v>
      </c>
      <c r="D50" s="1297">
        <v>2170832.8948066798</v>
      </c>
      <c r="E50" s="1297">
        <v>19</v>
      </c>
      <c r="F50" s="1297">
        <v>8318812.2822641796</v>
      </c>
    </row>
    <row r="51" spans="1:6">
      <c r="A51" s="1296" t="s">
        <v>41</v>
      </c>
      <c r="B51" s="1296" t="s">
        <v>42</v>
      </c>
      <c r="C51" s="1297">
        <v>24</v>
      </c>
      <c r="D51" s="1297">
        <v>821159.84848331299</v>
      </c>
      <c r="E51" s="1297">
        <v>108</v>
      </c>
      <c r="F51" s="1297">
        <v>2976734.8005007901</v>
      </c>
    </row>
    <row r="52" spans="1:6">
      <c r="A52" s="1296" t="s">
        <v>41</v>
      </c>
      <c r="B52" s="1296" t="s">
        <v>28</v>
      </c>
      <c r="C52" s="1297">
        <v>6</v>
      </c>
      <c r="D52" s="1297">
        <v>36691208.634594403</v>
      </c>
      <c r="E52" s="1297">
        <v>8</v>
      </c>
      <c r="F52" s="1297">
        <v>117269.24844164</v>
      </c>
    </row>
    <row r="53" spans="1:6">
      <c r="A53" s="1296" t="s">
        <v>43</v>
      </c>
      <c r="B53" s="1296" t="s">
        <v>44</v>
      </c>
      <c r="C53" s="1297">
        <v>111</v>
      </c>
      <c r="D53" s="1297">
        <v>4209197.98534582</v>
      </c>
      <c r="E53" s="1297">
        <v>191</v>
      </c>
      <c r="F53" s="1297">
        <v>896725.14525839197</v>
      </c>
    </row>
    <row r="54" spans="1:6">
      <c r="A54" s="1296" t="s">
        <v>45</v>
      </c>
      <c r="B54" s="1296" t="s">
        <v>46</v>
      </c>
      <c r="C54" s="1297">
        <v>0</v>
      </c>
      <c r="D54" s="1297">
        <v>0</v>
      </c>
      <c r="E54" s="1297">
        <v>1</v>
      </c>
      <c r="F54" s="1297">
        <v>1081405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27</v>
      </c>
      <c r="D57" s="1297">
        <v>772886.39100062696</v>
      </c>
      <c r="E57" s="1297">
        <v>59</v>
      </c>
      <c r="F57" s="1297">
        <v>2439543.3018554598</v>
      </c>
    </row>
    <row r="58" spans="1:6">
      <c r="A58" s="1296" t="s">
        <v>48</v>
      </c>
      <c r="B58" s="1296" t="s">
        <v>50</v>
      </c>
      <c r="C58" s="1297">
        <v>29</v>
      </c>
      <c r="D58" s="1297">
        <v>990826.72153449396</v>
      </c>
      <c r="E58" s="1297">
        <v>31</v>
      </c>
      <c r="F58" s="1297">
        <v>228387.85406273001</v>
      </c>
    </row>
    <row r="59" spans="1:6">
      <c r="A59" s="1296" t="s">
        <v>48</v>
      </c>
      <c r="B59" s="1296" t="s">
        <v>51</v>
      </c>
      <c r="C59" s="1297">
        <v>108</v>
      </c>
      <c r="D59" s="1297">
        <v>4679239.5451603103</v>
      </c>
      <c r="E59" s="1297">
        <v>197</v>
      </c>
      <c r="F59" s="1297">
        <v>6436834.84552735</v>
      </c>
    </row>
    <row r="60" spans="1:6">
      <c r="A60" s="1296" t="s">
        <v>48</v>
      </c>
      <c r="B60" s="1296" t="s">
        <v>52</v>
      </c>
      <c r="C60" s="1297">
        <v>60</v>
      </c>
      <c r="D60" s="1297">
        <v>3210380.7161731599</v>
      </c>
      <c r="E60" s="1297">
        <v>74</v>
      </c>
      <c r="F60" s="1297">
        <v>1774062.6859232699</v>
      </c>
    </row>
    <row r="61" spans="1:6">
      <c r="A61" s="1296" t="s">
        <v>48</v>
      </c>
      <c r="B61" s="1296" t="s">
        <v>53</v>
      </c>
      <c r="C61" s="1297">
        <v>206</v>
      </c>
      <c r="D61" s="1297">
        <v>15327134.227626299</v>
      </c>
      <c r="E61" s="1297">
        <v>381</v>
      </c>
      <c r="F61" s="1297">
        <v>5071579.5364061603</v>
      </c>
    </row>
    <row r="62" spans="1:6">
      <c r="A62" s="1296" t="s">
        <v>48</v>
      </c>
      <c r="B62" s="1296" t="s">
        <v>54</v>
      </c>
      <c r="C62" s="1297">
        <v>17</v>
      </c>
      <c r="D62" s="1297">
        <v>3138343.23902972</v>
      </c>
      <c r="E62" s="1297">
        <v>20</v>
      </c>
      <c r="F62" s="1297">
        <v>604846.13394576905</v>
      </c>
    </row>
    <row r="63" spans="1:6">
      <c r="A63" s="1296" t="s">
        <v>48</v>
      </c>
      <c r="B63" s="1296" t="s">
        <v>28</v>
      </c>
      <c r="C63" s="1297">
        <v>106</v>
      </c>
      <c r="D63" s="1297">
        <v>4868151.52359863</v>
      </c>
      <c r="E63" s="1297">
        <v>101</v>
      </c>
      <c r="F63" s="1297">
        <v>2326511.97732609</v>
      </c>
    </row>
    <row r="64" spans="1:6">
      <c r="A64" s="1296" t="s">
        <v>55</v>
      </c>
      <c r="B64" s="1296" t="s">
        <v>56</v>
      </c>
      <c r="C64" s="1297">
        <v>0</v>
      </c>
      <c r="D64" s="1297">
        <v>0</v>
      </c>
      <c r="E64" s="1297">
        <v>0</v>
      </c>
      <c r="F64" s="1297">
        <v>0</v>
      </c>
    </row>
    <row r="65" spans="1:6">
      <c r="A65" s="1296" t="s">
        <v>55</v>
      </c>
      <c r="B65" s="1296" t="s">
        <v>28</v>
      </c>
      <c r="C65" s="1297">
        <v>1</v>
      </c>
      <c r="D65" s="1297">
        <v>14709.904084944001</v>
      </c>
      <c r="E65" s="1297">
        <v>1</v>
      </c>
      <c r="F65" s="1297">
        <v>9441.0436407842008</v>
      </c>
    </row>
    <row r="66" spans="1:6">
      <c r="A66" s="1296" t="s">
        <v>55</v>
      </c>
      <c r="B66" s="1296" t="s">
        <v>57</v>
      </c>
      <c r="C66" s="1297">
        <v>0</v>
      </c>
      <c r="D66" s="1297">
        <v>0</v>
      </c>
      <c r="E66" s="1297">
        <v>0</v>
      </c>
      <c r="F66" s="1297">
        <v>0</v>
      </c>
    </row>
    <row r="67" spans="1:6">
      <c r="A67" s="1296" t="s">
        <v>55</v>
      </c>
      <c r="B67" s="1296" t="s">
        <v>58</v>
      </c>
      <c r="C67" s="1297">
        <v>0</v>
      </c>
      <c r="D67" s="1297">
        <v>0</v>
      </c>
      <c r="E67" s="1297">
        <v>3</v>
      </c>
      <c r="F67" s="1297">
        <v>39248.261867868103</v>
      </c>
    </row>
    <row r="68" spans="1:6">
      <c r="A68" s="1291" t="s">
        <v>55</v>
      </c>
      <c r="B68" s="1291" t="s">
        <v>59</v>
      </c>
      <c r="C68" s="1299">
        <v>6</v>
      </c>
      <c r="D68" s="1299">
        <v>176696.415164523</v>
      </c>
      <c r="E68" s="1299">
        <v>12</v>
      </c>
      <c r="F68" s="1299">
        <v>197343.64952461599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74345908</v>
      </c>
      <c r="E73" s="446"/>
      <c r="F73" s="327"/>
    </row>
    <row r="74" spans="1:6">
      <c r="A74" s="1296" t="s">
        <v>63</v>
      </c>
      <c r="B74" s="1296" t="s">
        <v>706</v>
      </c>
      <c r="C74" s="1309" t="s">
        <v>707</v>
      </c>
      <c r="D74" s="1297">
        <v>4887911.5363495722</v>
      </c>
      <c r="E74" s="446"/>
      <c r="F74" s="327"/>
    </row>
    <row r="75" spans="1:6">
      <c r="A75" s="1296" t="s">
        <v>64</v>
      </c>
      <c r="B75" s="1296" t="s">
        <v>704</v>
      </c>
      <c r="C75" s="1309" t="s">
        <v>708</v>
      </c>
      <c r="D75" s="1297">
        <v>16504160</v>
      </c>
      <c r="E75" s="446"/>
      <c r="F75" s="327"/>
    </row>
    <row r="76" spans="1:6">
      <c r="A76" s="1296" t="s">
        <v>64</v>
      </c>
      <c r="B76" s="1296" t="s">
        <v>706</v>
      </c>
      <c r="C76" s="1309" t="s">
        <v>709</v>
      </c>
      <c r="D76" s="1297">
        <v>631147.53634957259</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263248.92730085482</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11316.950500000001</v>
      </c>
      <c r="C90" s="327"/>
      <c r="D90" s="327"/>
      <c r="E90" s="327"/>
      <c r="F90" s="327"/>
    </row>
    <row r="91" spans="1:6">
      <c r="A91" s="1296" t="s">
        <v>67</v>
      </c>
      <c r="B91" s="1297">
        <v>2961.7923156111692</v>
      </c>
      <c r="C91" s="327"/>
      <c r="D91" s="327"/>
      <c r="E91" s="327"/>
      <c r="F91" s="327"/>
    </row>
    <row r="92" spans="1:6">
      <c r="A92" s="1291" t="s">
        <v>68</v>
      </c>
      <c r="B92" s="1292">
        <v>1427.4765414452518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3771</v>
      </c>
      <c r="C97" s="327"/>
      <c r="D97" s="327"/>
      <c r="E97" s="327"/>
      <c r="F97" s="327"/>
    </row>
    <row r="98" spans="1:6">
      <c r="A98" s="1296" t="s">
        <v>71</v>
      </c>
      <c r="B98" s="1297">
        <v>6</v>
      </c>
      <c r="C98" s="327"/>
      <c r="D98" s="327"/>
      <c r="E98" s="327"/>
      <c r="F98" s="327"/>
    </row>
    <row r="99" spans="1:6">
      <c r="A99" s="1296" t="s">
        <v>72</v>
      </c>
      <c r="B99" s="1297">
        <v>60</v>
      </c>
      <c r="C99" s="327"/>
      <c r="D99" s="327"/>
      <c r="E99" s="327"/>
      <c r="F99" s="327"/>
    </row>
    <row r="100" spans="1:6">
      <c r="A100" s="1296" t="s">
        <v>73</v>
      </c>
      <c r="B100" s="1297">
        <v>624</v>
      </c>
      <c r="C100" s="327"/>
      <c r="D100" s="327"/>
      <c r="E100" s="327"/>
      <c r="F100" s="327"/>
    </row>
    <row r="101" spans="1:6">
      <c r="A101" s="1296" t="s">
        <v>74</v>
      </c>
      <c r="B101" s="1297">
        <v>113</v>
      </c>
      <c r="C101" s="327"/>
      <c r="D101" s="327"/>
      <c r="E101" s="327"/>
      <c r="F101" s="327"/>
    </row>
    <row r="102" spans="1:6">
      <c r="A102" s="1296" t="s">
        <v>75</v>
      </c>
      <c r="B102" s="1297">
        <v>88</v>
      </c>
      <c r="C102" s="327"/>
      <c r="D102" s="327"/>
      <c r="E102" s="327"/>
      <c r="F102" s="327"/>
    </row>
    <row r="103" spans="1:6">
      <c r="A103" s="1296" t="s">
        <v>76</v>
      </c>
      <c r="B103" s="1297">
        <v>105</v>
      </c>
      <c r="C103" s="327"/>
      <c r="D103" s="327"/>
      <c r="E103" s="327"/>
      <c r="F103" s="327"/>
    </row>
    <row r="104" spans="1:6">
      <c r="A104" s="1296" t="s">
        <v>77</v>
      </c>
      <c r="B104" s="1297">
        <v>1450</v>
      </c>
      <c r="C104" s="327"/>
      <c r="D104" s="327"/>
      <c r="E104" s="327"/>
      <c r="F104" s="327"/>
    </row>
    <row r="105" spans="1:6">
      <c r="A105" s="1291"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1</v>
      </c>
      <c r="C121" s="1297">
        <v>0</v>
      </c>
      <c r="D121" s="327"/>
      <c r="E121" s="327"/>
      <c r="F121" s="327"/>
    </row>
    <row r="122" spans="1:6">
      <c r="A122" s="1296" t="s">
        <v>86</v>
      </c>
      <c r="B122" s="1297">
        <v>0</v>
      </c>
      <c r="C122" s="1297">
        <v>0</v>
      </c>
      <c r="D122" s="327"/>
      <c r="E122" s="327"/>
      <c r="F122" s="327"/>
    </row>
    <row r="123" spans="1:6">
      <c r="A123" s="1296" t="s">
        <v>87</v>
      </c>
      <c r="B123" s="1297">
        <v>12</v>
      </c>
      <c r="C123" s="1297">
        <v>13</v>
      </c>
      <c r="D123" s="327"/>
      <c r="E123" s="327"/>
      <c r="F123" s="327"/>
    </row>
    <row r="124" spans="1:6">
      <c r="A124" s="1296" t="s">
        <v>88</v>
      </c>
      <c r="B124" s="1297">
        <v>1</v>
      </c>
      <c r="C124" s="1297">
        <v>2</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103</v>
      </c>
      <c r="C129" s="327"/>
      <c r="D129" s="327"/>
      <c r="E129" s="327"/>
      <c r="F129" s="327"/>
    </row>
    <row r="130" spans="1:6">
      <c r="A130" s="1296" t="s">
        <v>284</v>
      </c>
      <c r="B130" s="1297">
        <v>0</v>
      </c>
      <c r="C130" s="327"/>
      <c r="D130" s="327"/>
      <c r="E130" s="327"/>
      <c r="F130" s="327"/>
    </row>
    <row r="131" spans="1:6">
      <c r="A131" s="1296" t="s">
        <v>285</v>
      </c>
      <c r="B131" s="1297">
        <v>3</v>
      </c>
      <c r="C131" s="327"/>
      <c r="D131" s="327"/>
      <c r="E131" s="327"/>
      <c r="F131" s="327"/>
    </row>
    <row r="132" spans="1:6">
      <c r="A132" s="1291" t="s">
        <v>286</v>
      </c>
      <c r="B132" s="1292">
        <v>17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76460.073727505369</v>
      </c>
      <c r="C3" s="43" t="s">
        <v>163</v>
      </c>
      <c r="D3" s="43"/>
      <c r="E3" s="156"/>
      <c r="F3" s="43"/>
      <c r="G3" s="43"/>
      <c r="H3" s="43"/>
      <c r="I3" s="43"/>
      <c r="J3" s="43"/>
      <c r="K3" s="96"/>
    </row>
    <row r="4" spans="1:11">
      <c r="A4" s="353" t="s">
        <v>164</v>
      </c>
      <c r="B4" s="49">
        <f>IF(ISERROR('SEAP template'!B78+'SEAP template'!C78),0,'SEAP template'!B78+'SEAP template'!C78)</f>
        <v>24813.73185705642</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2154.7249347018287</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0.17745950045023245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3081.9807795838847</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13026.803571428569</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0.23658764505696028</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1081.405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1081.405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0.17745950045023245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191.90559108438362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33478.818248790602</v>
      </c>
      <c r="C5" s="17">
        <f>IF(ISERROR('Eigen informatie GS &amp; warmtenet'!B57),0,'Eigen informatie GS &amp; warmtenet'!B57)</f>
        <v>0</v>
      </c>
      <c r="D5" s="30">
        <f>(SUM(HH_hh_gas_kWh,HH_rest_gas_kWh)/1000)*0.902</f>
        <v>112758.18950077151</v>
      </c>
      <c r="E5" s="17">
        <f>B32*B41</f>
        <v>1198.6017150310456</v>
      </c>
      <c r="F5" s="17">
        <f>B36*B45</f>
        <v>36731.716203988901</v>
      </c>
      <c r="G5" s="18"/>
      <c r="H5" s="17"/>
      <c r="I5" s="17"/>
      <c r="J5" s="17">
        <f>B35*B44+C35*C44</f>
        <v>695.62556565105058</v>
      </c>
      <c r="K5" s="17"/>
      <c r="L5" s="17"/>
      <c r="M5" s="17"/>
      <c r="N5" s="17">
        <f>B34*B43+C34*C43</f>
        <v>10820.507915234723</v>
      </c>
      <c r="O5" s="17">
        <f>B52*B53*B54</f>
        <v>184.47333333333336</v>
      </c>
      <c r="P5" s="17">
        <f>B60*B61*B62/1000-B60*B61*B62/1000/B63</f>
        <v>572</v>
      </c>
    </row>
    <row r="6" spans="1:16">
      <c r="A6" s="16" t="s">
        <v>617</v>
      </c>
      <c r="B6" s="769">
        <f>kWh_PV_kleiner_dan_10kW</f>
        <v>2961.7923156111692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36440.610564401773</v>
      </c>
      <c r="C8" s="21">
        <f>C5</f>
        <v>0</v>
      </c>
      <c r="D8" s="21">
        <f>D5</f>
        <v>112758.18950077151</v>
      </c>
      <c r="E8" s="21">
        <f>E5</f>
        <v>1198.6017150310456</v>
      </c>
      <c r="F8" s="21">
        <f>F5</f>
        <v>36731.716203988901</v>
      </c>
      <c r="G8" s="21"/>
      <c r="H8" s="21"/>
      <c r="I8" s="21"/>
      <c r="J8" s="21">
        <f>J5</f>
        <v>695.62556565105058</v>
      </c>
      <c r="K8" s="21"/>
      <c r="L8" s="21">
        <f>L5</f>
        <v>0</v>
      </c>
      <c r="M8" s="21">
        <f>M5</f>
        <v>0</v>
      </c>
      <c r="N8" s="21">
        <f>N5</f>
        <v>10820.507915234723</v>
      </c>
      <c r="O8" s="21">
        <f>O5</f>
        <v>184.47333333333336</v>
      </c>
      <c r="P8" s="21">
        <f>P5</f>
        <v>572</v>
      </c>
    </row>
    <row r="9" spans="1:16">
      <c r="B9" s="19"/>
      <c r="C9" s="19"/>
      <c r="D9" s="257"/>
      <c r="E9" s="19"/>
      <c r="F9" s="19"/>
      <c r="G9" s="19"/>
      <c r="H9" s="19"/>
      <c r="I9" s="19"/>
      <c r="J9" s="19"/>
      <c r="K9" s="19"/>
      <c r="L9" s="19"/>
      <c r="M9" s="19"/>
      <c r="N9" s="19"/>
      <c r="O9" s="19"/>
      <c r="P9" s="19"/>
    </row>
    <row r="10" spans="1:16">
      <c r="A10" s="24" t="s">
        <v>207</v>
      </c>
      <c r="B10" s="25">
        <f ca="1">'EF ele_warmte'!B12</f>
        <v>0.17745950045023245</v>
      </c>
      <c r="C10" s="25">
        <f ca="1">'EF ele_warmte'!B22</f>
        <v>0.23658764505696028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6466.7325468602021</v>
      </c>
      <c r="C12" s="23">
        <f ca="1">C10*C8</f>
        <v>0</v>
      </c>
      <c r="D12" s="23">
        <f>D8*D10</f>
        <v>22777.154279155846</v>
      </c>
      <c r="E12" s="23">
        <f>E10*E8</f>
        <v>272.08258931204739</v>
      </c>
      <c r="F12" s="23">
        <f>F10*F8</f>
        <v>9807.3682264650379</v>
      </c>
      <c r="G12" s="23"/>
      <c r="H12" s="23"/>
      <c r="I12" s="23"/>
      <c r="J12" s="23">
        <f>J10*J8</f>
        <v>246.25145024047188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7139</v>
      </c>
      <c r="C26" s="36"/>
      <c r="D26" s="227"/>
    </row>
    <row r="27" spans="1:5" s="15" customFormat="1">
      <c r="A27" s="229" t="s">
        <v>722</v>
      </c>
      <c r="B27" s="37">
        <f>SUM(HH_hh_gas_aantal,HH_rest_gas_aantal)</f>
        <v>5286</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5021.7</v>
      </c>
      <c r="C31" s="34" t="s">
        <v>104</v>
      </c>
      <c r="D31" s="173"/>
    </row>
    <row r="32" spans="1:5">
      <c r="A32" s="170" t="s">
        <v>72</v>
      </c>
      <c r="B32" s="33">
        <f>IF((B21*($B$26-($B$27-0.05*$B$27)-$B$60))&lt;0,0,B21*($B$26-($B$27-0.05*$B$27)-$B$60))</f>
        <v>52.26925248075581</v>
      </c>
      <c r="C32" s="34" t="s">
        <v>104</v>
      </c>
      <c r="D32" s="173"/>
    </row>
    <row r="33" spans="1:6">
      <c r="A33" s="170" t="s">
        <v>73</v>
      </c>
      <c r="B33" s="33">
        <f>IF((B22*($B$26-($B$27-0.05*$B$27)-$B$60))&lt;0,0,B22*($B$26-($B$27-0.05*$B$27)-$B$60))</f>
        <v>351.83337263975426</v>
      </c>
      <c r="C33" s="34" t="s">
        <v>104</v>
      </c>
      <c r="D33" s="173"/>
    </row>
    <row r="34" spans="1:6">
      <c r="A34" s="170" t="s">
        <v>74</v>
      </c>
      <c r="B34" s="33">
        <f>IF((B24*($B$26-($B$27-0.05*$B$27)-$B$60))&lt;0,0,B24*($B$26-($B$27-0.05*$B$27)-$B$60))</f>
        <v>89.264895570428891</v>
      </c>
      <c r="C34" s="33">
        <f>B26*C24</f>
        <v>1460.3543228018523</v>
      </c>
      <c r="D34" s="232"/>
    </row>
    <row r="35" spans="1:6">
      <c r="A35" s="170" t="s">
        <v>76</v>
      </c>
      <c r="B35" s="33">
        <f>IF((B19*($B$26-($B$27-0.05*$B$27)-$B$60))&lt;0,0,B19*($B$26-($B$27-0.05*$B$27)-$B$60))</f>
        <v>33.173767340924137</v>
      </c>
      <c r="C35" s="33">
        <f>B35/2</f>
        <v>16.586883670462068</v>
      </c>
      <c r="D35" s="232"/>
    </row>
    <row r="36" spans="1:6">
      <c r="A36" s="170" t="s">
        <v>77</v>
      </c>
      <c r="B36" s="33">
        <f>IF((B18*($B$26-($B$27-0.05*$B$27)-$B$60))&lt;0,0,B18*($B$26-($B$27-0.05*$B$27)-$B$60))</f>
        <v>1560.7587119681373</v>
      </c>
      <c r="C36" s="34" t="s">
        <v>104</v>
      </c>
      <c r="D36" s="173"/>
    </row>
    <row r="37" spans="1:6">
      <c r="A37" s="170" t="s">
        <v>78</v>
      </c>
      <c r="B37" s="33">
        <f>B60</f>
        <v>30</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118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30</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18881.766335046828</v>
      </c>
      <c r="C5" s="17">
        <f>IF(ISERROR('Eigen informatie GS &amp; warmtenet'!B58),0,'Eigen informatie GS &amp; warmtenet'!B58)</f>
        <v>0</v>
      </c>
      <c r="D5" s="30">
        <f>SUM(D6:D12)</f>
        <v>29754.240052439163</v>
      </c>
      <c r="E5" s="17">
        <f>SUM(E6:E12)</f>
        <v>252.65778774083549</v>
      </c>
      <c r="F5" s="17">
        <f>SUM(F6:F12)</f>
        <v>3842.4096455824879</v>
      </c>
      <c r="G5" s="18"/>
      <c r="H5" s="17"/>
      <c r="I5" s="17"/>
      <c r="J5" s="17">
        <f>SUM(J6:J12)</f>
        <v>0</v>
      </c>
      <c r="K5" s="17"/>
      <c r="L5" s="17"/>
      <c r="M5" s="17"/>
      <c r="N5" s="17">
        <f>SUM(N6:N12)</f>
        <v>1907.6837061999536</v>
      </c>
      <c r="O5" s="17">
        <f>B38*B39*B40</f>
        <v>0</v>
      </c>
      <c r="P5" s="17">
        <f>B46*B47*B48/1000-B46*B47*B48/1000/B49</f>
        <v>76.266666666666666</v>
      </c>
      <c r="R5" s="32"/>
    </row>
    <row r="6" spans="1:18">
      <c r="A6" s="32" t="s">
        <v>53</v>
      </c>
      <c r="B6" s="37">
        <f>B26</f>
        <v>5071.5795364061605</v>
      </c>
      <c r="C6" s="33"/>
      <c r="D6" s="37">
        <f>IF(ISERROR(TER_kantoor_gas_kWh/1000),0,TER_kantoor_gas_kWh/1000)*0.902</f>
        <v>13825.075073318923</v>
      </c>
      <c r="E6" s="33">
        <f>$C$26*'E Balans VL '!I12/100/3.6*1000000</f>
        <v>19.704160214885679</v>
      </c>
      <c r="F6" s="33">
        <f>$C$26*('E Balans VL '!L12+'E Balans VL '!N12)/100/3.6*1000000</f>
        <v>771.34109979280902</v>
      </c>
      <c r="G6" s="34"/>
      <c r="H6" s="33"/>
      <c r="I6" s="33"/>
      <c r="J6" s="33">
        <f>$C$26*('E Balans VL '!D12+'E Balans VL '!E12)/100/3.6*1000000</f>
        <v>0</v>
      </c>
      <c r="K6" s="33"/>
      <c r="L6" s="33"/>
      <c r="M6" s="33"/>
      <c r="N6" s="33">
        <f>$C$26*'E Balans VL '!Y12/100/3.6*1000000</f>
        <v>2.7950478848259035</v>
      </c>
      <c r="O6" s="33"/>
      <c r="P6" s="33"/>
      <c r="R6" s="32"/>
    </row>
    <row r="7" spans="1:18">
      <c r="A7" s="32" t="s">
        <v>52</v>
      </c>
      <c r="B7" s="37">
        <f t="shared" ref="B7:B12" si="0">B27</f>
        <v>1774.06268592327</v>
      </c>
      <c r="C7" s="33"/>
      <c r="D7" s="37">
        <f>IF(ISERROR(TER_horeca_gas_kWh/1000),0,TER_horeca_gas_kWh/1000)*0.902</f>
        <v>2895.7634059881902</v>
      </c>
      <c r="E7" s="33">
        <f>$C$27*'E Balans VL '!I9/100/3.6*1000000</f>
        <v>99.933425403835827</v>
      </c>
      <c r="F7" s="33">
        <f>$C$27*('E Balans VL '!L9+'E Balans VL '!N9)/100/3.6*1000000</f>
        <v>511.53346765545507</v>
      </c>
      <c r="G7" s="34"/>
      <c r="H7" s="33"/>
      <c r="I7" s="33"/>
      <c r="J7" s="33">
        <f>$C$27*('E Balans VL '!D9+'E Balans VL '!E9)/100/3.6*1000000</f>
        <v>0</v>
      </c>
      <c r="K7" s="33"/>
      <c r="L7" s="33"/>
      <c r="M7" s="33"/>
      <c r="N7" s="33">
        <f>$C$27*'E Balans VL '!Y9/100/3.6*1000000</f>
        <v>0.48980948868632102</v>
      </c>
      <c r="O7" s="33"/>
      <c r="P7" s="33"/>
      <c r="R7" s="32"/>
    </row>
    <row r="8" spans="1:18">
      <c r="A8" s="6" t="s">
        <v>51</v>
      </c>
      <c r="B8" s="37">
        <f t="shared" si="0"/>
        <v>6436.8348455273499</v>
      </c>
      <c r="C8" s="33"/>
      <c r="D8" s="37">
        <f>IF(ISERROR(TER_handel_gas_kWh/1000),0,TER_handel_gas_kWh/1000)*0.902</f>
        <v>4220.6740697346004</v>
      </c>
      <c r="E8" s="33">
        <f>$C$28*'E Balans VL '!I13/100/3.6*1000000</f>
        <v>92.77662813232935</v>
      </c>
      <c r="F8" s="33">
        <f>$C$28*('E Balans VL '!L13+'E Balans VL '!N13)/100/3.6*1000000</f>
        <v>1118.2281164363187</v>
      </c>
      <c r="G8" s="34"/>
      <c r="H8" s="33"/>
      <c r="I8" s="33"/>
      <c r="J8" s="33">
        <f>$C$28*('E Balans VL '!D13+'E Balans VL '!E13)/100/3.6*1000000</f>
        <v>0</v>
      </c>
      <c r="K8" s="33"/>
      <c r="L8" s="33"/>
      <c r="M8" s="33"/>
      <c r="N8" s="33">
        <f>$C$28*'E Balans VL '!Y13/100/3.6*1000000</f>
        <v>19.285473760416259</v>
      </c>
      <c r="O8" s="33"/>
      <c r="P8" s="33"/>
      <c r="R8" s="32"/>
    </row>
    <row r="9" spans="1:18">
      <c r="A9" s="32" t="s">
        <v>50</v>
      </c>
      <c r="B9" s="37">
        <f t="shared" si="0"/>
        <v>228.38785406273001</v>
      </c>
      <c r="C9" s="33"/>
      <c r="D9" s="37">
        <f>IF(ISERROR(TER_gezond_gas_kWh/1000),0,TER_gezond_gas_kWh/1000)*0.902</f>
        <v>893.72570282411357</v>
      </c>
      <c r="E9" s="33">
        <f>$C$29*'E Balans VL '!I10/100/3.6*1000000</f>
        <v>0.24397742409686607</v>
      </c>
      <c r="F9" s="33">
        <f>$C$29*('E Balans VL '!L10+'E Balans VL '!N10)/100/3.6*1000000</f>
        <v>37.256999964977695</v>
      </c>
      <c r="G9" s="34"/>
      <c r="H9" s="33"/>
      <c r="I9" s="33"/>
      <c r="J9" s="33">
        <f>$C$29*('E Balans VL '!D10+'E Balans VL '!E10)/100/3.6*1000000</f>
        <v>0</v>
      </c>
      <c r="K9" s="33"/>
      <c r="L9" s="33"/>
      <c r="M9" s="33"/>
      <c r="N9" s="33">
        <f>$C$29*'E Balans VL '!Y10/100/3.6*1000000</f>
        <v>2.351122642066112</v>
      </c>
      <c r="O9" s="33"/>
      <c r="P9" s="33"/>
      <c r="R9" s="32"/>
    </row>
    <row r="10" spans="1:18">
      <c r="A10" s="32" t="s">
        <v>49</v>
      </c>
      <c r="B10" s="37">
        <f t="shared" si="0"/>
        <v>2439.54330185546</v>
      </c>
      <c r="C10" s="33"/>
      <c r="D10" s="37">
        <f>IF(ISERROR(TER_ander_gas_kWh/1000),0,TER_ander_gas_kWh/1000)*0.902</f>
        <v>697.14352468256561</v>
      </c>
      <c r="E10" s="33">
        <f>$C$30*'E Balans VL '!I14/100/3.6*1000000</f>
        <v>11.219088563150274</v>
      </c>
      <c r="F10" s="33">
        <f>$C$30*('E Balans VL '!L14+'E Balans VL '!N14)/100/3.6*1000000</f>
        <v>731.2080776779668</v>
      </c>
      <c r="G10" s="34"/>
      <c r="H10" s="33"/>
      <c r="I10" s="33"/>
      <c r="J10" s="33">
        <f>$C$30*('E Balans VL '!D14+'E Balans VL '!E14)/100/3.6*1000000</f>
        <v>0</v>
      </c>
      <c r="K10" s="33"/>
      <c r="L10" s="33"/>
      <c r="M10" s="33"/>
      <c r="N10" s="33">
        <f>$C$30*'E Balans VL '!Y14/100/3.6*1000000</f>
        <v>1698.0831742199973</v>
      </c>
      <c r="O10" s="33"/>
      <c r="P10" s="33"/>
      <c r="R10" s="32"/>
    </row>
    <row r="11" spans="1:18">
      <c r="A11" s="32" t="s">
        <v>54</v>
      </c>
      <c r="B11" s="37">
        <f t="shared" si="0"/>
        <v>604.846133945769</v>
      </c>
      <c r="C11" s="33"/>
      <c r="D11" s="37">
        <f>IF(ISERROR(TER_onderwijs_gas_kWh/1000),0,TER_onderwijs_gas_kWh/1000)*0.902</f>
        <v>2830.7856016048072</v>
      </c>
      <c r="E11" s="33">
        <f>$C$31*'E Balans VL '!I11/100/3.6*1000000</f>
        <v>0.56107433181078914</v>
      </c>
      <c r="F11" s="33">
        <f>$C$31*('E Balans VL '!L11+'E Balans VL '!N11)/100/3.6*1000000</f>
        <v>212.46854546621711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2326.5119773260899</v>
      </c>
      <c r="C12" s="33"/>
      <c r="D12" s="37">
        <f>IF(ISERROR(TER_rest_gas_kWh/1000),0,TER_rest_gas_kWh/1000)*0.902</f>
        <v>4391.0726742859642</v>
      </c>
      <c r="E12" s="33">
        <f>$C$32*'E Balans VL '!I8/100/3.6*1000000</f>
        <v>28.219433670726694</v>
      </c>
      <c r="F12" s="33">
        <f>$C$32*('E Balans VL '!L8+'E Balans VL '!N8)/100/3.6*1000000</f>
        <v>460.37333858874342</v>
      </c>
      <c r="G12" s="34"/>
      <c r="H12" s="33"/>
      <c r="I12" s="33"/>
      <c r="J12" s="33">
        <f>$C$32*('E Balans VL '!D8+'E Balans VL '!E8)/100/3.6*1000000</f>
        <v>0</v>
      </c>
      <c r="K12" s="33"/>
      <c r="L12" s="33"/>
      <c r="M12" s="33"/>
      <c r="N12" s="33">
        <f>$C$32*'E Balans VL '!Y8/100/3.6*1000000</f>
        <v>184.67907820396169</v>
      </c>
      <c r="O12" s="33"/>
      <c r="P12" s="33"/>
      <c r="R12" s="32"/>
    </row>
    <row r="13" spans="1:18">
      <c r="A13" s="16" t="s">
        <v>484</v>
      </c>
      <c r="B13" s="245">
        <f ca="1">'lokale energieproductie'!N40+'lokale energieproductie'!N33</f>
        <v>0</v>
      </c>
      <c r="C13" s="245">
        <f ca="1">'lokale energieproductie'!O40+'lokale energieproductie'!O33</f>
        <v>0</v>
      </c>
      <c r="D13" s="305">
        <f ca="1">('lokale energieproductie'!P33+'lokale energieproductie'!P40)*(-1)</f>
        <v>0</v>
      </c>
      <c r="E13" s="246"/>
      <c r="F13" s="305">
        <f ca="1">('lokale energieproductie'!S33+'lokale energieproductie'!S40)*(-1)</f>
        <v>0</v>
      </c>
      <c r="G13" s="247"/>
      <c r="H13" s="246"/>
      <c r="I13" s="246"/>
      <c r="J13" s="246"/>
      <c r="K13" s="246"/>
      <c r="L13" s="305">
        <f ca="1">('lokale energieproductie'!U33+'lokale energieproductie'!T33+'lokale energieproductie'!U40+'lokale energieproductie'!T40)*(-1)</f>
        <v>0</v>
      </c>
      <c r="M13" s="246"/>
      <c r="N13" s="305">
        <f ca="1">('lokale energieproductie'!Q33+'lokale energieproductie'!R33+'lokale energieproductie'!V33+'lokale energieproductie'!Q40+'lokale energieproductie'!R40+'lokale energieproductie'!V40)*(-1)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18881.766335046828</v>
      </c>
      <c r="C16" s="21">
        <f t="shared" ca="1" si="1"/>
        <v>0</v>
      </c>
      <c r="D16" s="21">
        <f t="shared" ca="1" si="1"/>
        <v>29754.240052439163</v>
      </c>
      <c r="E16" s="21">
        <f t="shared" si="1"/>
        <v>252.65778774083549</v>
      </c>
      <c r="F16" s="21">
        <f t="shared" ca="1" si="1"/>
        <v>3842.4096455824879</v>
      </c>
      <c r="G16" s="21">
        <f t="shared" si="1"/>
        <v>0</v>
      </c>
      <c r="H16" s="21">
        <f t="shared" si="1"/>
        <v>0</v>
      </c>
      <c r="I16" s="21">
        <f t="shared" si="1"/>
        <v>0</v>
      </c>
      <c r="J16" s="21">
        <f t="shared" si="1"/>
        <v>0</v>
      </c>
      <c r="K16" s="21">
        <f t="shared" si="1"/>
        <v>0</v>
      </c>
      <c r="L16" s="21">
        <f t="shared" ca="1" si="1"/>
        <v>0</v>
      </c>
      <c r="M16" s="21">
        <f t="shared" si="1"/>
        <v>0</v>
      </c>
      <c r="N16" s="21">
        <f t="shared" ca="1" si="1"/>
        <v>1907.6837061999536</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0.17745950045023245</v>
      </c>
      <c r="C18" s="25">
        <f ca="1">'EF ele_warmte'!B22</f>
        <v>0.23658764505696028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3350.7488214354266</v>
      </c>
      <c r="C20" s="23">
        <f t="shared" ref="C20:P20" ca="1" si="2">C16*C18</f>
        <v>0</v>
      </c>
      <c r="D20" s="23">
        <f t="shared" ca="1" si="2"/>
        <v>6010.3564905927115</v>
      </c>
      <c r="E20" s="23">
        <f t="shared" si="2"/>
        <v>57.35331781716966</v>
      </c>
      <c r="F20" s="23">
        <f t="shared" ca="1" si="2"/>
        <v>1025.9233753705244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5071.5795364061605</v>
      </c>
      <c r="C26" s="39">
        <f>IF(ISERROR(B26*3.6/1000000/'E Balans VL '!Z12*100),0,B26*3.6/1000000/'E Balans VL '!Z12*100)</f>
        <v>0.10772286148719623</v>
      </c>
      <c r="D26" s="235" t="s">
        <v>672</v>
      </c>
      <c r="F26" s="6"/>
    </row>
    <row r="27" spans="1:18">
      <c r="A27" s="230" t="s">
        <v>52</v>
      </c>
      <c r="B27" s="33">
        <f>IF(ISERROR(TER_horeca_ele_kWh/1000),0,TER_horeca_ele_kWh/1000)</f>
        <v>1774.06268592327</v>
      </c>
      <c r="C27" s="39">
        <f>IF(ISERROR(B27*3.6/1000000/'E Balans VL '!Z9*100),0,B27*3.6/1000000/'E Balans VL '!Z9*100)</f>
        <v>0.13794417801119313</v>
      </c>
      <c r="D27" s="235" t="s">
        <v>672</v>
      </c>
      <c r="F27" s="6"/>
    </row>
    <row r="28" spans="1:18">
      <c r="A28" s="170" t="s">
        <v>51</v>
      </c>
      <c r="B28" s="33">
        <f>IF(ISERROR(TER_handel_ele_kWh/1000),0,TER_handel_ele_kWh/1000)</f>
        <v>6436.8348455273499</v>
      </c>
      <c r="C28" s="39">
        <f>IF(ISERROR(B28*3.6/1000000/'E Balans VL '!Z13*100),0,B28*3.6/1000000/'E Balans VL '!Z13*100)</f>
        <v>0.18416542032734526</v>
      </c>
      <c r="D28" s="235" t="s">
        <v>672</v>
      </c>
      <c r="F28" s="6"/>
    </row>
    <row r="29" spans="1:18">
      <c r="A29" s="230" t="s">
        <v>50</v>
      </c>
      <c r="B29" s="33">
        <f>IF(ISERROR(TER_gezond_ele_kWh/1000),0,TER_gezond_ele_kWh/1000)</f>
        <v>228.38785406273001</v>
      </c>
      <c r="C29" s="39">
        <f>IF(ISERROR(B29*3.6/1000000/'E Balans VL '!Z10*100),0,B29*3.6/1000000/'E Balans VL '!Z10*100)</f>
        <v>2.4899583190076128E-2</v>
      </c>
      <c r="D29" s="235" t="s">
        <v>672</v>
      </c>
      <c r="F29" s="6"/>
    </row>
    <row r="30" spans="1:18">
      <c r="A30" s="230" t="s">
        <v>49</v>
      </c>
      <c r="B30" s="33">
        <f>IF(ISERROR(TER_ander_ele_kWh/1000),0,TER_ander_ele_kWh/1000)</f>
        <v>2439.54330185546</v>
      </c>
      <c r="C30" s="39">
        <f>IF(ISERROR(B30*3.6/1000000/'E Balans VL '!Z14*100),0,B30*3.6/1000000/'E Balans VL '!Z14*100)</f>
        <v>0.17852024485698759</v>
      </c>
      <c r="D30" s="235" t="s">
        <v>672</v>
      </c>
      <c r="F30" s="6"/>
    </row>
    <row r="31" spans="1:18">
      <c r="A31" s="230" t="s">
        <v>54</v>
      </c>
      <c r="B31" s="33">
        <f>IF(ISERROR(TER_onderwijs_ele_kWh/1000),0,TER_onderwijs_ele_kWh/1000)</f>
        <v>604.846133945769</v>
      </c>
      <c r="C31" s="39">
        <f>IF(ISERROR(B31*3.6/1000000/'E Balans VL '!Z11*100),0,B31*3.6/1000000/'E Balans VL '!Z11*100)</f>
        <v>0.1214837951493616</v>
      </c>
      <c r="D31" s="235" t="s">
        <v>672</v>
      </c>
    </row>
    <row r="32" spans="1:18">
      <c r="A32" s="230" t="s">
        <v>249</v>
      </c>
      <c r="B32" s="33">
        <f>IF(ISERROR(TER_rest_ele_kWh/1000),0,TER_rest_ele_kWh/1000)</f>
        <v>2326.5119773260899</v>
      </c>
      <c r="C32" s="39">
        <f>IF(ISERROR(B32*3.6/1000000/'E Balans VL '!Z8*100),0,B32*3.6/1000000/'E Balans VL '!Z8*100)</f>
        <v>1.8959660726825502E-2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4</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16053.926312213225</v>
      </c>
      <c r="C5" s="17">
        <f>IF(ISERROR('Eigen informatie GS &amp; warmtenet'!B59),0,'Eigen informatie GS &amp; warmtenet'!B59)</f>
        <v>0</v>
      </c>
      <c r="D5" s="30">
        <f>SUM(D6:D15)</f>
        <v>15369.832976548158</v>
      </c>
      <c r="E5" s="17">
        <f>SUM(E6:E15)</f>
        <v>1442.4933408945435</v>
      </c>
      <c r="F5" s="17">
        <f>SUM(F6:F15)</f>
        <v>14946.032659820274</v>
      </c>
      <c r="G5" s="18"/>
      <c r="H5" s="17"/>
      <c r="I5" s="17"/>
      <c r="J5" s="17">
        <f>SUM(J6:J15)</f>
        <v>12.873399522165297</v>
      </c>
      <c r="K5" s="17"/>
      <c r="L5" s="17"/>
      <c r="M5" s="17"/>
      <c r="N5" s="17">
        <f>SUM(N6:N15)</f>
        <v>2872.504195695642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898.39552821229904</v>
      </c>
      <c r="C8" s="33"/>
      <c r="D8" s="37">
        <f>IF( ISERROR(IND_metaal_Gas_kWH/1000),0,IND_metaal_Gas_kWH/1000)*0.902</f>
        <v>249.7960845097343</v>
      </c>
      <c r="E8" s="33">
        <f>C30*'E Balans VL '!I18/100/3.6*1000000</f>
        <v>25.805291733378027</v>
      </c>
      <c r="F8" s="33">
        <f>C30*'E Balans VL '!L18/100/3.6*1000000+C30*'E Balans VL '!N18/100/3.6*1000000</f>
        <v>230.42117435731319</v>
      </c>
      <c r="G8" s="34"/>
      <c r="H8" s="33"/>
      <c r="I8" s="33"/>
      <c r="J8" s="40">
        <f>C30*'E Balans VL '!D18/100/3.6*1000000+C30*'E Balans VL '!E18/100/3.6*1000000</f>
        <v>0</v>
      </c>
      <c r="K8" s="33"/>
      <c r="L8" s="33"/>
      <c r="M8" s="33"/>
      <c r="N8" s="33">
        <f>C30*'E Balans VL '!Y18/100/3.6*1000000</f>
        <v>24.39327247605766</v>
      </c>
      <c r="O8" s="33"/>
      <c r="P8" s="33"/>
      <c r="R8" s="32"/>
    </row>
    <row r="9" spans="1:18">
      <c r="A9" s="6" t="s">
        <v>32</v>
      </c>
      <c r="B9" s="37">
        <f t="shared" si="0"/>
        <v>1694.5573567953302</v>
      </c>
      <c r="C9" s="33"/>
      <c r="D9" s="37">
        <f>IF( ISERROR(IND_andere_gas_kWh/1000),0,IND_andere_gas_kWh/1000)*0.902</f>
        <v>1957.401786954747</v>
      </c>
      <c r="E9" s="33">
        <f>C31*'E Balans VL '!I19/100/3.6*1000000</f>
        <v>458.67501233422666</v>
      </c>
      <c r="F9" s="33">
        <f>C31*'E Balans VL '!L19/100/3.6*1000000+C31*'E Balans VL '!N19/100/3.6*1000000</f>
        <v>1128.7545212525781</v>
      </c>
      <c r="G9" s="34"/>
      <c r="H9" s="33"/>
      <c r="I9" s="33"/>
      <c r="J9" s="40">
        <f>C31*'E Balans VL '!D19/100/3.6*1000000+C31*'E Balans VL '!E19/100/3.6*1000000</f>
        <v>0</v>
      </c>
      <c r="K9" s="33"/>
      <c r="L9" s="33"/>
      <c r="M9" s="33"/>
      <c r="N9" s="33">
        <f>C31*'E Balans VL '!Y19/100/3.6*1000000</f>
        <v>143.26359935639988</v>
      </c>
      <c r="O9" s="33"/>
      <c r="P9" s="33"/>
      <c r="R9" s="32"/>
    </row>
    <row r="10" spans="1:18">
      <c r="A10" s="6" t="s">
        <v>40</v>
      </c>
      <c r="B10" s="37">
        <f t="shared" si="0"/>
        <v>8318.8122822641799</v>
      </c>
      <c r="C10" s="33"/>
      <c r="D10" s="37">
        <f>IF( ISERROR(IND_voed_gas_kWh/1000),0,IND_voed_gas_kWh/1000)*0.902</f>
        <v>1958.091271115625</v>
      </c>
      <c r="E10" s="33">
        <f>C32*'E Balans VL '!I20/100/3.6*1000000</f>
        <v>678.50144171536556</v>
      </c>
      <c r="F10" s="33">
        <f>C32*'E Balans VL '!L20/100/3.6*1000000+C32*'E Balans VL '!N20/100/3.6*1000000</f>
        <v>12404.103861638203</v>
      </c>
      <c r="G10" s="34"/>
      <c r="H10" s="33"/>
      <c r="I10" s="33"/>
      <c r="J10" s="40">
        <f>C32*'E Balans VL '!D20/100/3.6*1000000+C32*'E Balans VL '!E20/100/3.6*1000000</f>
        <v>0.11004778881085485</v>
      </c>
      <c r="K10" s="33"/>
      <c r="L10" s="33"/>
      <c r="M10" s="33"/>
      <c r="N10" s="33">
        <f>C32*'E Balans VL '!Y20/100/3.6*1000000</f>
        <v>2443.7735092954822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162.434817533277</v>
      </c>
      <c r="C13" s="33"/>
      <c r="D13" s="37">
        <f>IF( ISERROR(IND_papier_gas_kWh/1000),0,IND_papier_gas_kWh/1000)*0.902</f>
        <v>173.33404651855139</v>
      </c>
      <c r="E13" s="33">
        <f>C35*'E Balans VL '!I23/100/3.6*1000000</f>
        <v>1.7018006337844553</v>
      </c>
      <c r="F13" s="33">
        <f>C35*'E Balans VL '!L23/100/3.6*1000000+C35*'E Balans VL '!N23/100/3.6*1000000</f>
        <v>12.120914875260159</v>
      </c>
      <c r="G13" s="34"/>
      <c r="H13" s="33"/>
      <c r="I13" s="33"/>
      <c r="J13" s="40">
        <f>C35*'E Balans VL '!D23/100/3.6*1000000+C35*'E Balans VL '!E23/100/3.6*1000000</f>
        <v>0</v>
      </c>
      <c r="K13" s="33"/>
      <c r="L13" s="33"/>
      <c r="M13" s="33"/>
      <c r="N13" s="33">
        <f>C35*'E Balans VL '!Y23/100/3.6*1000000</f>
        <v>29.965711591059467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4979.7263274081397</v>
      </c>
      <c r="C15" s="33"/>
      <c r="D15" s="37">
        <f>IF( ISERROR(IND_rest_gas_kWh/1000),0,IND_rest_gas_kWh/1000)*0.902</f>
        <v>11031.209787449499</v>
      </c>
      <c r="E15" s="33">
        <f>C37*'E Balans VL '!I15/100/3.6*1000000</f>
        <v>277.80979447778884</v>
      </c>
      <c r="F15" s="33">
        <f>C37*'E Balans VL '!L15/100/3.6*1000000+C37*'E Balans VL '!N15/100/3.6*1000000</f>
        <v>1170.6321876969203</v>
      </c>
      <c r="G15" s="34"/>
      <c r="H15" s="33"/>
      <c r="I15" s="33"/>
      <c r="J15" s="40">
        <f>C37*'E Balans VL '!D15/100/3.6*1000000+C37*'E Balans VL '!E15/100/3.6*1000000</f>
        <v>12.763351733354442</v>
      </c>
      <c r="K15" s="33"/>
      <c r="L15" s="33"/>
      <c r="M15" s="33"/>
      <c r="N15" s="33">
        <f>C37*'E Balans VL '!Y15/100/3.6*1000000</f>
        <v>231.10810297664278</v>
      </c>
      <c r="O15" s="33"/>
      <c r="P15" s="33"/>
      <c r="R15" s="32"/>
    </row>
    <row r="16" spans="1:18">
      <c r="A16" s="16" t="s">
        <v>484</v>
      </c>
      <c r="B16" s="245">
        <f>'lokale energieproductie'!N39+'lokale energieproductie'!N32</f>
        <v>0</v>
      </c>
      <c r="C16" s="245">
        <f>'lokale energieproductie'!O39+'lokale energieproductie'!O32</f>
        <v>0</v>
      </c>
      <c r="D16" s="305">
        <f>('lokale energieproductie'!P32+'lokale energieproductie'!P39)*(-1)</f>
        <v>0</v>
      </c>
      <c r="E16" s="246"/>
      <c r="F16" s="305">
        <f>('lokale energieproductie'!S32+'lokale energieproductie'!S39)*(-1)</f>
        <v>0</v>
      </c>
      <c r="G16" s="247"/>
      <c r="H16" s="246"/>
      <c r="I16" s="246"/>
      <c r="J16" s="246"/>
      <c r="K16" s="246"/>
      <c r="L16" s="305">
        <f>('lokale energieproductie'!T32+'lokale energieproductie'!U32+'lokale energieproductie'!T39+'lokale energieproductie'!U39)*(-1)</f>
        <v>0</v>
      </c>
      <c r="M16" s="246"/>
      <c r="N16" s="305">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16053.926312213225</v>
      </c>
      <c r="C18" s="21">
        <f>C5+C16</f>
        <v>0</v>
      </c>
      <c r="D18" s="21">
        <f>MAX((D5+D16),0)</f>
        <v>15369.832976548158</v>
      </c>
      <c r="E18" s="21">
        <f>MAX((E5+E16),0)</f>
        <v>1442.4933408945435</v>
      </c>
      <c r="F18" s="21">
        <f>MAX((F5+F16),0)</f>
        <v>14946.032659820274</v>
      </c>
      <c r="G18" s="21"/>
      <c r="H18" s="21"/>
      <c r="I18" s="21"/>
      <c r="J18" s="21">
        <f>MAX((J5+J16),0)</f>
        <v>12.873399522165297</v>
      </c>
      <c r="K18" s="21"/>
      <c r="L18" s="21">
        <f>MAX((L5+L16),0)</f>
        <v>0</v>
      </c>
      <c r="M18" s="21"/>
      <c r="N18" s="21">
        <f>MAX((N5+N16),0)</f>
        <v>2872.504195695642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0.17745950045023245</v>
      </c>
      <c r="C20" s="25">
        <f ca="1">'EF ele_warmte'!B22</f>
        <v>0.23658764505696028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2848.9217436302015</v>
      </c>
      <c r="C22" s="23">
        <f ca="1">C18*C20</f>
        <v>0</v>
      </c>
      <c r="D22" s="23">
        <f>D18*D20</f>
        <v>3104.7062612627278</v>
      </c>
      <c r="E22" s="23">
        <f>E18*E20</f>
        <v>327.44598838306138</v>
      </c>
      <c r="F22" s="23">
        <f>F18*F20</f>
        <v>3990.5907201720133</v>
      </c>
      <c r="G22" s="23"/>
      <c r="H22" s="23"/>
      <c r="I22" s="23"/>
      <c r="J22" s="23">
        <f>J18*J20</f>
        <v>4.5571834308465151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898.39552821229904</v>
      </c>
      <c r="C30" s="39">
        <f>IF(ISERROR(B30*3.6/1000000/'E Balans VL '!Z18*100),0,B30*3.6/1000000/'E Balans VL '!Z18*100)</f>
        <v>8.8399826616606947E-2</v>
      </c>
      <c r="D30" s="235" t="s">
        <v>672</v>
      </c>
    </row>
    <row r="31" spans="1:18">
      <c r="A31" s="6" t="s">
        <v>32</v>
      </c>
      <c r="B31" s="37">
        <f>IF( ISERROR(IND_ander_ele_kWh/1000),0,IND_ander_ele_kWh/1000)</f>
        <v>1694.5573567953302</v>
      </c>
      <c r="C31" s="39">
        <f>IF(ISERROR(B31*3.6/1000000/'E Balans VL '!Z19*100),0,B31*3.6/1000000/'E Balans VL '!Z19*100)</f>
        <v>7.3796621153348577E-2</v>
      </c>
      <c r="D31" s="235" t="s">
        <v>672</v>
      </c>
    </row>
    <row r="32" spans="1:18">
      <c r="A32" s="170" t="s">
        <v>40</v>
      </c>
      <c r="B32" s="37">
        <f>IF( ISERROR(IND_voed_ele_kWh/1000),0,IND_voed_ele_kWh/1000)</f>
        <v>8318.8122822641799</v>
      </c>
      <c r="C32" s="39">
        <f>IF(ISERROR(B32*3.6/1000000/'E Balans VL '!Z20*100),0,B32*3.6/1000000/'E Balans VL '!Z20*100)</f>
        <v>1.5783746602353061</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162.434817533277</v>
      </c>
      <c r="C35" s="39">
        <f>IF(ISERROR(B35*3.6/1000000/'E Balans VL '!Z22*100),0,B35*3.6/1000000/'E Balans VL '!Z22*100)</f>
        <v>2.283996646477502E-2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4979.7263274081397</v>
      </c>
      <c r="C37" s="39">
        <f>IF(ISERROR(B37*3.6/1000000/'E Balans VL '!Z15*100),0,B37*3.6/1000000/'E Balans VL '!Z15*100)</f>
        <v>3.8374907717367138E-2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3094.00404894243</v>
      </c>
      <c r="C5" s="17">
        <f>'Eigen informatie GS &amp; warmtenet'!B60</f>
        <v>0</v>
      </c>
      <c r="D5" s="30">
        <f>IF(ISERROR(SUM(LB_lb_gas_kWh,LB_rest_gas_kWh)/1000),0,SUM(LB_lb_gas_kWh,LB_rest_gas_kWh)/1000)*0.902</f>
        <v>33836.156371736106</v>
      </c>
      <c r="E5" s="17">
        <f>B17*'E Balans VL '!I25/3.6*1000000/100</f>
        <v>38.988436904302624</v>
      </c>
      <c r="F5" s="17">
        <f>B17*('E Balans VL '!L25/3.6*1000000+'E Balans VL '!N25/3.6*1000000)/100</f>
        <v>10675.089063179428</v>
      </c>
      <c r="G5" s="18"/>
      <c r="H5" s="17"/>
      <c r="I5" s="17"/>
      <c r="J5" s="17">
        <f>('E Balans VL '!D25+'E Balans VL '!E25)/3.6*1000000*landbouw!B17/100</f>
        <v>465.30303756422722</v>
      </c>
      <c r="K5" s="17"/>
      <c r="L5" s="17">
        <f>L6*(-1)</f>
        <v>0</v>
      </c>
      <c r="M5" s="17"/>
      <c r="N5" s="17">
        <f>N6*(-1)</f>
        <v>114.32142857142857</v>
      </c>
      <c r="O5" s="17"/>
      <c r="P5" s="17"/>
      <c r="R5" s="32"/>
    </row>
    <row r="6" spans="1:18">
      <c r="A6" s="16" t="s">
        <v>484</v>
      </c>
      <c r="B6" s="17" t="s">
        <v>204</v>
      </c>
      <c r="C6" s="17">
        <f>'lokale energieproductie'!O41+'lokale energieproductie'!O34</f>
        <v>13026.803571428569</v>
      </c>
      <c r="D6" s="305">
        <f>('lokale energieproductie'!P34+'lokale energieproductie'!P41)*(-1)</f>
        <v>-25924.28571428571</v>
      </c>
      <c r="E6" s="246"/>
      <c r="F6" s="305">
        <f>('lokale energieproductie'!S34+'lokale energieproductie'!S41)*(-1)</f>
        <v>0</v>
      </c>
      <c r="G6" s="247"/>
      <c r="H6" s="246"/>
      <c r="I6" s="246"/>
      <c r="J6" s="246"/>
      <c r="K6" s="246"/>
      <c r="L6" s="305">
        <f>('lokale energieproductie'!T34+'lokale energieproductie'!U34+'lokale energieproductie'!T41+'lokale energieproductie'!U41)*(-1)</f>
        <v>0</v>
      </c>
      <c r="M6" s="246"/>
      <c r="N6" s="1016">
        <f>('lokale energieproductie'!V34+'lokale energieproductie'!R34+'lokale energieproductie'!Q34+'lokale energieproductie'!Q41+'lokale energieproductie'!R41+'lokale energieproductie'!V41)*(-1)</f>
        <v>-114.32142857142857</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3094.00404894243</v>
      </c>
      <c r="C8" s="21">
        <f>C5+C6</f>
        <v>13026.803571428569</v>
      </c>
      <c r="D8" s="21">
        <f>MAX((D5+D6),0)</f>
        <v>7911.8706574503958</v>
      </c>
      <c r="E8" s="21">
        <f>MAX((E5+E6),0)</f>
        <v>38.988436904302624</v>
      </c>
      <c r="F8" s="21">
        <f>MAX((F5+F6),0)</f>
        <v>10675.089063179428</v>
      </c>
      <c r="G8" s="21"/>
      <c r="H8" s="21"/>
      <c r="I8" s="21"/>
      <c r="J8" s="21">
        <f>MAX((J5+J6),0)</f>
        <v>465.30303756422722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0.17745950045023245</v>
      </c>
      <c r="C10" s="31">
        <f ca="1">'EF ele_warmte'!B22</f>
        <v>0.23658764505696028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549.06041291632016</v>
      </c>
      <c r="C12" s="23">
        <f ca="1">C8*C10</f>
        <v>3081.9807795838847</v>
      </c>
      <c r="D12" s="23">
        <f>D8*D10</f>
        <v>1598.1978728049801</v>
      </c>
      <c r="E12" s="23">
        <f>E8*E10</f>
        <v>8.8503751772766961</v>
      </c>
      <c r="F12" s="23">
        <f>F8*F10</f>
        <v>2850.2487798689076</v>
      </c>
      <c r="G12" s="23"/>
      <c r="H12" s="23"/>
      <c r="I12" s="23"/>
      <c r="J12" s="23">
        <f>J8*J10</f>
        <v>164.71727529773642</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0.43151604748036748</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661.02303191782414</v>
      </c>
      <c r="C26" s="245">
        <f>B26*'GWP N2O_CH4'!B5</f>
        <v>13881.483670274307</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268.55372814478795</v>
      </c>
      <c r="C27" s="245">
        <f>B27*'GWP N2O_CH4'!B5</f>
        <v>5639.6282910405471</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9.037817028698182</v>
      </c>
      <c r="C28" s="245">
        <f>B28*'GWP N2O_CH4'!B4</f>
        <v>2801.7232788964366</v>
      </c>
      <c r="D28" s="50"/>
    </row>
    <row r="29" spans="1:4">
      <c r="A29" s="41" t="s">
        <v>266</v>
      </c>
      <c r="B29" s="245">
        <f>B34*'ha_N2O bodem landbouw'!B4</f>
        <v>18.042614567550142</v>
      </c>
      <c r="C29" s="245">
        <f>B29*'GWP N2O_CH4'!B4</f>
        <v>5593.2105159405437</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4.5050605706806676E-3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2.4370457036710868E-5</v>
      </c>
      <c r="C5" s="434" t="s">
        <v>204</v>
      </c>
      <c r="D5" s="419">
        <f>SUM(D6:D11)</f>
        <v>2.3804689674815573E-5</v>
      </c>
      <c r="E5" s="419">
        <f>SUM(E6:E11)</f>
        <v>8.4542492789361449E-4</v>
      </c>
      <c r="F5" s="432" t="s">
        <v>204</v>
      </c>
      <c r="G5" s="419">
        <f>SUM(G6:G11)</f>
        <v>0.21698216686635066</v>
      </c>
      <c r="H5" s="419">
        <f>SUM(H6:H11)</f>
        <v>4.07191603336527E-2</v>
      </c>
      <c r="I5" s="434" t="s">
        <v>204</v>
      </c>
      <c r="J5" s="434" t="s">
        <v>204</v>
      </c>
      <c r="K5" s="434" t="s">
        <v>204</v>
      </c>
      <c r="L5" s="434" t="s">
        <v>204</v>
      </c>
      <c r="M5" s="419">
        <f>SUM(M6:M11)</f>
        <v>1.1653143305832739E-2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1.9383181744157671E-5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1.7268114755020151E-5</v>
      </c>
      <c r="E6" s="873">
        <f>vkm_GW_PW*SUMIFS(TableVerdeelsleutelVkm[LPG],TableVerdeelsleutelVkm[Voertuigtype],"Lichte voertuigen")*SUMIFS(TableECFTransport[EnergieConsumptieFactor (PJ per km)],TableECFTransport[Index],CONCATENATE($A6,"_LPG_LPG"))</f>
        <v>6.2151974037002826E-4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0.12182122428217804</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2.9865493838839553E-2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6.8617861821489226E-3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2.9563442351091297E-7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4.626264471276624E-2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1.0545445740503524E-6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2.0888296916436052E-3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4.6534673185040937E-6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6.5365749197954228E-6</v>
      </c>
      <c r="E8" s="422">
        <f>vkm_NGW_PW*SUMIFS(TableVerdeelsleutelVkm[LPG],TableVerdeelsleutelVkm[Voertuigtype],"Lichte voertuigen")*SUMIFS(TableECFTransport[EnergieConsumptieFactor (PJ per km)],TableECFTransport[Index],CONCATENATE($A8,"_LPG_LPG"))</f>
        <v>2.2390518752358622E-4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4.1225070606671389E-2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1.0852447592960468E-2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2.356069878935105E-3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3.81735505381893E-8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7.6732272647350146E-3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1.6435727862906646E-7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3.4645755310510425E-4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6.7695713990863524</v>
      </c>
      <c r="C14" s="21"/>
      <c r="D14" s="21">
        <f t="shared" ref="D14:M14" si="0">((D5)*10^9/3600)+D12</f>
        <v>6.6124137985598814</v>
      </c>
      <c r="E14" s="21">
        <f t="shared" si="0"/>
        <v>234.84025774822626</v>
      </c>
      <c r="F14" s="21"/>
      <c r="G14" s="21">
        <f t="shared" si="0"/>
        <v>60272.824129541848</v>
      </c>
      <c r="H14" s="21">
        <f t="shared" si="0"/>
        <v>11310.877870459082</v>
      </c>
      <c r="I14" s="21"/>
      <c r="J14" s="21"/>
      <c r="K14" s="21"/>
      <c r="L14" s="21"/>
      <c r="M14" s="21">
        <f t="shared" si="0"/>
        <v>3236.9842516202052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0.17745950045023245</v>
      </c>
      <c r="C16" s="56">
        <f ca="1">'EF ele_warmte'!B22</f>
        <v>0.23658764505696028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1.2013247587440452</v>
      </c>
      <c r="C18" s="23"/>
      <c r="D18" s="23">
        <f t="shared" ref="D18:M18" si="1">D14*D16</f>
        <v>1.3357075873090962</v>
      </c>
      <c r="E18" s="23">
        <f t="shared" si="1"/>
        <v>53.308738508847362</v>
      </c>
      <c r="F18" s="23"/>
      <c r="G18" s="23">
        <f t="shared" si="1"/>
        <v>16092.844042587674</v>
      </c>
      <c r="H18" s="23">
        <f t="shared" si="1"/>
        <v>2816.4085897443115</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1.7520300877119756E-5</v>
      </c>
      <c r="C50" s="316">
        <f t="shared" ref="C50:P50" si="2">SUM(C51:C52)</f>
        <v>0</v>
      </c>
      <c r="D50" s="316">
        <f t="shared" si="2"/>
        <v>0</v>
      </c>
      <c r="E50" s="316">
        <f t="shared" si="2"/>
        <v>0</v>
      </c>
      <c r="F50" s="316">
        <f t="shared" si="2"/>
        <v>0</v>
      </c>
      <c r="G50" s="316">
        <f t="shared" si="2"/>
        <v>3.4102273464139692E-3</v>
      </c>
      <c r="H50" s="316">
        <f t="shared" si="2"/>
        <v>0</v>
      </c>
      <c r="I50" s="316">
        <f t="shared" si="2"/>
        <v>0</v>
      </c>
      <c r="J50" s="316">
        <f t="shared" si="2"/>
        <v>0</v>
      </c>
      <c r="K50" s="316">
        <f t="shared" si="2"/>
        <v>0</v>
      </c>
      <c r="L50" s="316">
        <f t="shared" si="2"/>
        <v>0</v>
      </c>
      <c r="M50" s="316">
        <f t="shared" si="2"/>
        <v>1.5291745965667565E-4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1.7520300877119756E-5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3.4102273464139692E-3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1.5291745965667565E-4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4.8667502436443764</v>
      </c>
      <c r="C54" s="21">
        <f t="shared" ref="C54:P54" si="3">(C50)*10^9/3600</f>
        <v>0</v>
      </c>
      <c r="D54" s="21">
        <f t="shared" si="3"/>
        <v>0</v>
      </c>
      <c r="E54" s="21">
        <f t="shared" si="3"/>
        <v>0</v>
      </c>
      <c r="F54" s="21">
        <f t="shared" si="3"/>
        <v>0</v>
      </c>
      <c r="G54" s="21">
        <f t="shared" si="3"/>
        <v>947.28537400388029</v>
      </c>
      <c r="H54" s="21">
        <f t="shared" si="3"/>
        <v>0</v>
      </c>
      <c r="I54" s="21">
        <f t="shared" si="3"/>
        <v>0</v>
      </c>
      <c r="J54" s="21">
        <f t="shared" si="3"/>
        <v>0</v>
      </c>
      <c r="K54" s="21">
        <f t="shared" si="3"/>
        <v>0</v>
      </c>
      <c r="L54" s="21">
        <f t="shared" si="3"/>
        <v>0</v>
      </c>
      <c r="M54" s="21">
        <f t="shared" si="3"/>
        <v>42.477072126854345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0.17745950045023245</v>
      </c>
      <c r="C56" s="56">
        <f ca="1">'EF ele_warmte'!B22</f>
        <v>0.23658764505696028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0.86365106705317807</v>
      </c>
      <c r="C58" s="23">
        <f t="shared" ref="C58:P58" ca="1" si="4">C54*C56</f>
        <v>0</v>
      </c>
      <c r="D58" s="23">
        <f t="shared" si="4"/>
        <v>0</v>
      </c>
      <c r="E58" s="23">
        <f t="shared" si="4"/>
        <v>0</v>
      </c>
      <c r="F58" s="23">
        <f t="shared" si="4"/>
        <v>0</v>
      </c>
      <c r="G58" s="23">
        <f t="shared" si="4"/>
        <v>252.92519485903605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11316.950500000001</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4389.2688570564205</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N31</f>
        <v>9107.5124999999989</v>
      </c>
      <c r="C8" s="546">
        <f>B50</f>
        <v>10666.955122286279</v>
      </c>
      <c r="D8" s="1001"/>
      <c r="E8" s="1001">
        <f>E50</f>
        <v>0</v>
      </c>
      <c r="F8" s="1002"/>
      <c r="G8" s="547"/>
      <c r="H8" s="1001">
        <f>I50</f>
        <v>0</v>
      </c>
      <c r="I8" s="1001">
        <f>G50+F50</f>
        <v>0</v>
      </c>
      <c r="J8" s="1001">
        <f>H50+D50+C50</f>
        <v>47.039349956519516</v>
      </c>
      <c r="K8" s="1001"/>
      <c r="L8" s="1001"/>
      <c r="M8" s="1001"/>
      <c r="N8" s="548"/>
      <c r="O8" s="549">
        <f>C8*$C$12+D8*$D$12+E8*$E$12+F8*$F$12+G8*$G$12+H8*$H$12+I8*$I$12+J8*$J$12</f>
        <v>2154.7249347018287</v>
      </c>
      <c r="P8" s="1244"/>
      <c r="Q8" s="1245"/>
      <c r="S8" s="1013"/>
      <c r="T8" s="1265"/>
      <c r="U8" s="1265"/>
    </row>
    <row r="9" spans="1:21" s="534" customFormat="1" ht="17.45" customHeight="1" thickBot="1">
      <c r="A9" s="550" t="s">
        <v>237</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24813.73185705642</v>
      </c>
      <c r="C10" s="559">
        <f t="shared" ref="C10:L10" si="0">SUM(C8:C9)</f>
        <v>10666.955122286279</v>
      </c>
      <c r="D10" s="559">
        <f t="shared" si="0"/>
        <v>0</v>
      </c>
      <c r="E10" s="559">
        <f t="shared" si="0"/>
        <v>0</v>
      </c>
      <c r="F10" s="559">
        <f t="shared" si="0"/>
        <v>0</v>
      </c>
      <c r="G10" s="559">
        <f t="shared" si="0"/>
        <v>0</v>
      </c>
      <c r="H10" s="559">
        <f t="shared" si="0"/>
        <v>0</v>
      </c>
      <c r="I10" s="559">
        <f t="shared" si="0"/>
        <v>0</v>
      </c>
      <c r="J10" s="559">
        <f t="shared" si="0"/>
        <v>47.039349956519516</v>
      </c>
      <c r="K10" s="559">
        <f t="shared" si="0"/>
        <v>0</v>
      </c>
      <c r="L10" s="559">
        <f t="shared" si="0"/>
        <v>0</v>
      </c>
      <c r="M10" s="1004"/>
      <c r="N10" s="1004"/>
      <c r="O10" s="560">
        <f>SUM(O4:O9)</f>
        <v>2154.7249347018287</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O31</f>
        <v>13026.803571428569</v>
      </c>
      <c r="C17" s="571">
        <f>B51</f>
        <v>15257.330591999427</v>
      </c>
      <c r="D17" s="572"/>
      <c r="E17" s="572">
        <f>E51</f>
        <v>0</v>
      </c>
      <c r="F17" s="1007"/>
      <c r="G17" s="573"/>
      <c r="H17" s="571">
        <f>I51</f>
        <v>0</v>
      </c>
      <c r="I17" s="572">
        <f>G51+F51</f>
        <v>0</v>
      </c>
      <c r="J17" s="572">
        <f>H51+D51+C51</f>
        <v>67.28207861490904</v>
      </c>
      <c r="K17" s="572"/>
      <c r="L17" s="572"/>
      <c r="M17" s="572"/>
      <c r="N17" s="1008"/>
      <c r="O17" s="574">
        <f>C17*$C$22+E17*$E$22+H17*$H$22+I17*$I$22+J17*$J$22+D17*$D$22+F17*$F$22+G17*$G$22+K17*$K$22+L17*$L$22</f>
        <v>3081.9807795838847</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13026.803571428569</v>
      </c>
      <c r="C20" s="558">
        <f>SUM(C17:C19)</f>
        <v>15257.330591999427</v>
      </c>
      <c r="D20" s="558">
        <f t="shared" ref="D20:L20" si="1">SUM(D17:D19)</f>
        <v>0</v>
      </c>
      <c r="E20" s="558">
        <f t="shared" si="1"/>
        <v>0</v>
      </c>
      <c r="F20" s="558">
        <f t="shared" si="1"/>
        <v>0</v>
      </c>
      <c r="G20" s="558">
        <f t="shared" si="1"/>
        <v>0</v>
      </c>
      <c r="H20" s="558">
        <f t="shared" si="1"/>
        <v>0</v>
      </c>
      <c r="I20" s="558">
        <f t="shared" si="1"/>
        <v>0</v>
      </c>
      <c r="J20" s="558">
        <f t="shared" si="1"/>
        <v>67.28207861490904</v>
      </c>
      <c r="K20" s="558">
        <f t="shared" si="1"/>
        <v>0</v>
      </c>
      <c r="L20" s="558">
        <f t="shared" si="1"/>
        <v>0</v>
      </c>
      <c r="M20" s="558"/>
      <c r="N20" s="558"/>
      <c r="O20" s="578">
        <f>SUM(O17:O19)</f>
        <v>3081.9807795838847</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11022</v>
      </c>
      <c r="C28" s="777">
        <v>2920</v>
      </c>
      <c r="D28" s="630"/>
      <c r="E28" s="629"/>
      <c r="F28" s="629"/>
      <c r="G28" s="629" t="s">
        <v>926</v>
      </c>
      <c r="H28" s="629" t="s">
        <v>927</v>
      </c>
      <c r="I28" s="629"/>
      <c r="J28" s="776"/>
      <c r="K28" s="776"/>
      <c r="L28" s="629" t="s">
        <v>928</v>
      </c>
      <c r="M28" s="629">
        <v>2014</v>
      </c>
      <c r="N28" s="629">
        <v>9062.9999999999982</v>
      </c>
      <c r="O28" s="629">
        <v>12947.142857142855</v>
      </c>
      <c r="P28" s="629">
        <v>25894.28571428571</v>
      </c>
      <c r="Q28" s="629">
        <v>0</v>
      </c>
      <c r="R28" s="629">
        <v>0</v>
      </c>
      <c r="S28" s="629">
        <v>0</v>
      </c>
      <c r="T28" s="629">
        <v>0</v>
      </c>
      <c r="U28" s="629">
        <v>0</v>
      </c>
      <c r="V28" s="629">
        <v>0</v>
      </c>
      <c r="W28" s="629">
        <v>0</v>
      </c>
      <c r="X28" s="629">
        <v>10</v>
      </c>
      <c r="Y28" s="629" t="s">
        <v>105</v>
      </c>
      <c r="Z28" s="631" t="s">
        <v>105</v>
      </c>
    </row>
    <row r="29" spans="1:26" s="583" customFormat="1" ht="12.75" hidden="1">
      <c r="A29" s="582"/>
      <c r="B29" s="777">
        <v>11022</v>
      </c>
      <c r="C29" s="777">
        <v>2920</v>
      </c>
      <c r="D29" s="630"/>
      <c r="E29" s="629"/>
      <c r="F29" s="629"/>
      <c r="G29" s="629" t="s">
        <v>929</v>
      </c>
      <c r="H29" s="629" t="s">
        <v>929</v>
      </c>
      <c r="I29" s="629"/>
      <c r="J29" s="776"/>
      <c r="K29" s="776"/>
      <c r="L29" s="629" t="s">
        <v>928</v>
      </c>
      <c r="M29" s="629">
        <v>1</v>
      </c>
      <c r="N29" s="629">
        <v>4.5</v>
      </c>
      <c r="O29" s="629">
        <v>22.5</v>
      </c>
      <c r="P29" s="629">
        <v>30</v>
      </c>
      <c r="Q29" s="629">
        <v>0</v>
      </c>
      <c r="R29" s="629">
        <v>0</v>
      </c>
      <c r="S29" s="629">
        <v>0</v>
      </c>
      <c r="T29" s="629">
        <v>0</v>
      </c>
      <c r="U29" s="629">
        <v>0</v>
      </c>
      <c r="V29" s="629">
        <v>0</v>
      </c>
      <c r="W29" s="629">
        <v>0</v>
      </c>
      <c r="X29" s="629">
        <v>10</v>
      </c>
      <c r="Y29" s="629" t="s">
        <v>105</v>
      </c>
      <c r="Z29" s="631" t="s">
        <v>105</v>
      </c>
    </row>
    <row r="30" spans="1:26" s="583" customFormat="1" ht="25.5" hidden="1">
      <c r="A30" s="582"/>
      <c r="B30" s="777">
        <v>11022</v>
      </c>
      <c r="C30" s="777">
        <v>2920</v>
      </c>
      <c r="D30" s="630"/>
      <c r="E30" s="629"/>
      <c r="F30" s="629"/>
      <c r="G30" s="629" t="s">
        <v>926</v>
      </c>
      <c r="H30" s="629" t="s">
        <v>927</v>
      </c>
      <c r="I30" s="629"/>
      <c r="J30" s="776"/>
      <c r="K30" s="776"/>
      <c r="L30" s="629" t="s">
        <v>928</v>
      </c>
      <c r="M30" s="629">
        <v>9.6999999999999993</v>
      </c>
      <c r="N30" s="629">
        <v>40.012499999999996</v>
      </c>
      <c r="O30" s="629">
        <v>57.160714285714278</v>
      </c>
      <c r="P30" s="629">
        <v>0</v>
      </c>
      <c r="Q30" s="629">
        <v>114.32142857142857</v>
      </c>
      <c r="R30" s="629">
        <v>0</v>
      </c>
      <c r="S30" s="629">
        <v>0</v>
      </c>
      <c r="T30" s="629">
        <v>0</v>
      </c>
      <c r="U30" s="629">
        <v>0</v>
      </c>
      <c r="V30" s="629">
        <v>0</v>
      </c>
      <c r="W30" s="629">
        <v>0</v>
      </c>
      <c r="X30" s="629">
        <v>10</v>
      </c>
      <c r="Y30" s="629" t="s">
        <v>105</v>
      </c>
      <c r="Z30" s="631" t="s">
        <v>105</v>
      </c>
    </row>
    <row r="31" spans="1:26" s="566" customFormat="1" hidden="1">
      <c r="A31" s="585" t="s">
        <v>269</v>
      </c>
      <c r="B31" s="586"/>
      <c r="C31" s="586"/>
      <c r="D31" s="586"/>
      <c r="E31" s="586"/>
      <c r="F31" s="586"/>
      <c r="G31" s="586"/>
      <c r="H31" s="586"/>
      <c r="I31" s="586"/>
      <c r="J31" s="586"/>
      <c r="K31" s="586"/>
      <c r="L31" s="587"/>
      <c r="M31" s="587">
        <f>SUM(M28:M30)</f>
        <v>2024.7</v>
      </c>
      <c r="N31" s="587">
        <f>SUM(N28:N30)</f>
        <v>9107.5124999999989</v>
      </c>
      <c r="O31" s="587">
        <f>SUM(O28:O30)</f>
        <v>13026.803571428569</v>
      </c>
      <c r="P31" s="587">
        <f>SUM(P28:P30)</f>
        <v>25924.28571428571</v>
      </c>
      <c r="Q31" s="587">
        <f>SUM(Q28:Q30)</f>
        <v>114.32142857142857</v>
      </c>
      <c r="R31" s="587">
        <f>SUM(R28:R30)</f>
        <v>0</v>
      </c>
      <c r="S31" s="587">
        <f>SUM(S28:S30)</f>
        <v>0</v>
      </c>
      <c r="T31" s="587">
        <f>SUM(T28:T30)</f>
        <v>0</v>
      </c>
      <c r="U31" s="587">
        <f>SUM(U28:U30)</f>
        <v>0</v>
      </c>
      <c r="V31" s="587">
        <f>SUM(V28:V30)</f>
        <v>0</v>
      </c>
      <c r="W31" s="587">
        <f>SUM(W28:W30)</f>
        <v>0</v>
      </c>
      <c r="X31" s="588"/>
      <c r="Y31" s="588"/>
      <c r="Z31" s="589"/>
    </row>
    <row r="32" spans="1:26" s="566" customFormat="1">
      <c r="A32" s="585" t="s">
        <v>276</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6" customFormat="1">
      <c r="A33" s="585" t="s">
        <v>277</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6" customFormat="1" ht="15.75" thickBot="1">
      <c r="A34" s="590" t="s">
        <v>278</v>
      </c>
      <c r="B34" s="591"/>
      <c r="C34" s="591"/>
      <c r="D34" s="591"/>
      <c r="E34" s="591"/>
      <c r="F34" s="591"/>
      <c r="G34" s="591"/>
      <c r="H34" s="591"/>
      <c r="I34" s="591"/>
      <c r="J34" s="591"/>
      <c r="K34" s="591"/>
      <c r="L34" s="592"/>
      <c r="M34" s="592">
        <f>SUMIF($Z$28:$Z$30,"landbouw",M28:M30)</f>
        <v>2024.7</v>
      </c>
      <c r="N34" s="592">
        <f>SUMIF($Z$28:$Z$30,"landbouw",N28:N30)</f>
        <v>9107.5124999999989</v>
      </c>
      <c r="O34" s="592">
        <f>SUMIF($Z$28:$Z$30,"landbouw",O28:O30)</f>
        <v>13026.803571428569</v>
      </c>
      <c r="P34" s="592">
        <f>SUMIF($Z$28:$Z$30,"landbouw",P28:P30)</f>
        <v>25924.28571428571</v>
      </c>
      <c r="Q34" s="592">
        <f>SUMIF($Z$28:$Z$30,"landbouw",Q28:Q30)</f>
        <v>114.32142857142857</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270</v>
      </c>
      <c r="B36" s="626" t="s">
        <v>89</v>
      </c>
      <c r="C36" s="626" t="s">
        <v>90</v>
      </c>
      <c r="D36" s="626"/>
      <c r="E36" s="626"/>
      <c r="F36" s="626"/>
      <c r="G36" s="626" t="s">
        <v>91</v>
      </c>
      <c r="H36" s="626" t="s">
        <v>92</v>
      </c>
      <c r="I36" s="626"/>
      <c r="J36" s="626"/>
      <c r="K36" s="626"/>
      <c r="L36" s="626" t="s">
        <v>93</v>
      </c>
      <c r="M36" s="627" t="s">
        <v>287</v>
      </c>
      <c r="N36" s="627" t="s">
        <v>94</v>
      </c>
      <c r="O36" s="627" t="s">
        <v>95</v>
      </c>
      <c r="P36" s="627" t="s">
        <v>530</v>
      </c>
      <c r="Q36" s="627" t="s">
        <v>96</v>
      </c>
      <c r="R36" s="627" t="s">
        <v>97</v>
      </c>
      <c r="S36" s="627" t="s">
        <v>98</v>
      </c>
      <c r="T36" s="627" t="s">
        <v>99</v>
      </c>
      <c r="U36" s="627" t="s">
        <v>100</v>
      </c>
      <c r="V36" s="627" t="s">
        <v>101</v>
      </c>
      <c r="W36" s="626" t="s">
        <v>102</v>
      </c>
      <c r="X36" s="626" t="s">
        <v>288</v>
      </c>
      <c r="Y36" s="626" t="s">
        <v>103</v>
      </c>
      <c r="Z36" s="628" t="s">
        <v>289</v>
      </c>
    </row>
    <row r="37" spans="1:27" s="598" customFormat="1" ht="12.75" hidden="1">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6" customFormat="1" hidden="1">
      <c r="A38" s="585" t="s">
        <v>269</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6" customFormat="1">
      <c r="A39" s="585" t="s">
        <v>276</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6" customFormat="1">
      <c r="A40" s="585" t="s">
        <v>277</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6" customFormat="1" ht="15.75" thickBot="1">
      <c r="A41" s="590" t="s">
        <v>278</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271</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272</v>
      </c>
      <c r="C46" s="609" t="s">
        <v>273</v>
      </c>
      <c r="D46" s="609"/>
      <c r="E46" s="609"/>
      <c r="F46" s="609"/>
      <c r="G46" s="609"/>
      <c r="H46" s="609"/>
      <c r="I46" s="610"/>
      <c r="J46" s="609"/>
      <c r="K46" s="609"/>
      <c r="L46" s="609"/>
      <c r="M46" s="609"/>
      <c r="N46" s="609"/>
      <c r="O46" s="609"/>
      <c r="P46" s="604"/>
    </row>
    <row r="47" spans="1:27">
      <c r="A47" s="606" t="s">
        <v>269</v>
      </c>
      <c r="B47" s="611">
        <f>IF(ISERROR(O31/(O31+N31)),0,O31/(O31+N31))</f>
        <v>0.58853427092079136</v>
      </c>
      <c r="C47" s="612">
        <f>IF(ISERROR(N31/(O31+N31)),0,N31/(N31+O31))</f>
        <v>0.41146572907920853</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530</v>
      </c>
      <c r="C49" s="619" t="s">
        <v>96</v>
      </c>
      <c r="D49" s="619" t="s">
        <v>97</v>
      </c>
      <c r="E49" s="619" t="s">
        <v>98</v>
      </c>
      <c r="F49" s="619" t="s">
        <v>99</v>
      </c>
      <c r="G49" s="619" t="s">
        <v>100</v>
      </c>
      <c r="H49" s="619" t="s">
        <v>101</v>
      </c>
      <c r="I49" s="620" t="s">
        <v>102</v>
      </c>
      <c r="J49" s="609"/>
      <c r="K49" s="609"/>
      <c r="L49" s="617"/>
      <c r="M49" s="617"/>
      <c r="N49" s="617"/>
      <c r="O49" s="604"/>
      <c r="P49" s="604"/>
    </row>
    <row r="50" spans="1:16">
      <c r="A50" s="608" t="s">
        <v>274</v>
      </c>
      <c r="B50" s="621">
        <f t="shared" ref="B50:I50" si="2">$C$47*P31</f>
        <v>10666.955122286279</v>
      </c>
      <c r="C50" s="621">
        <f t="shared" si="2"/>
        <v>47.039349956519516</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275</v>
      </c>
      <c r="B51" s="624">
        <f t="shared" ref="B51:I51" si="3">$B$47*P31</f>
        <v>15257.330591999427</v>
      </c>
      <c r="C51" s="624">
        <f t="shared" si="3"/>
        <v>67.28207861490904</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4"/>
      <c r="K52" s="564"/>
      <c r="L52" s="564"/>
      <c r="M52" s="564"/>
      <c r="N52" s="564"/>
    </row>
    <row r="53" spans="1:16">
      <c r="J53" s="564"/>
      <c r="K53" s="564"/>
      <c r="L53" s="564"/>
      <c r="M53" s="564"/>
      <c r="N53"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2021-11-11T13:18:09Z</dcterms:modified>
</cp:coreProperties>
</file>