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D880EC4-8AA2-4FA7-990B-9A04D93081F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U44" i="18"/>
  <c r="T44" i="18"/>
  <c r="I9" i="18" s="1"/>
  <c r="S44" i="18"/>
  <c r="E9" i="18" s="1"/>
  <c r="R44" i="18"/>
  <c r="Q44" i="18"/>
  <c r="P44" i="18"/>
  <c r="C9" i="18" s="1"/>
  <c r="O44" i="18"/>
  <c r="N44" i="18"/>
  <c r="B9" i="18" s="1"/>
  <c r="M44"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L20" i="18"/>
  <c r="D20" i="18"/>
  <c r="G12" i="18"/>
  <c r="F12" i="18"/>
  <c r="E12" i="18"/>
  <c r="D12" i="18"/>
  <c r="C12" i="18"/>
  <c r="L10" i="18"/>
  <c r="K10" i="18"/>
  <c r="G10" i="18"/>
  <c r="D10" i="18"/>
  <c r="B6" i="18"/>
  <c r="B5" i="18"/>
  <c r="B4" i="18"/>
  <c r="J9" i="18" l="1"/>
  <c r="B53" i="18"/>
  <c r="G57" i="18" s="1"/>
  <c r="I17" i="18" s="1"/>
  <c r="I20" i="18" s="1"/>
  <c r="B17" i="18"/>
  <c r="B20" i="18" s="1"/>
  <c r="I57" i="18"/>
  <c r="H17" i="18" s="1"/>
  <c r="F57" i="18"/>
  <c r="C57" i="18"/>
  <c r="B57" i="18"/>
  <c r="C17" i="18" s="1"/>
  <c r="C20" i="18" s="1"/>
  <c r="C53" i="18"/>
  <c r="O18" i="18"/>
  <c r="H20" i="18"/>
  <c r="G20" i="18"/>
  <c r="K20" i="18"/>
  <c r="B10" i="18"/>
  <c r="O19" i="18"/>
  <c r="O9" i="18"/>
  <c r="D57" i="18"/>
  <c r="H57" i="18"/>
  <c r="E56" i="18"/>
  <c r="E8" i="18" s="1"/>
  <c r="E10" i="18" s="1"/>
  <c r="N6" i="17"/>
  <c r="E57" i="18" l="1"/>
  <c r="E17" i="18" s="1"/>
  <c r="E20" i="18" s="1"/>
  <c r="I56" i="18"/>
  <c r="H8" i="18" s="1"/>
  <c r="H10" i="18" s="1"/>
  <c r="G56" i="18"/>
  <c r="F56" i="18"/>
  <c r="D56" i="18"/>
  <c r="C56" i="18"/>
  <c r="B56" i="18"/>
  <c r="C8" i="18" s="1"/>
  <c r="C10" i="18" s="1"/>
  <c r="H56"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Q56" i="14" s="1"/>
  <c r="P54" i="14"/>
  <c r="P56" i="14" s="1"/>
  <c r="L54" i="14"/>
  <c r="J54" i="14"/>
  <c r="J56" i="14" s="1"/>
  <c r="I54" i="14"/>
  <c r="I56" i="14" s="1"/>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I26" i="14"/>
  <c r="E25" i="14"/>
  <c r="E55" i="14" s="1"/>
  <c r="C25" i="14"/>
  <c r="B14" i="48" s="1"/>
  <c r="P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<sst xmlns="http://schemas.openxmlformats.org/spreadsheetml/2006/main" count="2556" uniqueCount="930">
  <si>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</si>
  <si>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</si>
  <si>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</si>
  <si>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</si>
  <si>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</si>
  <si>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</si>
  <si>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</si>
  <si>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</si>
  <si>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</si>
  <si>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</si>
  <si>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</si>
  <si>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</si>
  <si>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</si>
  <si>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</si>
  <si>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</si>
  <si>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</si>
  <si>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</si>
  <si>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</si>
  <si>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</si>
  <si>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</si>
  <si>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</si>
  <si>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</si>
  <si>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</si>
  <si>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</si>
  <si>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</si>
  <si>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</si>
  <si>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</si>
  <si>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</si>
  <si>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</si>
  <si>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</si>
  <si>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</si>
  <si>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</si>
  <si>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</si>
  <si>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</si>
  <si>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</si>
  <si>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</si>
  <si>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</si>
  <si>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</si>
  <si>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</si>
  <si>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</si>
  <si>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</si>
  <si>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</si>
  <si>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</si>
  <si>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</si>
  <si>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</si>
  <si>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</si>
  <si>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</si>
  <si>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</si>
  <si>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</si>
  <si>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</si>
  <si>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</si>
  <si>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</si>
  <si>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</si>
  <si>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</si>
  <si>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</si>
  <si>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</si>
  <si>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</si>
  <si>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</si>
  <si>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</si>
  <si>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</si>
  <si>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</si>
  <si>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</si>
  <si>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</si>
  <si>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</si>
  <si>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</si>
  <si>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</si>
  <si>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</si>
  <si>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</si>
  <si>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</si>
  <si>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</si>
  <si>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</si>
  <si>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</si>
  <si>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</si>
  <si>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</si>
  <si>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</si>
  <si>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</si>
  <si>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</si>
  <si>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</si>
  <si>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</si>
  <si>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</si>
  <si>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</si>
  <si>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</si>
  <si>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</si>
  <si>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</si>
  <si>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</si>
  <si>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</si>
  <si>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</si>
  <si>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</si>
  <si>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</si>
  <si>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</si>
  <si>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</si>
  <si>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</si>
  <si>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</si>
  <si>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</si>
  <si>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</si>
  <si>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</si>
  <si>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</si>
  <si>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</si>
  <si>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</si>
  <si>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</si>
  <si>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</si>
  <si>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</si>
  <si>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</si>
  <si>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</si>
  <si>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</si>
  <si>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</si>
  <si>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</si>
  <si>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</si>
  <si>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</si>
  <si>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</si>
  <si>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</si>
  <si>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</si>
  <si>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</si>
  <si>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</si>
  <si>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</si>
  <si>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</si>
  <si>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</si>
  <si>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</si>
  <si>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</si>
  <si>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</si>
  <si>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</si>
  <si>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</si>
  <si>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</si>
  <si>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</si>
  <si>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</si>
  <si>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</si>
  <si>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</si>
  <si>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</si>
  <si>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</si>
  <si>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</si>
  <si>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</si>
  <si>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</si>
  <si>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</si>
  <si>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</si>
  <si>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</si>
  <si>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</si>
  <si>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</si>
  <si>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</si>
  <si>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</si>
  <si>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</si>
  <si>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</si>
  <si>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</si>
  <si>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</si>
  <si>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</si>
  <si>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</si>
  <si>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</si>
  <si>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</si>
  <si>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</si>
  <si>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</si>
  <si>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</si>
  <si>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</si>
  <si>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</si>
  <si>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</si>
  <si>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</si>
  <si>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</si>
  <si>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</si>
  <si>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</si>
  <si>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</si>
  <si>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</si>
  <si>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</si>
  <si>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</si>
  <si>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</si>
  <si>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</si>
  <si>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</si>
  <si>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</si>
  <si>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</si>
  <si>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</si>
  <si>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</si>
  <si>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</si>
  <si>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</si>
  <si>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</si>
  <si>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</si>
  <si>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</si>
  <si>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</si>
  <si>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</si>
  <si>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</si>
  <si>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</si>
  <si>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</si>
  <si>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</si>
  <si>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</si>
  <si>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</si>
  <si>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</si>
  <si>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</si>
  <si>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</si>
  <si>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</si>
  <si>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</si>
  <si>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</si>
  <si>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</si>
  <si>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</si>
  <si>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</si>
  <si>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</si>
  <si>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</si>
  <si>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</si>
  <si>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</si>
  <si>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</si>
  <si>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</si>
  <si>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</si>
  <si>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</si>
  <si>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</si>
  <si>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</si>
  <si>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</si>
  <si>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</si>
  <si>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</si>
  <si>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</si>
  <si>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</si>
  <si>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</si>
  <si>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</si>
  <si>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</si>
  <si>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</si>
  <si>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</si>
  <si>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</si>
  <si>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</si>
  <si>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</si>
  <si>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</si>
  <si>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</si>
  <si>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</si>
  <si>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</si>
  <si>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</si>
  <si>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</si>
  <si>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</si>
  <si>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</si>
  <si>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</si>
  <si>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</si>
  <si>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</si>
  <si>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</si>
  <si>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</si>
  <si>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</si>
  <si>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</si>
  <si>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</si>
  <si>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</si>
  <si>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</si>
  <si>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</si>
  <si>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</si>
  <si>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</si>
  <si>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</si>
  <si>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</si>
  <si>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</si>
  <si>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</si>
  <si>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</si>
  <si>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</si>
  <si>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</si>
  <si>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</si>
  <si>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</si>
  <si>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</si>
  <si>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</si>
  <si>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</si>
  <si>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</si>
  <si>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</si>
  <si>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</si>
  <si>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</si>
  <si>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</si>
  <si>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</si>
  <si>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</si>
  <si>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</si>
  <si>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</si>
  <si>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</si>
  <si>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</si>
  <si>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</si>
  <si>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</si>
  <si>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</si>
  <si>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</si>
  <si>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</si>
  <si>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</si>
  <si>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</si>
  <si>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</si>
  <si>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</si>
  <si>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</si>
  <si>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</si>
  <si>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</si>
  <si>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</si>
  <si>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</si>
  <si>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</si>
  <si>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</si>
  <si>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</si>
  <si>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</si>
  <si>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</si>
  <si>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</si>
  <si>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</si>
  <si>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</si>
  <si>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</si>
  <si>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</si>
  <si>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</si>
  <si>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</si>
  <si>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</si>
  <si>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</si>
  <si>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</si>
  <si>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</si>
  <si>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</si>
  <si>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</si>
  <si>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</si>
  <si>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</si>
  <si>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</si>
  <si>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</si>
  <si>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</si>
  <si>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</si>
  <si>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</si>
  <si>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</si>
  <si>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</si>
  <si>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</si>
  <si>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</si>
  <si>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</si>
  <si>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</si>
  <si>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</si>
  <si>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</si>
  <si>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</si>
  <si>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</si>
  <si>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</si>
  <si>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</si>
  <si>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</si>
  <si>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</si>
  <si>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</si>
  <si>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</si>
  <si>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</si>
  <si>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</si>
  <si>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</si>
  <si>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</si>
  <si>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</si>
  <si>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</si>
  <si>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</si>
  <si>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</si>
  <si>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</si>
  <si>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</si>
  <si>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</si>
  <si>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</si>
  <si>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</si>
  <si>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</si>
  <si>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</si>
  <si>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</si>
  <si>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</si>
  <si>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</si>
  <si>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</si>
  <si>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</si>
  <si>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</si>
  <si>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</si>
  <si>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</si>
  <si>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</si>
  <si>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</si>
  <si>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</si>
  <si>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</si>
  <si>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</si>
  <si>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</si>
  <si>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</si>
  <si>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</si>
  <si>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</si>
  <si>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</si>
  <si>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</si>
  <si>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</si>
  <si>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</si>
  <si>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</si>
  <si>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</si>
  <si>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</si>
  <si>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</si>
  <si>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</si>
  <si>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</si>
  <si>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</si>
  <si>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</si>
  <si>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</si>
  <si>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</si>
  <si>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</si>
  <si>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</si>
  <si>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</si>
  <si>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</si>
  <si>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</si>
  <si>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</si>
  <si>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</si>
  <si>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</si>
  <si>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</si>
  <si>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</si>
  <si>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</si>
  <si>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</si>
  <si>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</si>
  <si>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</si>
  <si>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</si>
  <si>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</si>
  <si>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</si>
  <si>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</si>
  <si>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</si>
  <si>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</si>
  <si>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</si>
  <si>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</si>
  <si>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</si>
  <si>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</si>
  <si>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</si>
  <si>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</si>
  <si>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</si>
  <si>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</si>
  <si>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</si>
  <si>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</si>
  <si>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</si>
  <si>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</si>
  <si>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</si>
  <si>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</si>
  <si>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</si>
  <si>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</si>
  <si>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</si>
  <si>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</si>
  <si>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</si>
  <si>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</si>
  <si>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</si>
  <si>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</si>
  <si>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</si>
  <si>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</si>
  <si>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</si>
  <si>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</si>
  <si>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</si>
  <si>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</si>
  <si>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</si>
  <si>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</si>
  <si>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</si>
  <si>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</si>
  <si>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</si>
  <si>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</si>
  <si>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</si>
  <si>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</si>
  <si>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</si>
  <si>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</si>
  <si>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</si>
  <si>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</si>
  <si>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</si>
  <si>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</si>
  <si>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</si>
  <si>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</si>
  <si>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</si>
  <si>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</si>
  <si>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</si>
  <si>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</si>
  <si>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</si>
  <si>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</si>
  <si>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</si>
  <si>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</si>
  <si>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</si>
  <si>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</si>
  <si>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</si>
  <si>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</si>
  <si>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</si>
  <si>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</si>
  <si>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</si>
  <si>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</si>
  <si>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</si>
  <si>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</si>
  <si>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</si>
  <si>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</si>
  <si>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</si>
  <si>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</si>
  <si>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</si>
  <si>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</si>
  <si>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</si>
  <si>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</si>
  <si>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</si>
  <si>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</si>
  <si>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</si>
  <si>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</si>
  <si>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</si>
  <si>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</si>
  <si>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</si>
  <si>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</si>
  <si>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</si>
  <si>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</si>
  <si>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</si>
  <si>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</si>
  <si>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</si>
  <si>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</si>
  <si>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</si>
  <si>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</si>
  <si>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</si>
  <si>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</si>
  <si>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</si>
  <si>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</si>
  <si>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</si>
  <si>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</si>
  <si>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</si>
  <si>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</si>
  <si>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</si>
  <si>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</si>
  <si>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</si>
  <si>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</si>
  <si>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</si>
  <si>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</si>
  <si>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</si>
  <si>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</si>
  <si>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</si>
  <si>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</si>
  <si>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</si>
  <si>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</si>
  <si>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</si>
  <si>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</si>
  <si>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</si>
  <si>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</si>
  <si>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</si>
  <si>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</si>
  <si>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</si>
  <si>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</si>
  <si>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</si>
  <si>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</si>
  <si>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</si>
  <si>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</si>
  <si>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</si>
  <si>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</si>
  <si>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</si>
  <si>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</si>
  <si>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</si>
  <si>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</si>
  <si>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</si>
  <si>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</si>
  <si>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</si>
  <si>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</si>
  <si>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</si>
  <si>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</si>
  <si>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</si>
  <si>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</si>
  <si>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</si>
  <si>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</si>
  <si>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</si>
  <si>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</si>
  <si>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</si>
  <si>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</si>
  <si>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</si>
  <si>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</si>
  <si>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</si>
  <si>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</si>
  <si>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</si>
  <si>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</si>
  <si>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</si>
  <si>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</si>
  <si>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</si>
  <si>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</si>
  <si>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</si>
  <si>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</si>
  <si>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</si>
  <si>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</si>
  <si>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</si>
  <si>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</si>
  <si>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</si>
  <si>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</si>
  <si>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</si>
  <si>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</si>
  <si>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</si>
  <si>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</si>
  <si>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</si>
  <si>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</si>
  <si>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</si>
  <si>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</si>
  <si>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</si>
  <si>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</si>
  <si>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</si>
  <si>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</si>
  <si>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</si>
  <si>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</si>
  <si>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</si>
  <si>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</si>
  <si>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</si>
  <si>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</si>
  <si>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</si>
  <si>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</si>
  <si>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</si>
  <si>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</si>
  <si>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</si>
  <si>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</si>
  <si>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</si>
  <si>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</si>
  <si>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</si>
  <si>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</si>
  <si>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</si>
  <si>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</si>
  <si>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</si>
  <si>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</si>
  <si>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</si>
  <si>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</si>
  <si>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</si>
  <si>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</si>
  <si>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</si>
  <si>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</si>
  <si>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</si>
  <si>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</si>
  <si>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</si>
  <si>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</si>
  <si>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</si>
  <si>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</si>
  <si>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</si>
  <si>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</si>
  <si>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</si>
  <si>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</si>
  <si>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</si>
  <si>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</si>
  <si>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</si>
  <si>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</si>
  <si>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</si>
  <si>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</si>
  <si>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</si>
  <si>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</si>
  <si>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</si>
  <si>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</si>
  <si>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</si>
  <si>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</si>
  <si>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</si>
  <si>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</si>
  <si>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</si>
  <si>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</si>
  <si>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</si>
  <si>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</si>
  <si>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</si>
  <si>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</si>
  <si>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</si>
  <si>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</si>
  <si>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</si>
  <si>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</si>
  <si>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</si>
  <si>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</si>
  <si>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</si>
  <si>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</si>
  <si>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</si>
  <si>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</si>
  <si>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</si>
  <si>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</si>
  <si>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</si>
  <si>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</si>
  <si>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</si>
  <si>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</si>
  <si>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</si>
  <si>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</si>
  <si>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</si>
  <si>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</si>
  <si>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</si>
  <si>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</si>
  <si>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</si>
  <si>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</si>
  <si>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</si>
  <si>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</si>
  <si>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</si>
  <si>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</si>
  <si>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</si>
  <si>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</si>
  <si>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</si>
  <si>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</si>
  <si>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</si>
  <si>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</si>
  <si>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</si>
  <si>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</si>
  <si>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</si>
  <si>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</si>
  <si>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</si>
  <si>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</si>
  <si>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</si>
  <si>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</si>
  <si>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</si>
  <si>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</si>
  <si>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</si>
  <si>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</si>
  <si>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</si>
  <si>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</si>
  <si>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</si>
  <si>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</si>
  <si>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</si>
  <si>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</si>
  <si>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</si>
  <si>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</si>
  <si>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</si>
  <si>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</si>
  <si>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</si>
  <si>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</si>
  <si>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</si>
  <si>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</si>
  <si>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</si>
  <si>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</si>
  <si>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</si>
  <si>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</si>
  <si>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</si>
  <si>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</si>
  <si>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</si>
  <si>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</si>
  <si>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</si>
  <si>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</si>
  <si>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</si>
  <si>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</si>
  <si>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</si>
  <si>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</si>
  <si>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</si>
  <si>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</si>
  <si>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</si>
  <si>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</si>
  <si>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</si>
  <si>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</si>
  <si>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</si>
  <si>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</si>
  <si>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</si>
  <si>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</si>
  <si>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</si>
  <si>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</si>
  <si>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</si>
  <si>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</si>
  <si>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</si>
  <si>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</si>
  <si>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</si>
  <si>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</si>
  <si>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</si>
  <si>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</si>
  <si>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</si>
  <si>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</si>
  <si>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</si>
  <si>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</si>
  <si>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</si>
  <si>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</si>
  <si>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</si>
  <si>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</si>
  <si>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</si>
  <si>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</si>
  <si>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</si>
  <si>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</si>
  <si>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</si>
  <si>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</si>
  <si>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</si>
  <si>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</si>
  <si>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</si>
  <si>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</si>
  <si>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</si>
  <si>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</si>
  <si>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</si>
  <si>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</si>
  <si>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</si>
  <si>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</si>
  <si>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</si>
  <si>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</si>
  <si>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</si>
  <si>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</si>
  <si>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</si>
  <si>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</si>
  <si>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</si>
  <si>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</si>
  <si>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</si>
  <si>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</si>
  <si>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</si>
  <si>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</si>
  <si>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</si>
  <si>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</si>
  <si>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</si>
  <si>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</si>
  <si>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</si>
  <si>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</si>
  <si>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</si>
  <si>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</si>
  <si>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</si>
  <si>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</si>
  <si>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</si>
  <si>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</si>
  <si>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</si>
  <si>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</si>
  <si>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</si>
  <si>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</si>
  <si>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</si>
  <si>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</si>
  <si>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</si>
  <si>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</si>
  <si>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</si>
  <si>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</si>
  <si>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</si>
  <si>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</si>
  <si>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</si>
  <si>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</si>
  <si>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</si>
  <si>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</si>
  <si>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</si>
  <si>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</si>
  <si>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</si>
  <si>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</si>
  <si>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</si>
  <si>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</si>
  <si>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</si>
  <si>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</si>
  <si>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</si>
  <si>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</si>
  <si>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</si>
  <si>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</si>
  <si>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</si>
  <si>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</si>
  <si>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</si>
  <si>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</si>
  <si>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</si>
  <si>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</si>
  <si>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</si>
  <si>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</si>
  <si>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</si>
  <si>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</si>
  <si>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</si>
  <si>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</si>
  <si>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</si>
  <si>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</si>
  <si>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</si>
  <si>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</si>
  <si>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</si>
  <si>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</si>
  <si>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</si>
  <si>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</si>
  <si>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</si>
  <si>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</si>
  <si>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</si>
  <si>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</si>
  <si>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</si>
  <si>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</si>
  <si>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</si>
  <si>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</si>
  <si>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</si>
  <si>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</si>
  <si>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</si>
  <si>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</si>
  <si>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</si>
  <si>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</si>
  <si>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</si>
  <si>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</si>
  <si>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</si>
  <si>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</si>
  <si>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</si>
  <si>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</si>
  <si>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</si>
  <si>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</si>
  <si>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</si>
  <si>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</si>
  <si>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</si>
  <si>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</si>
  <si>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</si>
  <si>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</si>
  <si>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</si>
  <si>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</si>
  <si>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</si>
  <si>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</si>
  <si>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</si>
  <si>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</si>
  <si>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</si>
  <si>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</si>
  <si>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</si>
  <si>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</si>
  <si>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</si>
  <si>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</si>
  <si>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</si>
  <si>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</si>
  <si>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</si>
  <si>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</si>
  <si>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</si>
  <si>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</si>
  <si>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</si>
  <si>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</si>
  <si>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</si>
  <si>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</si>
  <si>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</si>
  <si>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</si>
  <si>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</si>
  <si>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</si>
  <si>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</si>
  <si>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</si>
  <si>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</si>
  <si>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</si>
  <si>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</si>
  <si>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</si>
  <si>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</si>
  <si>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</si>
  <si>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</si>
  <si>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</si>
  <si>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</si>
  <si>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</si>
  <si>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</si>
  <si>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</si>
  <si>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</si>
  <si>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</si>
  <si>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</si>
  <si>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</si>
  <si>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</si>
  <si>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</si>
  <si>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</si>
  <si>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</si>
  <si>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</si>
  <si>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</si>
  <si>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</si>
  <si>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</si>
  <si>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</si>
  <si>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</si>
  <si>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</si>
  <si>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</si>
  <si>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</si>
  <si>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</si>
  <si>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</si>
  <si>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</si>
  <si>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</si>
  <si>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</si>
  <si>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</si>
  <si>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</si>
  <si>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</si>
  <si>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</si>
  <si>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</si>
  <si>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</si>
  <si>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</si>
  <si>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</si>
  <si>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</si>
  <si>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</si>
  <si>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</si>
  <si>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</si>
  <si>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</si>
  <si>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</si>
  <si>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</si>
  <si>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</si>
  <si>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</si>
  <si>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</si>
  <si>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</si>
  <si>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</si>
  <si>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</si>
  <si>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</si>
  <si>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</si>
  <si>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</si>
  <si>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</si>
  <si>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</si>
  <si>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</si>
  <si>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</si>
  <si>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</si>
  <si>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</si>
  <si>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</si>
  <si>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</si>
  <si>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</si>
  <si>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</si>
  <si>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</si>
  <si>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</si>
  <si>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</si>
  <si>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11004</t>
  </si>
  <si>
    <t>BOECHOUT</t>
  </si>
  <si>
    <t>Cultuurgrond (ha)</t>
  </si>
  <si>
    <t>Paarden&amp;pony's 200 - 600 kg</t>
  </si>
  <si>
    <t>Paarden&amp;pony's &lt; 200 kg</t>
  </si>
  <si>
    <t>Fluvius</t>
  </si>
  <si>
    <t>referentietaak LNE (2017); Jaarverslag De Lijn</t>
  </si>
  <si>
    <t>interne verbrandingsmotor</t>
  </si>
  <si>
    <t>WKK interne verbrandinsgmotor (gas)</t>
  </si>
  <si>
    <t>IVEG</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</si>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</sst>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6ADFBE6-7DC5-4914-B407-EEC348C19CB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118383.84502757085</c:v>
                </c:pt>
                <c:pt idx="1">
                  <c:v>59816.924826115181</c:v>
                </c:pt>
                <c:pt idx="2">
                  <c:v>688.63</c:v>
                </c:pt>
                <c:pt idx="3">
                  <c:v>136353.9715810123</c:v>
                </c:pt>
                <c:pt idx="4">
                  <c:v>15899.750388305651</c:v>
                </c:pt>
                <c:pt idx="5">
                  <c:v>47140.899429545301</c:v>
                </c:pt>
                <c:pt idx="6">
                  <c:v>2195.2537945592608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118383.84502757085</c:v>
                </c:pt>
                <c:pt idx="1">
                  <c:v>59816.924826115181</c:v>
                </c:pt>
                <c:pt idx="2">
                  <c:v>688.63</c:v>
                </c:pt>
                <c:pt idx="3">
                  <c:v>136353.9715810123</c:v>
                </c:pt>
                <c:pt idx="4">
                  <c:v>15899.750388305651</c:v>
                </c:pt>
                <c:pt idx="5">
                  <c:v>47140.899429545301</c:v>
                </c:pt>
                <c:pt idx="6">
                  <c:v>2195.2537945592608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24428.243907306653</c:v>
                </c:pt>
                <c:pt idx="2">
                  <c:v>14021.853993978229</c:v>
                </c:pt>
                <c:pt idx="3">
                  <c:v>160.47142273877759</c:v>
                </c:pt>
                <c:pt idx="4">
                  <c:v>32670.677046394794</c:v>
                </c:pt>
                <c:pt idx="5">
                  <c:v>3387.8226987375874</c:v>
                </c:pt>
                <c:pt idx="6">
                  <c:v>11921.465567604788</c:v>
                </c:pt>
                <c:pt idx="7">
                  <c:v>544.322241428349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24428.243907306653</c:v>
                </c:pt>
                <c:pt idx="2">
                  <c:v>14021.853993978229</c:v>
                </c:pt>
                <c:pt idx="3">
                  <c:v>160.47142273877759</c:v>
                </c:pt>
                <c:pt idx="4">
                  <c:v>32670.677046394794</c:v>
                </c:pt>
                <c:pt idx="5">
                  <c:v>3387.8226987375874</c:v>
                </c:pt>
                <c:pt idx="6">
                  <c:v>11921.465567604788</c:v>
                </c:pt>
                <c:pt idx="7">
                  <c:v>544.322241428349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11004</v>
      </c>
      <c r="B6" s="385"/>
      <c r="C6" s="386"/>
    </row>
    <row r="7" spans="1:7" s="383" customFormat="1" ht="15.75" customHeight="1">
      <c r="A7" s="387" t="str">
        <f>txtMunicipality</f>
        <v>BOECHOUT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30872.057000000004</v>
      </c>
      <c r="D10" s="676">
        <f ca="1">tertiair!C16</f>
        <v>26620.714285714286</v>
      </c>
      <c r="E10" s="676">
        <f ca="1">tertiair!D16</f>
        <v>0</v>
      </c>
      <c r="F10" s="676">
        <f>tertiair!E16</f>
        <v>205.09475157903319</v>
      </c>
      <c r="G10" s="676">
        <f ca="1">tertiair!F16</f>
        <v>2304.569979228691</v>
      </c>
      <c r="H10" s="676">
        <f>tertiair!G16</f>
        <v>0</v>
      </c>
      <c r="I10" s="676">
        <f>tertiair!H16</f>
        <v>0</v>
      </c>
      <c r="J10" s="676">
        <f>tertiair!I16</f>
        <v>0</v>
      </c>
      <c r="K10" s="676">
        <f>tertiair!J16</f>
        <v>0</v>
      </c>
      <c r="L10" s="676">
        <f>tertiair!K16</f>
        <v>0</v>
      </c>
      <c r="M10" s="676">
        <f ca="1">tertiair!L16</f>
        <v>0</v>
      </c>
      <c r="N10" s="676">
        <f>tertiair!M16</f>
        <v>0</v>
      </c>
      <c r="O10" s="676">
        <f ca="1">tertiair!N16</f>
        <v>499.99214292651089</v>
      </c>
      <c r="P10" s="676">
        <f>tertiair!O16</f>
        <v>3.1266666666666669</v>
      </c>
      <c r="Q10" s="677">
        <f>tertiair!P16</f>
        <v>0</v>
      </c>
      <c r="R10" s="679">
        <f ca="1">SUM(C10:Q10)</f>
        <v>60505.554826115185</v>
      </c>
      <c r="S10" s="67"/>
    </row>
    <row r="11" spans="1:19" s="444" customFormat="1">
      <c r="A11" s="791" t="s">
        <v>214</v>
      </c>
      <c r="B11" s="796"/>
      <c r="C11" s="676">
        <f>huishoudens!B8</f>
        <v>22365.018526990807</v>
      </c>
      <c r="D11" s="676">
        <f>huishoudens!C8</f>
        <v>0</v>
      </c>
      <c r="E11" s="676">
        <f>huishoudens!D8</f>
        <v>66608.162940000009</v>
      </c>
      <c r="F11" s="676">
        <f>huishoudens!E8</f>
        <v>668.81206223190657</v>
      </c>
      <c r="G11" s="676">
        <f>huishoudens!F8</f>
        <v>20496.061832408308</v>
      </c>
      <c r="H11" s="676">
        <f>huishoudens!G8</f>
        <v>0</v>
      </c>
      <c r="I11" s="676">
        <f>huishoudens!H8</f>
        <v>0</v>
      </c>
      <c r="J11" s="676">
        <f>huishoudens!I8</f>
        <v>0</v>
      </c>
      <c r="K11" s="676">
        <f>huishoudens!J8</f>
        <v>388.15459987245646</v>
      </c>
      <c r="L11" s="676">
        <f>huishoudens!K8</f>
        <v>0</v>
      </c>
      <c r="M11" s="676">
        <f>huishoudens!L8</f>
        <v>0</v>
      </c>
      <c r="N11" s="676">
        <f>huishoudens!M8</f>
        <v>0</v>
      </c>
      <c r="O11" s="676">
        <f>huishoudens!N8</f>
        <v>7452.5150660673607</v>
      </c>
      <c r="P11" s="676">
        <f>huishoudens!O8</f>
        <v>100.05333333333334</v>
      </c>
      <c r="Q11" s="677">
        <f>huishoudens!P8</f>
        <v>305.06666666666666</v>
      </c>
      <c r="R11" s="679">
        <f>SUM(C11:Q11)</f>
        <v>118383.84502757085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8974.973</v>
      </c>
      <c r="D13" s="676">
        <f>industrie!C18</f>
        <v>0</v>
      </c>
      <c r="E13" s="676">
        <f>industrie!D18</f>
        <v>2156.9787579999997</v>
      </c>
      <c r="F13" s="676">
        <f>industrie!E18</f>
        <v>757.28892975832582</v>
      </c>
      <c r="G13" s="676">
        <f>industrie!F18</f>
        <v>2579.589946524452</v>
      </c>
      <c r="H13" s="676">
        <f>industrie!G18</f>
        <v>0</v>
      </c>
      <c r="I13" s="676">
        <f>industrie!H18</f>
        <v>0</v>
      </c>
      <c r="J13" s="676">
        <f>industrie!I18</f>
        <v>0</v>
      </c>
      <c r="K13" s="676">
        <f>industrie!J18</f>
        <v>5.7258801814433914E-2</v>
      </c>
      <c r="L13" s="676">
        <f>industrie!K18</f>
        <v>0</v>
      </c>
      <c r="M13" s="676">
        <f>industrie!L18</f>
        <v>0</v>
      </c>
      <c r="N13" s="676">
        <f>industrie!M18</f>
        <v>0</v>
      </c>
      <c r="O13" s="676">
        <f>industrie!N18</f>
        <v>1430.8624952210571</v>
      </c>
      <c r="P13" s="676">
        <f>industrie!O18</f>
        <v>0</v>
      </c>
      <c r="Q13" s="677">
        <f>industrie!P18</f>
        <v>0</v>
      </c>
      <c r="R13" s="679">
        <f>SUM(C13:Q13)</f>
        <v>15899.750388305651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62212.048526990809</v>
      </c>
      <c r="D16" s="711">
        <f t="shared" ref="D16:R16" ca="1" si="0">SUM(D9:D15)</f>
        <v>26620.714285714286</v>
      </c>
      <c r="E16" s="711">
        <f t="shared" ca="1" si="0"/>
        <v>68765.141698000007</v>
      </c>
      <c r="F16" s="711">
        <f t="shared" si="0"/>
        <v>1631.1957435692657</v>
      </c>
      <c r="G16" s="711">
        <f t="shared" ca="1" si="0"/>
        <v>25380.22175816145</v>
      </c>
      <c r="H16" s="711">
        <f t="shared" si="0"/>
        <v>0</v>
      </c>
      <c r="I16" s="711">
        <f t="shared" si="0"/>
        <v>0</v>
      </c>
      <c r="J16" s="711">
        <f t="shared" si="0"/>
        <v>0</v>
      </c>
      <c r="K16" s="711">
        <f t="shared" si="0"/>
        <v>388.2118586742709</v>
      </c>
      <c r="L16" s="711">
        <f t="shared" si="0"/>
        <v>0</v>
      </c>
      <c r="M16" s="711">
        <f t="shared" ca="1" si="0"/>
        <v>0</v>
      </c>
      <c r="N16" s="711">
        <f t="shared" si="0"/>
        <v>0</v>
      </c>
      <c r="O16" s="711">
        <f t="shared" ca="1" si="0"/>
        <v>9383.3697042149288</v>
      </c>
      <c r="P16" s="711">
        <f t="shared" si="0"/>
        <v>103.18</v>
      </c>
      <c r="Q16" s="711">
        <f t="shared" si="0"/>
        <v>305.06666666666666</v>
      </c>
      <c r="R16" s="711">
        <f t="shared" ca="1" si="0"/>
        <v>194789.15024199171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739.88430722084911</v>
      </c>
      <c r="D19" s="676">
        <f>transport!C54</f>
        <v>0</v>
      </c>
      <c r="E19" s="676">
        <f>transport!D54</f>
        <v>0</v>
      </c>
      <c r="F19" s="676">
        <f>transport!E54</f>
        <v>0</v>
      </c>
      <c r="G19" s="676">
        <f>transport!F54</f>
        <v>0</v>
      </c>
      <c r="H19" s="676">
        <f>transport!G54</f>
        <v>1392.9102225657703</v>
      </c>
      <c r="I19" s="676">
        <f>transport!H54</f>
        <v>0</v>
      </c>
      <c r="J19" s="676">
        <f>transport!I54</f>
        <v>0</v>
      </c>
      <c r="K19" s="676">
        <f>transport!J54</f>
        <v>0</v>
      </c>
      <c r="L19" s="676">
        <f>transport!K54</f>
        <v>0</v>
      </c>
      <c r="M19" s="676">
        <f>transport!L54</f>
        <v>0</v>
      </c>
      <c r="N19" s="676">
        <f>transport!M54</f>
        <v>62.459264772641369</v>
      </c>
      <c r="O19" s="676">
        <f>transport!N54</f>
        <v>0</v>
      </c>
      <c r="P19" s="676">
        <f>transport!O54</f>
        <v>0</v>
      </c>
      <c r="Q19" s="677">
        <f>transport!P54</f>
        <v>0</v>
      </c>
      <c r="R19" s="679">
        <f>SUM(C19:Q19)</f>
        <v>2195.2537945592608</v>
      </c>
      <c r="S19" s="67"/>
    </row>
    <row r="20" spans="1:19" s="444" customFormat="1">
      <c r="A20" s="791" t="s">
        <v>296</v>
      </c>
      <c r="B20" s="796"/>
      <c r="C20" s="676">
        <f>transport!B14</f>
        <v>4.0393922060657452</v>
      </c>
      <c r="D20" s="676">
        <f>transport!C14</f>
        <v>0</v>
      </c>
      <c r="E20" s="676">
        <f>transport!D14</f>
        <v>3.7705888456289784</v>
      </c>
      <c r="F20" s="676">
        <f>transport!E14</f>
        <v>134.56653082677892</v>
      </c>
      <c r="G20" s="676">
        <f>transport!F14</f>
        <v>0</v>
      </c>
      <c r="H20" s="676">
        <f>transport!G14</f>
        <v>38489.551002652581</v>
      </c>
      <c r="I20" s="676">
        <f>transport!H14</f>
        <v>6475.9272652197969</v>
      </c>
      <c r="J20" s="676">
        <f>transport!I14</f>
        <v>0</v>
      </c>
      <c r="K20" s="676">
        <f>transport!J14</f>
        <v>0</v>
      </c>
      <c r="L20" s="676">
        <f>transport!K14</f>
        <v>0</v>
      </c>
      <c r="M20" s="676">
        <f>transport!L14</f>
        <v>0</v>
      </c>
      <c r="N20" s="676">
        <f>transport!M14</f>
        <v>2033.0446497944488</v>
      </c>
      <c r="O20" s="676">
        <f>transport!N14</f>
        <v>0</v>
      </c>
      <c r="P20" s="676">
        <f>transport!O14</f>
        <v>0</v>
      </c>
      <c r="Q20" s="677">
        <f>transport!P14</f>
        <v>0</v>
      </c>
      <c r="R20" s="679">
        <f>SUM(C20:Q20)</f>
        <v>47140.899429545301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743.92369942691482</v>
      </c>
      <c r="D22" s="794">
        <f t="shared" ref="D22:R22" si="1">SUM(D18:D21)</f>
        <v>0</v>
      </c>
      <c r="E22" s="794">
        <f t="shared" si="1"/>
        <v>3.7705888456289784</v>
      </c>
      <c r="F22" s="794">
        <f t="shared" si="1"/>
        <v>134.56653082677892</v>
      </c>
      <c r="G22" s="794">
        <f t="shared" si="1"/>
        <v>0</v>
      </c>
      <c r="H22" s="794">
        <f t="shared" si="1"/>
        <v>39882.461225218351</v>
      </c>
      <c r="I22" s="794">
        <f t="shared" si="1"/>
        <v>6475.9272652197969</v>
      </c>
      <c r="J22" s="794">
        <f t="shared" si="1"/>
        <v>0</v>
      </c>
      <c r="K22" s="794">
        <f t="shared" si="1"/>
        <v>0</v>
      </c>
      <c r="L22" s="794">
        <f t="shared" si="1"/>
        <v>0</v>
      </c>
      <c r="M22" s="794">
        <f t="shared" si="1"/>
        <v>0</v>
      </c>
      <c r="N22" s="794">
        <f t="shared" si="1"/>
        <v>2095.5039145670903</v>
      </c>
      <c r="O22" s="794">
        <f t="shared" si="1"/>
        <v>0</v>
      </c>
      <c r="P22" s="794">
        <f t="shared" si="1"/>
        <v>0</v>
      </c>
      <c r="Q22" s="794">
        <f t="shared" si="1"/>
        <v>0</v>
      </c>
      <c r="R22" s="794">
        <f t="shared" si="1"/>
        <v>49336.153224104564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2337.768</v>
      </c>
      <c r="D24" s="676">
        <f>+landbouw!C8</f>
        <v>125569.28571428572</v>
      </c>
      <c r="E24" s="676">
        <f>+landbouw!D8</f>
        <v>0</v>
      </c>
      <c r="F24" s="676">
        <f>+landbouw!E8</f>
        <v>29.45888845751594</v>
      </c>
      <c r="G24" s="676">
        <f>+landbouw!F8</f>
        <v>8065.8852458777756</v>
      </c>
      <c r="H24" s="676">
        <f>+landbouw!G8</f>
        <v>0</v>
      </c>
      <c r="I24" s="676">
        <f>+landbouw!H8</f>
        <v>0</v>
      </c>
      <c r="J24" s="676">
        <f>+landbouw!I8</f>
        <v>0</v>
      </c>
      <c r="K24" s="676">
        <f>+landbouw!J8</f>
        <v>351.57373239128827</v>
      </c>
      <c r="L24" s="676">
        <f>+landbouw!K8</f>
        <v>0</v>
      </c>
      <c r="M24" s="676">
        <f>+landbouw!L8</f>
        <v>0</v>
      </c>
      <c r="N24" s="676">
        <f>+landbouw!M8</f>
        <v>0</v>
      </c>
      <c r="O24" s="676">
        <f>+landbouw!N8</f>
        <v>0</v>
      </c>
      <c r="P24" s="676">
        <f>+landbouw!O8</f>
        <v>0</v>
      </c>
      <c r="Q24" s="677">
        <f>+landbouw!P8</f>
        <v>0</v>
      </c>
      <c r="R24" s="679">
        <f>SUM(C24:Q24)</f>
        <v>136353.9715810123</v>
      </c>
      <c r="S24" s="67"/>
    </row>
    <row r="25" spans="1:19" s="444" customFormat="1" ht="15" thickBot="1">
      <c r="A25" s="813" t="s">
        <v>833</v>
      </c>
      <c r="B25" s="977"/>
      <c r="C25" s="978">
        <f>IF(Onbekend_ele_kWh="---",0,Onbekend_ele_kWh)/1000+IF(REST_rest_ele_kWh="---",0,REST_rest_ele_kWh)/1000</f>
        <v>736.47500000000002</v>
      </c>
      <c r="D25" s="978"/>
      <c r="E25" s="978">
        <f>IF(onbekend_gas_kWh="---",0,onbekend_gas_kWh)/1000+IF(REST_rest_gas_kWh="---",0,REST_rest_gas_kWh)/1000</f>
        <v>2921.3969999999999</v>
      </c>
      <c r="F25" s="978"/>
      <c r="G25" s="978"/>
      <c r="H25" s="978"/>
      <c r="I25" s="978"/>
      <c r="J25" s="978"/>
      <c r="K25" s="978"/>
      <c r="L25" s="978"/>
      <c r="M25" s="978"/>
      <c r="N25" s="978"/>
      <c r="O25" s="978"/>
      <c r="P25" s="978"/>
      <c r="Q25" s="979"/>
      <c r="R25" s="679">
        <f>SUM(C25:Q25)</f>
        <v>3657.8719999999998</v>
      </c>
      <c r="S25" s="67"/>
    </row>
    <row r="26" spans="1:19" s="444" customFormat="1" ht="15.75" thickBot="1">
      <c r="A26" s="684" t="s">
        <v>834</v>
      </c>
      <c r="B26" s="799"/>
      <c r="C26" s="794">
        <f>SUM(C24:C25)</f>
        <v>3074.2429999999999</v>
      </c>
      <c r="D26" s="794">
        <f t="shared" ref="D26:R26" si="2">SUM(D24:D25)</f>
        <v>125569.28571428572</v>
      </c>
      <c r="E26" s="794">
        <f t="shared" si="2"/>
        <v>2921.3969999999999</v>
      </c>
      <c r="F26" s="794">
        <f t="shared" si="2"/>
        <v>29.45888845751594</v>
      </c>
      <c r="G26" s="794">
        <f t="shared" si="2"/>
        <v>8065.8852458777756</v>
      </c>
      <c r="H26" s="794">
        <f t="shared" si="2"/>
        <v>0</v>
      </c>
      <c r="I26" s="794">
        <f t="shared" si="2"/>
        <v>0</v>
      </c>
      <c r="J26" s="794">
        <f t="shared" si="2"/>
        <v>0</v>
      </c>
      <c r="K26" s="794">
        <f t="shared" si="2"/>
        <v>351.57373239128827</v>
      </c>
      <c r="L26" s="794">
        <f t="shared" si="2"/>
        <v>0</v>
      </c>
      <c r="M26" s="794">
        <f t="shared" si="2"/>
        <v>0</v>
      </c>
      <c r="N26" s="794">
        <f t="shared" si="2"/>
        <v>0</v>
      </c>
      <c r="O26" s="794">
        <f t="shared" si="2"/>
        <v>0</v>
      </c>
      <c r="P26" s="794">
        <f t="shared" si="2"/>
        <v>0</v>
      </c>
      <c r="Q26" s="794">
        <f t="shared" si="2"/>
        <v>0</v>
      </c>
      <c r="R26" s="794">
        <f t="shared" si="2"/>
        <v>140011.8435810123</v>
      </c>
      <c r="S26" s="67"/>
    </row>
    <row r="27" spans="1:19" s="444" customFormat="1" ht="17.25" thickTop="1" thickBot="1">
      <c r="A27" s="685" t="s">
        <v>109</v>
      </c>
      <c r="B27" s="786"/>
      <c r="C27" s="686">
        <f ca="1">C22+C16+C26</f>
        <v>66030.215226417728</v>
      </c>
      <c r="D27" s="686">
        <f t="shared" ref="D27:R27" ca="1" si="3">D22+D16+D26</f>
        <v>152190</v>
      </c>
      <c r="E27" s="686">
        <f t="shared" ca="1" si="3"/>
        <v>71690.30928684563</v>
      </c>
      <c r="F27" s="686">
        <f t="shared" si="3"/>
        <v>1795.2211628535606</v>
      </c>
      <c r="G27" s="686">
        <f t="shared" ca="1" si="3"/>
        <v>33446.107004039222</v>
      </c>
      <c r="H27" s="686">
        <f t="shared" si="3"/>
        <v>39882.461225218351</v>
      </c>
      <c r="I27" s="686">
        <f t="shared" si="3"/>
        <v>6475.9272652197969</v>
      </c>
      <c r="J27" s="686">
        <f t="shared" si="3"/>
        <v>0</v>
      </c>
      <c r="K27" s="686">
        <f t="shared" si="3"/>
        <v>739.78559106555917</v>
      </c>
      <c r="L27" s="686">
        <f t="shared" si="3"/>
        <v>0</v>
      </c>
      <c r="M27" s="686">
        <f t="shared" ca="1" si="3"/>
        <v>0</v>
      </c>
      <c r="N27" s="686">
        <f t="shared" si="3"/>
        <v>2095.5039145670903</v>
      </c>
      <c r="O27" s="686">
        <f t="shared" ca="1" si="3"/>
        <v>9383.3697042149288</v>
      </c>
      <c r="P27" s="686">
        <f t="shared" si="3"/>
        <v>103.18</v>
      </c>
      <c r="Q27" s="686">
        <f t="shared" si="3"/>
        <v>305.06666666666666</v>
      </c>
      <c r="R27" s="686">
        <f t="shared" ca="1" si="3"/>
        <v>384137.14704710862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7194.1142698729918</v>
      </c>
      <c r="D40" s="676">
        <f ca="1">tertiair!C20</f>
        <v>6326.3344537815137</v>
      </c>
      <c r="E40" s="676">
        <f ca="1">tertiair!D20</f>
        <v>0</v>
      </c>
      <c r="F40" s="676">
        <f>tertiair!E20</f>
        <v>46.556508608440538</v>
      </c>
      <c r="G40" s="676">
        <f ca="1">tertiair!F20</f>
        <v>615.3201844540605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14182.325416717007</v>
      </c>
    </row>
    <row r="41" spans="1:18">
      <c r="A41" s="804" t="s">
        <v>214</v>
      </c>
      <c r="B41" s="811"/>
      <c r="C41" s="676">
        <f ca="1">huishoudens!B12</f>
        <v>5211.7194176921348</v>
      </c>
      <c r="D41" s="676">
        <f ca="1">huishoudens!C12</f>
        <v>0</v>
      </c>
      <c r="E41" s="676">
        <f>huishoudens!D12</f>
        <v>13454.848913880003</v>
      </c>
      <c r="F41" s="676">
        <f>huishoudens!E12</f>
        <v>151.82033812664281</v>
      </c>
      <c r="G41" s="676">
        <f>huishoudens!F12</f>
        <v>5472.4485092530185</v>
      </c>
      <c r="H41" s="676">
        <f>huishoudens!G12</f>
        <v>0</v>
      </c>
      <c r="I41" s="676">
        <f>huishoudens!H12</f>
        <v>0</v>
      </c>
      <c r="J41" s="676">
        <f>huishoudens!I12</f>
        <v>0</v>
      </c>
      <c r="K41" s="676">
        <f>huishoudens!J12</f>
        <v>137.40672835484958</v>
      </c>
      <c r="L41" s="676">
        <f>huishoudens!K12</f>
        <v>0</v>
      </c>
      <c r="M41" s="676">
        <f>huishoudens!L12</f>
        <v>0</v>
      </c>
      <c r="N41" s="676">
        <f>huishoudens!M12</f>
        <v>0</v>
      </c>
      <c r="O41" s="676">
        <f>huishoudens!N12</f>
        <v>0</v>
      </c>
      <c r="P41" s="676">
        <f>huishoudens!O12</f>
        <v>0</v>
      </c>
      <c r="Q41" s="753">
        <f>huishoudens!P12</f>
        <v>0</v>
      </c>
      <c r="R41" s="832">
        <f t="shared" ca="1" si="4"/>
        <v>24428.243907306653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2091.437617228577</v>
      </c>
      <c r="D43" s="676">
        <f ca="1">industrie!C22</f>
        <v>0</v>
      </c>
      <c r="E43" s="676">
        <f>industrie!D22</f>
        <v>435.709709116</v>
      </c>
      <c r="F43" s="676">
        <f>industrie!E22</f>
        <v>171.90458705513996</v>
      </c>
      <c r="G43" s="676">
        <f>industrie!F22</f>
        <v>688.75051572202869</v>
      </c>
      <c r="H43" s="676">
        <f>industrie!G22</f>
        <v>0</v>
      </c>
      <c r="I43" s="676">
        <f>industrie!H22</f>
        <v>0</v>
      </c>
      <c r="J43" s="676">
        <f>industrie!I22</f>
        <v>0</v>
      </c>
      <c r="K43" s="676">
        <f>industrie!J22</f>
        <v>2.0269615842309605E-2</v>
      </c>
      <c r="L43" s="676">
        <f>industrie!K22</f>
        <v>0</v>
      </c>
      <c r="M43" s="676">
        <f>industrie!L22</f>
        <v>0</v>
      </c>
      <c r="N43" s="676">
        <f>industrie!M22</f>
        <v>0</v>
      </c>
      <c r="O43" s="676">
        <f>industrie!N22</f>
        <v>0</v>
      </c>
      <c r="P43" s="676">
        <f>industrie!O22</f>
        <v>0</v>
      </c>
      <c r="Q43" s="753">
        <f>industrie!P22</f>
        <v>0</v>
      </c>
      <c r="R43" s="831">
        <f t="shared" ca="1" si="4"/>
        <v>3387.8226987375874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14497.271304793703</v>
      </c>
      <c r="D46" s="711">
        <f t="shared" ref="D46:Q46" ca="1" si="5">SUM(D39:D45)</f>
        <v>6326.3344537815137</v>
      </c>
      <c r="E46" s="711">
        <f t="shared" ca="1" si="5"/>
        <v>13890.558622996003</v>
      </c>
      <c r="F46" s="711">
        <f t="shared" si="5"/>
        <v>370.28143379022333</v>
      </c>
      <c r="G46" s="711">
        <f t="shared" ca="1" si="5"/>
        <v>6776.5192094291078</v>
      </c>
      <c r="H46" s="711">
        <f t="shared" si="5"/>
        <v>0</v>
      </c>
      <c r="I46" s="711">
        <f t="shared" si="5"/>
        <v>0</v>
      </c>
      <c r="J46" s="711">
        <f t="shared" si="5"/>
        <v>0</v>
      </c>
      <c r="K46" s="711">
        <f t="shared" si="5"/>
        <v>137.4269979706919</v>
      </c>
      <c r="L46" s="711">
        <f t="shared" si="5"/>
        <v>0</v>
      </c>
      <c r="M46" s="711">
        <f t="shared" ca="1" si="5"/>
        <v>0</v>
      </c>
      <c r="N46" s="711">
        <f t="shared" si="5"/>
        <v>0</v>
      </c>
      <c r="O46" s="711">
        <f t="shared" ca="1" si="5"/>
        <v>0</v>
      </c>
      <c r="P46" s="711">
        <f t="shared" si="5"/>
        <v>0</v>
      </c>
      <c r="Q46" s="711">
        <f t="shared" si="5"/>
        <v>0</v>
      </c>
      <c r="R46" s="711">
        <f ca="1">SUM(R39:R45)</f>
        <v>41998.392022761247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172.41521200328836</v>
      </c>
      <c r="D49" s="676">
        <f ca="1">transport!C58</f>
        <v>0</v>
      </c>
      <c r="E49" s="676">
        <f>transport!D58</f>
        <v>0</v>
      </c>
      <c r="F49" s="676">
        <f>transport!E58</f>
        <v>0</v>
      </c>
      <c r="G49" s="676">
        <f>transport!F58</f>
        <v>0</v>
      </c>
      <c r="H49" s="676">
        <f>transport!G58</f>
        <v>371.90702942506067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544.322241428349</v>
      </c>
    </row>
    <row r="50" spans="1:18">
      <c r="A50" s="807" t="s">
        <v>296</v>
      </c>
      <c r="B50" s="817"/>
      <c r="C50" s="682">
        <f ca="1">transport!B18</f>
        <v>0.94129941232200109</v>
      </c>
      <c r="D50" s="682">
        <f>transport!C18</f>
        <v>0</v>
      </c>
      <c r="E50" s="682">
        <f>transport!D18</f>
        <v>0.76165894681705371</v>
      </c>
      <c r="F50" s="682">
        <f>transport!E18</f>
        <v>30.546602497678816</v>
      </c>
      <c r="G50" s="682">
        <f>transport!F18</f>
        <v>0</v>
      </c>
      <c r="H50" s="682">
        <f>transport!G18</f>
        <v>10276.71011770824</v>
      </c>
      <c r="I50" s="682">
        <f>transport!H18</f>
        <v>1612.5058890397295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11921.465567604788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173.35651141561036</v>
      </c>
      <c r="D52" s="711">
        <f t="shared" ref="D52:Q52" ca="1" si="6">SUM(D48:D51)</f>
        <v>0</v>
      </c>
      <c r="E52" s="711">
        <f t="shared" si="6"/>
        <v>0.76165894681705371</v>
      </c>
      <c r="F52" s="711">
        <f t="shared" si="6"/>
        <v>30.546602497678816</v>
      </c>
      <c r="G52" s="711">
        <f t="shared" si="6"/>
        <v>0</v>
      </c>
      <c r="H52" s="711">
        <f t="shared" si="6"/>
        <v>10648.617147133302</v>
      </c>
      <c r="I52" s="711">
        <f t="shared" si="6"/>
        <v>1612.5058890397295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12465.787809033136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544.76998822762096</v>
      </c>
      <c r="D54" s="682">
        <f ca="1">+landbouw!C12</f>
        <v>29841.171428571437</v>
      </c>
      <c r="E54" s="682">
        <f>+landbouw!D12</f>
        <v>0</v>
      </c>
      <c r="F54" s="682">
        <f>+landbouw!E12</f>
        <v>6.6871676798561186</v>
      </c>
      <c r="G54" s="682">
        <f>+landbouw!F12</f>
        <v>2153.5913606493664</v>
      </c>
      <c r="H54" s="682">
        <f>+landbouw!G12</f>
        <v>0</v>
      </c>
      <c r="I54" s="682">
        <f>+landbouw!H12</f>
        <v>0</v>
      </c>
      <c r="J54" s="682">
        <f>+landbouw!I12</f>
        <v>0</v>
      </c>
      <c r="K54" s="682">
        <f>+landbouw!J12</f>
        <v>124.45710126651605</v>
      </c>
      <c r="L54" s="682">
        <f>+landbouw!K12</f>
        <v>0</v>
      </c>
      <c r="M54" s="682">
        <f>+landbouw!L12</f>
        <v>0</v>
      </c>
      <c r="N54" s="682">
        <f>+landbouw!M12</f>
        <v>0</v>
      </c>
      <c r="O54" s="682">
        <f>+landbouw!N12</f>
        <v>0</v>
      </c>
      <c r="P54" s="682">
        <f>+landbouw!O12</f>
        <v>0</v>
      </c>
      <c r="Q54" s="683">
        <f>+landbouw!P12</f>
        <v>0</v>
      </c>
      <c r="R54" s="710">
        <f ca="1">SUM(C54:Q54)</f>
        <v>32670.677046394794</v>
      </c>
    </row>
    <row r="55" spans="1:18" ht="15" thickBot="1">
      <c r="A55" s="807" t="s">
        <v>833</v>
      </c>
      <c r="B55" s="817"/>
      <c r="C55" s="682">
        <f ca="1">C25*'EF ele_warmte'!B12</f>
        <v>171.62074127113434</v>
      </c>
      <c r="D55" s="682"/>
      <c r="E55" s="682">
        <f>E25*EF_CO2_aardgas</f>
        <v>590.12219400000004</v>
      </c>
      <c r="F55" s="682"/>
      <c r="G55" s="682"/>
      <c r="H55" s="682"/>
      <c r="I55" s="682"/>
      <c r="J55" s="682"/>
      <c r="K55" s="682"/>
      <c r="L55" s="682"/>
      <c r="M55" s="682"/>
      <c r="N55" s="682"/>
      <c r="O55" s="682"/>
      <c r="P55" s="682"/>
      <c r="Q55" s="683"/>
      <c r="R55" s="710">
        <f ca="1">SUM(C55:Q55)</f>
        <v>761.74293527113434</v>
      </c>
    </row>
    <row r="56" spans="1:18" ht="15.75" thickBot="1">
      <c r="A56" s="805" t="s">
        <v>834</v>
      </c>
      <c r="B56" s="818"/>
      <c r="C56" s="711">
        <f ca="1">SUM(C54:C55)</f>
        <v>716.39072949875526</v>
      </c>
      <c r="D56" s="711">
        <f t="shared" ref="D56:Q56" ca="1" si="7">SUM(D54:D55)</f>
        <v>29841.171428571437</v>
      </c>
      <c r="E56" s="711">
        <f t="shared" si="7"/>
        <v>590.12219400000004</v>
      </c>
      <c r="F56" s="711">
        <f t="shared" si="7"/>
        <v>6.6871676798561186</v>
      </c>
      <c r="G56" s="711">
        <f t="shared" si="7"/>
        <v>2153.5913606493664</v>
      </c>
      <c r="H56" s="711">
        <f t="shared" si="7"/>
        <v>0</v>
      </c>
      <c r="I56" s="711">
        <f t="shared" si="7"/>
        <v>0</v>
      </c>
      <c r="J56" s="711">
        <f t="shared" si="7"/>
        <v>0</v>
      </c>
      <c r="K56" s="711">
        <f t="shared" si="7"/>
        <v>124.45710126651605</v>
      </c>
      <c r="L56" s="711">
        <f t="shared" si="7"/>
        <v>0</v>
      </c>
      <c r="M56" s="711">
        <f t="shared" si="7"/>
        <v>0</v>
      </c>
      <c r="N56" s="711">
        <f t="shared" si="7"/>
        <v>0</v>
      </c>
      <c r="O56" s="711">
        <f t="shared" si="7"/>
        <v>0</v>
      </c>
      <c r="P56" s="711">
        <f t="shared" si="7"/>
        <v>0</v>
      </c>
      <c r="Q56" s="712">
        <f t="shared" si="7"/>
        <v>0</v>
      </c>
      <c r="R56" s="713">
        <f ca="1">SUM(R54:R55)</f>
        <v>33432.419981665931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15387.018545708068</v>
      </c>
      <c r="D61" s="719">
        <f t="shared" ref="D61:Q61" ca="1" si="8">D46+D52+D56</f>
        <v>36167.505882352954</v>
      </c>
      <c r="E61" s="719">
        <f t="shared" ca="1" si="8"/>
        <v>14481.442475942818</v>
      </c>
      <c r="F61" s="719">
        <f t="shared" si="8"/>
        <v>407.51520396775828</v>
      </c>
      <c r="G61" s="719">
        <f t="shared" ca="1" si="8"/>
        <v>8930.1105700784738</v>
      </c>
      <c r="H61" s="719">
        <f t="shared" si="8"/>
        <v>10648.617147133302</v>
      </c>
      <c r="I61" s="719">
        <f t="shared" si="8"/>
        <v>1612.5058890397295</v>
      </c>
      <c r="J61" s="719">
        <f t="shared" si="8"/>
        <v>0</v>
      </c>
      <c r="K61" s="719">
        <f t="shared" si="8"/>
        <v>261.88409923720792</v>
      </c>
      <c r="L61" s="719">
        <f t="shared" si="8"/>
        <v>0</v>
      </c>
      <c r="M61" s="719">
        <f t="shared" ca="1" si="8"/>
        <v>0</v>
      </c>
      <c r="N61" s="719">
        <f t="shared" si="8"/>
        <v>0</v>
      </c>
      <c r="O61" s="719">
        <f t="shared" ca="1" si="8"/>
        <v>0</v>
      </c>
      <c r="P61" s="719">
        <f t="shared" si="8"/>
        <v>0</v>
      </c>
      <c r="Q61" s="719">
        <f t="shared" si="8"/>
        <v>0</v>
      </c>
      <c r="R61" s="719">
        <f ca="1">R46+R52+R56</f>
        <v>87896.599813460314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0.23302996200975498</v>
      </c>
      <c r="D63" s="762">
        <f t="shared" ca="1" si="9"/>
        <v>0.23764705882352949</v>
      </c>
      <c r="E63" s="984">
        <f t="shared" ca="1" si="9"/>
        <v>0.20200000000000001</v>
      </c>
      <c r="F63" s="762">
        <f t="shared" si="9"/>
        <v>0.22700000000000001</v>
      </c>
      <c r="G63" s="762">
        <f t="shared" ca="1" si="9"/>
        <v>0.26700000000000002</v>
      </c>
      <c r="H63" s="762">
        <f t="shared" si="9"/>
        <v>0.26700000000000007</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2110.7722398428532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106533</v>
      </c>
      <c r="D76" s="994">
        <f>'lokale energieproductie'!C8</f>
        <v>125332.94117647059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25317.254117647059</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2110.7722398428532</v>
      </c>
      <c r="C78" s="734">
        <f>SUM(C72:C77)</f>
        <v>106533</v>
      </c>
      <c r="D78" s="735">
        <f t="shared" ref="D78:H78" si="10">SUM(D76:D77)</f>
        <v>125332.94117647059</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25317.254117647059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152190</v>
      </c>
      <c r="D87" s="756">
        <f>'lokale energieproductie'!C17</f>
        <v>179047.05882352943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36167.505882352947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152190</v>
      </c>
      <c r="D90" s="734">
        <f t="shared" ref="D90:H90" si="12">SUM(D87:D89)</f>
        <v>179047.05882352943</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36167.505882352947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22365.018526990807</v>
      </c>
      <c r="C4" s="448">
        <f>huishoudens!C8</f>
        <v>0</v>
      </c>
      <c r="D4" s="448">
        <f>huishoudens!D8</f>
        <v>66608.162940000009</v>
      </c>
      <c r="E4" s="448">
        <f>huishoudens!E8</f>
        <v>668.81206223190657</v>
      </c>
      <c r="F4" s="448">
        <f>huishoudens!F8</f>
        <v>20496.061832408308</v>
      </c>
      <c r="G4" s="448">
        <f>huishoudens!G8</f>
        <v>0</v>
      </c>
      <c r="H4" s="448">
        <f>huishoudens!H8</f>
        <v>0</v>
      </c>
      <c r="I4" s="448">
        <f>huishoudens!I8</f>
        <v>0</v>
      </c>
      <c r="J4" s="448">
        <f>huishoudens!J8</f>
        <v>388.15459987245646</v>
      </c>
      <c r="K4" s="448">
        <f>huishoudens!K8</f>
        <v>0</v>
      </c>
      <c r="L4" s="448">
        <f>huishoudens!L8</f>
        <v>0</v>
      </c>
      <c r="M4" s="448">
        <f>huishoudens!M8</f>
        <v>0</v>
      </c>
      <c r="N4" s="448">
        <f>huishoudens!N8</f>
        <v>7452.5150660673607</v>
      </c>
      <c r="O4" s="448">
        <f>huishoudens!O8</f>
        <v>100.05333333333334</v>
      </c>
      <c r="P4" s="449">
        <f>huishoudens!P8</f>
        <v>305.06666666666666</v>
      </c>
      <c r="Q4" s="450">
        <f>SUM(B4:P4)</f>
        <v>118383.84502757085</v>
      </c>
    </row>
    <row r="5" spans="1:17">
      <c r="A5" s="447" t="s">
        <v>149</v>
      </c>
      <c r="B5" s="448">
        <f ca="1">tertiair!B16</f>
        <v>30183.427000000003</v>
      </c>
      <c r="C5" s="448">
        <f ca="1">tertiair!C16</f>
        <v>26620.714285714286</v>
      </c>
      <c r="D5" s="448">
        <f ca="1">tertiair!D16</f>
        <v>0</v>
      </c>
      <c r="E5" s="448">
        <f>tertiair!E16</f>
        <v>205.09475157903319</v>
      </c>
      <c r="F5" s="448">
        <f ca="1">tertiair!F16</f>
        <v>2304.569979228691</v>
      </c>
      <c r="G5" s="448">
        <f>tertiair!G16</f>
        <v>0</v>
      </c>
      <c r="H5" s="448">
        <f>tertiair!H16</f>
        <v>0</v>
      </c>
      <c r="I5" s="448">
        <f>tertiair!I16</f>
        <v>0</v>
      </c>
      <c r="J5" s="448">
        <f>tertiair!J16</f>
        <v>0</v>
      </c>
      <c r="K5" s="448">
        <f>tertiair!K16</f>
        <v>0</v>
      </c>
      <c r="L5" s="448">
        <f ca="1">tertiair!L16</f>
        <v>0</v>
      </c>
      <c r="M5" s="448">
        <f>tertiair!M16</f>
        <v>0</v>
      </c>
      <c r="N5" s="448">
        <f ca="1">tertiair!N16</f>
        <v>499.99214292651089</v>
      </c>
      <c r="O5" s="448">
        <f>tertiair!O16</f>
        <v>3.1266666666666669</v>
      </c>
      <c r="P5" s="449">
        <f>tertiair!P16</f>
        <v>0</v>
      </c>
      <c r="Q5" s="447">
        <f t="shared" ref="Q5:Q14" ca="1" si="0">SUM(B5:P5)</f>
        <v>59816.924826115181</v>
      </c>
    </row>
    <row r="6" spans="1:17">
      <c r="A6" s="447" t="s">
        <v>187</v>
      </c>
      <c r="B6" s="448">
        <f>'openbare verlichting'!B8</f>
        <v>688.63</v>
      </c>
      <c r="C6" s="448"/>
      <c r="D6" s="448"/>
      <c r="E6" s="448"/>
      <c r="F6" s="448"/>
      <c r="G6" s="448"/>
      <c r="H6" s="448"/>
      <c r="I6" s="448"/>
      <c r="J6" s="448"/>
      <c r="K6" s="448"/>
      <c r="L6" s="448"/>
      <c r="M6" s="448"/>
      <c r="N6" s="448"/>
      <c r="O6" s="448"/>
      <c r="P6" s="449"/>
      <c r="Q6" s="447">
        <f t="shared" si="0"/>
        <v>688.63</v>
      </c>
    </row>
    <row r="7" spans="1:17">
      <c r="A7" s="447" t="s">
        <v>105</v>
      </c>
      <c r="B7" s="448">
        <f>landbouw!B8</f>
        <v>2337.768</v>
      </c>
      <c r="C7" s="448">
        <f>landbouw!C8</f>
        <v>125569.28571428572</v>
      </c>
      <c r="D7" s="448">
        <f>landbouw!D8</f>
        <v>0</v>
      </c>
      <c r="E7" s="448">
        <f>landbouw!E8</f>
        <v>29.45888845751594</v>
      </c>
      <c r="F7" s="448">
        <f>landbouw!F8</f>
        <v>8065.8852458777756</v>
      </c>
      <c r="G7" s="448">
        <f>landbouw!G8</f>
        <v>0</v>
      </c>
      <c r="H7" s="448">
        <f>landbouw!H8</f>
        <v>0</v>
      </c>
      <c r="I7" s="448">
        <f>landbouw!I8</f>
        <v>0</v>
      </c>
      <c r="J7" s="448">
        <f>landbouw!J8</f>
        <v>351.57373239128827</v>
      </c>
      <c r="K7" s="448">
        <f>landbouw!K8</f>
        <v>0</v>
      </c>
      <c r="L7" s="448">
        <f>landbouw!L8</f>
        <v>0</v>
      </c>
      <c r="M7" s="448">
        <f>landbouw!M8</f>
        <v>0</v>
      </c>
      <c r="N7" s="448">
        <f>landbouw!N8</f>
        <v>0</v>
      </c>
      <c r="O7" s="448">
        <f>landbouw!O8</f>
        <v>0</v>
      </c>
      <c r="P7" s="449">
        <f>landbouw!P8</f>
        <v>0</v>
      </c>
      <c r="Q7" s="447">
        <f t="shared" si="0"/>
        <v>136353.9715810123</v>
      </c>
    </row>
    <row r="8" spans="1:17">
      <c r="A8" s="447" t="s">
        <v>639</v>
      </c>
      <c r="B8" s="448">
        <f>industrie!B18</f>
        <v>8974.973</v>
      </c>
      <c r="C8" s="448">
        <f>industrie!C18</f>
        <v>0</v>
      </c>
      <c r="D8" s="448">
        <f>industrie!D18</f>
        <v>2156.9787579999997</v>
      </c>
      <c r="E8" s="448">
        <f>industrie!E18</f>
        <v>757.28892975832582</v>
      </c>
      <c r="F8" s="448">
        <f>industrie!F18</f>
        <v>2579.589946524452</v>
      </c>
      <c r="G8" s="448">
        <f>industrie!G18</f>
        <v>0</v>
      </c>
      <c r="H8" s="448">
        <f>industrie!H18</f>
        <v>0</v>
      </c>
      <c r="I8" s="448">
        <f>industrie!I18</f>
        <v>0</v>
      </c>
      <c r="J8" s="448">
        <f>industrie!J18</f>
        <v>5.7258801814433914E-2</v>
      </c>
      <c r="K8" s="448">
        <f>industrie!K18</f>
        <v>0</v>
      </c>
      <c r="L8" s="448">
        <f>industrie!L18</f>
        <v>0</v>
      </c>
      <c r="M8" s="448">
        <f>industrie!M18</f>
        <v>0</v>
      </c>
      <c r="N8" s="448">
        <f>industrie!N18</f>
        <v>1430.8624952210571</v>
      </c>
      <c r="O8" s="448">
        <f>industrie!O18</f>
        <v>0</v>
      </c>
      <c r="P8" s="449">
        <f>industrie!P18</f>
        <v>0</v>
      </c>
      <c r="Q8" s="447">
        <f t="shared" si="0"/>
        <v>15899.750388305651</v>
      </c>
    </row>
    <row r="9" spans="1:17" s="453" customFormat="1">
      <c r="A9" s="451" t="s">
        <v>557</v>
      </c>
      <c r="B9" s="452">
        <f>transport!B14</f>
        <v>4.0393922060657452</v>
      </c>
      <c r="C9" s="452">
        <f>transport!C14</f>
        <v>0</v>
      </c>
      <c r="D9" s="452">
        <f>transport!D14</f>
        <v>3.7705888456289784</v>
      </c>
      <c r="E9" s="452">
        <f>transport!E14</f>
        <v>134.56653082677892</v>
      </c>
      <c r="F9" s="452">
        <f>transport!F14</f>
        <v>0</v>
      </c>
      <c r="G9" s="452">
        <f>transport!G14</f>
        <v>38489.551002652581</v>
      </c>
      <c r="H9" s="452">
        <f>transport!H14</f>
        <v>6475.9272652197969</v>
      </c>
      <c r="I9" s="452">
        <f>transport!I14</f>
        <v>0</v>
      </c>
      <c r="J9" s="452">
        <f>transport!J14</f>
        <v>0</v>
      </c>
      <c r="K9" s="452">
        <f>transport!K14</f>
        <v>0</v>
      </c>
      <c r="L9" s="452">
        <f>transport!L14</f>
        <v>0</v>
      </c>
      <c r="M9" s="452">
        <f>transport!M14</f>
        <v>2033.0446497944488</v>
      </c>
      <c r="N9" s="452">
        <f>transport!N14</f>
        <v>0</v>
      </c>
      <c r="O9" s="452">
        <f>transport!O14</f>
        <v>0</v>
      </c>
      <c r="P9" s="452">
        <f>transport!P14</f>
        <v>0</v>
      </c>
      <c r="Q9" s="451">
        <f>SUM(B9:P9)</f>
        <v>47140.899429545301</v>
      </c>
    </row>
    <row r="10" spans="1:17">
      <c r="A10" s="447" t="s">
        <v>547</v>
      </c>
      <c r="B10" s="448">
        <f>transport!B54</f>
        <v>739.88430722084911</v>
      </c>
      <c r="C10" s="448">
        <f>transport!C54</f>
        <v>0</v>
      </c>
      <c r="D10" s="448">
        <f>transport!D54</f>
        <v>0</v>
      </c>
      <c r="E10" s="448">
        <f>transport!E54</f>
        <v>0</v>
      </c>
      <c r="F10" s="448">
        <f>transport!F54</f>
        <v>0</v>
      </c>
      <c r="G10" s="448">
        <f>transport!G54</f>
        <v>1392.9102225657703</v>
      </c>
      <c r="H10" s="448">
        <f>transport!H54</f>
        <v>0</v>
      </c>
      <c r="I10" s="448">
        <f>transport!I54</f>
        <v>0</v>
      </c>
      <c r="J10" s="448">
        <f>transport!J54</f>
        <v>0</v>
      </c>
      <c r="K10" s="448">
        <f>transport!K54</f>
        <v>0</v>
      </c>
      <c r="L10" s="448">
        <f>transport!L54</f>
        <v>0</v>
      </c>
      <c r="M10" s="448">
        <f>transport!M54</f>
        <v>62.459264772641369</v>
      </c>
      <c r="N10" s="448">
        <f>transport!N54</f>
        <v>0</v>
      </c>
      <c r="O10" s="448">
        <f>transport!O54</f>
        <v>0</v>
      </c>
      <c r="P10" s="449">
        <f>transport!P54</f>
        <v>0</v>
      </c>
      <c r="Q10" s="447">
        <f t="shared" si="0"/>
        <v>2195.2537945592608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736.47500000000002</v>
      </c>
      <c r="C14" s="455"/>
      <c r="D14" s="455">
        <f>'SEAP template'!E25</f>
        <v>2921.3969999999999</v>
      </c>
      <c r="E14" s="455"/>
      <c r="F14" s="455"/>
      <c r="G14" s="455"/>
      <c r="H14" s="455"/>
      <c r="I14" s="455"/>
      <c r="J14" s="455"/>
      <c r="K14" s="455"/>
      <c r="L14" s="455"/>
      <c r="M14" s="455"/>
      <c r="N14" s="455"/>
      <c r="O14" s="455"/>
      <c r="P14" s="456"/>
      <c r="Q14" s="447">
        <f t="shared" si="0"/>
        <v>3657.8719999999998</v>
      </c>
    </row>
    <row r="15" spans="1:17" s="460" customFormat="1">
      <c r="A15" s="457" t="s">
        <v>551</v>
      </c>
      <c r="B15" s="458">
        <f ca="1">SUM(B4:B14)</f>
        <v>66030.215226417728</v>
      </c>
      <c r="C15" s="458">
        <f t="shared" ref="C15:Q15" ca="1" si="1">SUM(C4:C14)</f>
        <v>152190</v>
      </c>
      <c r="D15" s="458">
        <f t="shared" ca="1" si="1"/>
        <v>71690.30928684563</v>
      </c>
      <c r="E15" s="458">
        <f t="shared" si="1"/>
        <v>1795.2211628535606</v>
      </c>
      <c r="F15" s="458">
        <f t="shared" ca="1" si="1"/>
        <v>33446.10700403923</v>
      </c>
      <c r="G15" s="458">
        <f t="shared" si="1"/>
        <v>39882.461225218351</v>
      </c>
      <c r="H15" s="458">
        <f t="shared" si="1"/>
        <v>6475.9272652197969</v>
      </c>
      <c r="I15" s="458">
        <f t="shared" si="1"/>
        <v>0</v>
      </c>
      <c r="J15" s="458">
        <f t="shared" si="1"/>
        <v>739.78559106555917</v>
      </c>
      <c r="K15" s="458">
        <f t="shared" si="1"/>
        <v>0</v>
      </c>
      <c r="L15" s="458">
        <f t="shared" ca="1" si="1"/>
        <v>0</v>
      </c>
      <c r="M15" s="458">
        <f t="shared" si="1"/>
        <v>2095.5039145670903</v>
      </c>
      <c r="N15" s="458">
        <f t="shared" ca="1" si="1"/>
        <v>9383.3697042149288</v>
      </c>
      <c r="O15" s="458">
        <f t="shared" si="1"/>
        <v>103.18</v>
      </c>
      <c r="P15" s="458">
        <f t="shared" si="1"/>
        <v>305.06666666666666</v>
      </c>
      <c r="Q15" s="458">
        <f t="shared" ca="1" si="1"/>
        <v>384137.1470471085</v>
      </c>
    </row>
    <row r="17" spans="1:17">
      <c r="A17" s="461" t="s">
        <v>552</v>
      </c>
      <c r="B17" s="767">
        <f ca="1">huishoudens!B10</f>
        <v>0.23302996200975501</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5211.7194176921348</v>
      </c>
      <c r="C22" s="448">
        <f t="shared" ref="C22:C32" ca="1" si="3">C4*$C$17</f>
        <v>0</v>
      </c>
      <c r="D22" s="448">
        <f t="shared" ref="D22:D32" si="4">D4*$D$17</f>
        <v>13454.848913880003</v>
      </c>
      <c r="E22" s="448">
        <f t="shared" ref="E22:E32" si="5">E4*$E$17</f>
        <v>151.82033812664281</v>
      </c>
      <c r="F22" s="448">
        <f t="shared" ref="F22:F32" si="6">F4*$F$17</f>
        <v>5472.4485092530185</v>
      </c>
      <c r="G22" s="448">
        <f t="shared" ref="G22:G32" si="7">G4*$G$17</f>
        <v>0</v>
      </c>
      <c r="H22" s="448">
        <f t="shared" ref="H22:H32" si="8">H4*$H$17</f>
        <v>0</v>
      </c>
      <c r="I22" s="448">
        <f t="shared" ref="I22:I32" si="9">I4*$I$17</f>
        <v>0</v>
      </c>
      <c r="J22" s="448">
        <f t="shared" ref="J22:J32" si="10">J4*$J$17</f>
        <v>137.40672835484958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24428.243907306653</v>
      </c>
    </row>
    <row r="23" spans="1:17">
      <c r="A23" s="447" t="s">
        <v>149</v>
      </c>
      <c r="B23" s="448">
        <f t="shared" ca="1" si="2"/>
        <v>7033.6428471342142</v>
      </c>
      <c r="C23" s="448">
        <f t="shared" ca="1" si="3"/>
        <v>6326.3344537815137</v>
      </c>
      <c r="D23" s="448">
        <f t="shared" ca="1" si="4"/>
        <v>0</v>
      </c>
      <c r="E23" s="448">
        <f t="shared" si="5"/>
        <v>46.556508608440538</v>
      </c>
      <c r="F23" s="448">
        <f t="shared" ca="1" si="6"/>
        <v>615.3201844540605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14021.853993978229</v>
      </c>
    </row>
    <row r="24" spans="1:17">
      <c r="A24" s="447" t="s">
        <v>187</v>
      </c>
      <c r="B24" s="448">
        <f t="shared" ca="1" si="2"/>
        <v>160.47142273877759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160.47142273877759</v>
      </c>
    </row>
    <row r="25" spans="1:17">
      <c r="A25" s="447" t="s">
        <v>105</v>
      </c>
      <c r="B25" s="448">
        <f t="shared" ca="1" si="2"/>
        <v>544.76998822762096</v>
      </c>
      <c r="C25" s="448">
        <f t="shared" ca="1" si="3"/>
        <v>29841.171428571437</v>
      </c>
      <c r="D25" s="448">
        <f t="shared" si="4"/>
        <v>0</v>
      </c>
      <c r="E25" s="448">
        <f t="shared" si="5"/>
        <v>6.6871676798561186</v>
      </c>
      <c r="F25" s="448">
        <f t="shared" si="6"/>
        <v>2153.5913606493664</v>
      </c>
      <c r="G25" s="448">
        <f t="shared" si="7"/>
        <v>0</v>
      </c>
      <c r="H25" s="448">
        <f t="shared" si="8"/>
        <v>0</v>
      </c>
      <c r="I25" s="448">
        <f t="shared" si="9"/>
        <v>0</v>
      </c>
      <c r="J25" s="448">
        <f t="shared" si="10"/>
        <v>124.45710126651605</v>
      </c>
      <c r="K25" s="448">
        <f t="shared" si="11"/>
        <v>0</v>
      </c>
      <c r="L25" s="448">
        <f t="shared" si="12"/>
        <v>0</v>
      </c>
      <c r="M25" s="448">
        <f t="shared" si="13"/>
        <v>0</v>
      </c>
      <c r="N25" s="448">
        <f t="shared" si="14"/>
        <v>0</v>
      </c>
      <c r="O25" s="448">
        <f t="shared" si="15"/>
        <v>0</v>
      </c>
      <c r="P25" s="449">
        <f t="shared" si="16"/>
        <v>0</v>
      </c>
      <c r="Q25" s="447">
        <f t="shared" ca="1" si="17"/>
        <v>32670.677046394794</v>
      </c>
    </row>
    <row r="26" spans="1:17">
      <c r="A26" s="447" t="s">
        <v>639</v>
      </c>
      <c r="B26" s="448">
        <f t="shared" ca="1" si="2"/>
        <v>2091.437617228577</v>
      </c>
      <c r="C26" s="448">
        <f t="shared" ca="1" si="3"/>
        <v>0</v>
      </c>
      <c r="D26" s="448">
        <f t="shared" si="4"/>
        <v>435.709709116</v>
      </c>
      <c r="E26" s="448">
        <f t="shared" si="5"/>
        <v>171.90458705513996</v>
      </c>
      <c r="F26" s="448">
        <f t="shared" si="6"/>
        <v>688.75051572202869</v>
      </c>
      <c r="G26" s="448">
        <f t="shared" si="7"/>
        <v>0</v>
      </c>
      <c r="H26" s="448">
        <f t="shared" si="8"/>
        <v>0</v>
      </c>
      <c r="I26" s="448">
        <f t="shared" si="9"/>
        <v>0</v>
      </c>
      <c r="J26" s="448">
        <f t="shared" si="10"/>
        <v>2.0269615842309605E-2</v>
      </c>
      <c r="K26" s="448">
        <f t="shared" si="11"/>
        <v>0</v>
      </c>
      <c r="L26" s="448">
        <f t="shared" si="12"/>
        <v>0</v>
      </c>
      <c r="M26" s="448">
        <f t="shared" si="13"/>
        <v>0</v>
      </c>
      <c r="N26" s="448">
        <f t="shared" si="14"/>
        <v>0</v>
      </c>
      <c r="O26" s="448">
        <f t="shared" si="15"/>
        <v>0</v>
      </c>
      <c r="P26" s="449">
        <f t="shared" si="16"/>
        <v>0</v>
      </c>
      <c r="Q26" s="447">
        <f t="shared" ca="1" si="17"/>
        <v>3387.8226987375874</v>
      </c>
    </row>
    <row r="27" spans="1:17" s="453" customFormat="1">
      <c r="A27" s="451" t="s">
        <v>557</v>
      </c>
      <c r="B27" s="761">
        <f t="shared" ca="1" si="2"/>
        <v>0.94129941232200109</v>
      </c>
      <c r="C27" s="452">
        <f t="shared" ca="1" si="3"/>
        <v>0</v>
      </c>
      <c r="D27" s="452">
        <f t="shared" si="4"/>
        <v>0.76165894681705371</v>
      </c>
      <c r="E27" s="452">
        <f t="shared" si="5"/>
        <v>30.546602497678816</v>
      </c>
      <c r="F27" s="452">
        <f t="shared" si="6"/>
        <v>0</v>
      </c>
      <c r="G27" s="452">
        <f t="shared" si="7"/>
        <v>10276.71011770824</v>
      </c>
      <c r="H27" s="452">
        <f t="shared" si="8"/>
        <v>1612.5058890397295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11921.465567604788</v>
      </c>
    </row>
    <row r="28" spans="1:17">
      <c r="A28" s="447" t="s">
        <v>547</v>
      </c>
      <c r="B28" s="448">
        <f t="shared" ca="1" si="2"/>
        <v>172.41521200328836</v>
      </c>
      <c r="C28" s="448">
        <f t="shared" ca="1" si="3"/>
        <v>0</v>
      </c>
      <c r="D28" s="448">
        <f t="shared" si="4"/>
        <v>0</v>
      </c>
      <c r="E28" s="448">
        <f t="shared" si="5"/>
        <v>0</v>
      </c>
      <c r="F28" s="448">
        <f t="shared" si="6"/>
        <v>0</v>
      </c>
      <c r="G28" s="448">
        <f t="shared" si="7"/>
        <v>371.90702942506067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544.322241428349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171.62074127113434</v>
      </c>
      <c r="C32" s="448">
        <f t="shared" ca="1" si="3"/>
        <v>0</v>
      </c>
      <c r="D32" s="448">
        <f t="shared" si="4"/>
        <v>590.12219400000004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761.74293527113434</v>
      </c>
    </row>
    <row r="33" spans="1:17" s="460" customFormat="1">
      <c r="A33" s="457" t="s">
        <v>551</v>
      </c>
      <c r="B33" s="458">
        <f ca="1">SUM(B22:B32)</f>
        <v>15387.018545708068</v>
      </c>
      <c r="C33" s="458">
        <f t="shared" ref="C33:Q33" ca="1" si="18">SUM(C22:C32)</f>
        <v>36167.505882352954</v>
      </c>
      <c r="D33" s="458">
        <f t="shared" ca="1" si="18"/>
        <v>14481.442475942818</v>
      </c>
      <c r="E33" s="458">
        <f t="shared" si="18"/>
        <v>407.51520396775823</v>
      </c>
      <c r="F33" s="458">
        <f t="shared" ca="1" si="18"/>
        <v>8930.1105700784756</v>
      </c>
      <c r="G33" s="458">
        <f t="shared" si="18"/>
        <v>10648.617147133302</v>
      </c>
      <c r="H33" s="458">
        <f t="shared" si="18"/>
        <v>1612.5058890397295</v>
      </c>
      <c r="I33" s="458">
        <f t="shared" si="18"/>
        <v>0</v>
      </c>
      <c r="J33" s="458">
        <f t="shared" si="18"/>
        <v>261.88409923720798</v>
      </c>
      <c r="K33" s="458">
        <f t="shared" si="18"/>
        <v>0</v>
      </c>
      <c r="L33" s="458">
        <f t="shared" ca="1" si="18"/>
        <v>0</v>
      </c>
      <c r="M33" s="458">
        <f t="shared" si="18"/>
        <v>0</v>
      </c>
      <c r="N33" s="458">
        <f t="shared" ca="1" si="18"/>
        <v>0</v>
      </c>
      <c r="O33" s="458">
        <f t="shared" si="18"/>
        <v>0</v>
      </c>
      <c r="P33" s="458">
        <f t="shared" si="18"/>
        <v>0</v>
      </c>
      <c r="Q33" s="458">
        <f t="shared" ca="1" si="18"/>
        <v>87896.5998134603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2110.7722398428532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106533</v>
      </c>
      <c r="D8" s="1020">
        <f>'SEAP template'!D76</f>
        <v>125332.94117647059</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25317.254117647059</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2110.7722398428532</v>
      </c>
      <c r="C10" s="1024">
        <f>SUM(C4:C9)</f>
        <v>106533</v>
      </c>
      <c r="D10" s="1024">
        <f t="shared" ref="D10:H10" si="0">SUM(D8:D9)</f>
        <v>125332.94117647059</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25317.254117647059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0.23302996200975501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152190</v>
      </c>
      <c r="D17" s="1021">
        <f>'SEAP template'!D87</f>
        <v>179047.05882352943</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36167.505882352947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152190</v>
      </c>
      <c r="D20" s="1024">
        <f t="shared" ref="D20:H20" si="2">SUM(D17:D19)</f>
        <v>179047.05882352943</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36167.505882352947</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0.23302996200975501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0.23302996200975501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0.23302996200975501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5013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963</v>
      </c>
      <c r="C14" s="327"/>
      <c r="D14" s="327"/>
      <c r="E14" s="327"/>
      <c r="F14" s="327"/>
    </row>
    <row r="15" spans="1:6">
      <c r="A15" s="1296" t="s">
        <v>177</v>
      </c>
      <c r="B15" s="1297">
        <v>0</v>
      </c>
      <c r="C15" s="327"/>
      <c r="D15" s="327"/>
      <c r="E15" s="327"/>
      <c r="F15" s="327"/>
    </row>
    <row r="16" spans="1:6">
      <c r="A16" s="1296" t="s">
        <v>6</v>
      </c>
      <c r="B16" s="1297">
        <v>29</v>
      </c>
      <c r="C16" s="327"/>
      <c r="D16" s="327"/>
      <c r="E16" s="327"/>
      <c r="F16" s="327"/>
    </row>
    <row r="17" spans="1:6">
      <c r="A17" s="1296" t="s">
        <v>7</v>
      </c>
      <c r="B17" s="1297">
        <v>108</v>
      </c>
      <c r="C17" s="327"/>
      <c r="D17" s="327"/>
      <c r="E17" s="327"/>
      <c r="F17" s="327"/>
    </row>
    <row r="18" spans="1:6">
      <c r="A18" s="1296" t="s">
        <v>8</v>
      </c>
      <c r="B18" s="1297">
        <v>105</v>
      </c>
      <c r="C18" s="327"/>
      <c r="D18" s="327"/>
      <c r="E18" s="327"/>
      <c r="F18" s="327"/>
    </row>
    <row r="19" spans="1:6">
      <c r="A19" s="1296" t="s">
        <v>9</v>
      </c>
      <c r="B19" s="1297">
        <v>88</v>
      </c>
      <c r="C19" s="327"/>
      <c r="D19" s="327"/>
      <c r="E19" s="327"/>
      <c r="F19" s="327"/>
    </row>
    <row r="20" spans="1:6">
      <c r="A20" s="1296" t="s">
        <v>10</v>
      </c>
      <c r="B20" s="1297">
        <v>97</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1</v>
      </c>
      <c r="C24" s="327"/>
      <c r="D24" s="327"/>
      <c r="E24" s="327"/>
      <c r="F24" s="327"/>
    </row>
    <row r="25" spans="1:6">
      <c r="A25" s="1296" t="s">
        <v>15</v>
      </c>
      <c r="B25" s="1297">
        <v>0</v>
      </c>
      <c r="C25" s="327"/>
      <c r="D25" s="327"/>
      <c r="E25" s="327"/>
      <c r="F25" s="327"/>
    </row>
    <row r="26" spans="1:6">
      <c r="A26" s="1296" t="s">
        <v>16</v>
      </c>
      <c r="B26" s="1297">
        <v>33</v>
      </c>
      <c r="C26" s="327"/>
      <c r="D26" s="327"/>
      <c r="E26" s="327"/>
      <c r="F26" s="327"/>
    </row>
    <row r="27" spans="1:6">
      <c r="A27" s="1296" t="s">
        <v>17</v>
      </c>
      <c r="B27" s="1297">
        <v>0</v>
      </c>
      <c r="C27" s="327"/>
      <c r="D27" s="327"/>
      <c r="E27" s="327"/>
      <c r="F27" s="327"/>
    </row>
    <row r="28" spans="1:6">
      <c r="A28" s="1296" t="s">
        <v>18</v>
      </c>
      <c r="B28" s="1298">
        <v>2436</v>
      </c>
      <c r="C28" s="327"/>
      <c r="D28" s="327"/>
      <c r="E28" s="327"/>
      <c r="F28" s="327"/>
    </row>
    <row r="29" spans="1:6">
      <c r="A29" s="1296" t="s">
        <v>922</v>
      </c>
      <c r="B29" s="1298">
        <v>95</v>
      </c>
      <c r="C29" s="327"/>
      <c r="D29" s="327"/>
      <c r="E29" s="327"/>
      <c r="F29" s="327"/>
    </row>
    <row r="30" spans="1:6">
      <c r="A30" s="1291" t="s">
        <v>923</v>
      </c>
      <c r="B30" s="1299">
        <v>23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15959771</v>
      </c>
      <c r="E38" s="1297">
        <v>3</v>
      </c>
      <c r="F38" s="1297">
        <v>129923</v>
      </c>
    </row>
    <row r="39" spans="1:6">
      <c r="A39" s="1296" t="s">
        <v>29</v>
      </c>
      <c r="B39" s="1296" t="s">
        <v>30</v>
      </c>
      <c r="C39" s="1297">
        <v>4034</v>
      </c>
      <c r="D39" s="1297">
        <v>73844970</v>
      </c>
      <c r="E39" s="1297">
        <v>5130</v>
      </c>
      <c r="F39" s="1297">
        <v>20614870</v>
      </c>
    </row>
    <row r="40" spans="1:6">
      <c r="A40" s="1296" t="s">
        <v>29</v>
      </c>
      <c r="B40" s="1296" t="s">
        <v>28</v>
      </c>
      <c r="C40" s="1297">
        <v>0</v>
      </c>
      <c r="D40" s="1297">
        <v>0</v>
      </c>
      <c r="E40" s="1297">
        <v>0</v>
      </c>
      <c r="F40" s="1297">
        <v>0</v>
      </c>
    </row>
    <row r="41" spans="1:6">
      <c r="A41" s="1296" t="s">
        <v>31</v>
      </c>
      <c r="B41" s="1296" t="s">
        <v>32</v>
      </c>
      <c r="C41" s="1297">
        <v>16</v>
      </c>
      <c r="D41" s="1297">
        <v>398273</v>
      </c>
      <c r="E41" s="1297">
        <v>46</v>
      </c>
      <c r="F41" s="1297">
        <v>2455468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71555</v>
      </c>
      <c r="E44" s="1297">
        <v>7</v>
      </c>
      <c r="F44" s="1297">
        <v>67800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8</v>
      </c>
      <c r="D47" s="1297">
        <v>1742936</v>
      </c>
      <c r="E47" s="1297">
        <v>8</v>
      </c>
      <c r="F47" s="1297">
        <v>6119041</v>
      </c>
    </row>
    <row r="48" spans="1:6">
      <c r="A48" s="1296" t="s">
        <v>31</v>
      </c>
      <c r="B48" s="1296" t="s">
        <v>28</v>
      </c>
      <c r="C48" s="1297">
        <v>2</v>
      </c>
      <c r="D48" s="1297">
        <v>178565</v>
      </c>
      <c r="E48" s="1297">
        <v>3</v>
      </c>
      <c r="F48" s="1297">
        <v>20730</v>
      </c>
    </row>
    <row r="49" spans="1:6">
      <c r="A49" s="1296" t="s">
        <v>31</v>
      </c>
      <c r="B49" s="1296" t="s">
        <v>39</v>
      </c>
      <c r="C49" s="1297">
        <v>0</v>
      </c>
      <c r="D49" s="1297">
        <v>0</v>
      </c>
      <c r="E49" s="1297">
        <v>0</v>
      </c>
      <c r="F49" s="1297">
        <v>0</v>
      </c>
    </row>
    <row r="50" spans="1:6">
      <c r="A50" s="1296" t="s">
        <v>31</v>
      </c>
      <c r="B50" s="1296" t="s">
        <v>40</v>
      </c>
      <c r="C50" s="1297">
        <v>0</v>
      </c>
      <c r="D50" s="1297">
        <v>0</v>
      </c>
      <c r="E50" s="1297">
        <v>6</v>
      </c>
      <c r="F50" s="1297">
        <v>311934</v>
      </c>
    </row>
    <row r="51" spans="1:6">
      <c r="A51" s="1296" t="s">
        <v>41</v>
      </c>
      <c r="B51" s="1296" t="s">
        <v>42</v>
      </c>
      <c r="C51" s="1297">
        <v>22</v>
      </c>
      <c r="D51" s="1297">
        <v>269329319</v>
      </c>
      <c r="E51" s="1297">
        <v>74</v>
      </c>
      <c r="F51" s="1297">
        <v>2337768</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34</v>
      </c>
      <c r="F54" s="1297">
        <v>688630</v>
      </c>
    </row>
    <row r="55" spans="1:6">
      <c r="A55" s="1296" t="s">
        <v>45</v>
      </c>
      <c r="B55" s="1296" t="s">
        <v>28</v>
      </c>
      <c r="C55" s="1297">
        <v>0</v>
      </c>
      <c r="D55" s="1297">
        <v>0</v>
      </c>
      <c r="E55" s="1297">
        <v>0</v>
      </c>
      <c r="F55" s="1297">
        <v>0</v>
      </c>
    </row>
    <row r="56" spans="1:6">
      <c r="A56" s="1296" t="s">
        <v>47</v>
      </c>
      <c r="B56" s="1296" t="s">
        <v>28</v>
      </c>
      <c r="C56" s="1297">
        <v>67</v>
      </c>
      <c r="D56" s="1297">
        <v>2921397</v>
      </c>
      <c r="E56" s="1297">
        <v>95</v>
      </c>
      <c r="F56" s="1297">
        <v>736475</v>
      </c>
    </row>
    <row r="57" spans="1:6">
      <c r="A57" s="1296" t="s">
        <v>48</v>
      </c>
      <c r="B57" s="1296" t="s">
        <v>49</v>
      </c>
      <c r="C57" s="1297">
        <v>20</v>
      </c>
      <c r="D57" s="1297">
        <v>1700103</v>
      </c>
      <c r="E57" s="1297">
        <v>47</v>
      </c>
      <c r="F57" s="1297">
        <v>678619</v>
      </c>
    </row>
    <row r="58" spans="1:6">
      <c r="A58" s="1296" t="s">
        <v>48</v>
      </c>
      <c r="B58" s="1296" t="s">
        <v>50</v>
      </c>
      <c r="C58" s="1297">
        <v>19</v>
      </c>
      <c r="D58" s="1297">
        <v>8029792</v>
      </c>
      <c r="E58" s="1297">
        <v>23</v>
      </c>
      <c r="F58" s="1297">
        <v>1550656</v>
      </c>
    </row>
    <row r="59" spans="1:6">
      <c r="A59" s="1296" t="s">
        <v>48</v>
      </c>
      <c r="B59" s="1296" t="s">
        <v>51</v>
      </c>
      <c r="C59" s="1297">
        <v>56</v>
      </c>
      <c r="D59" s="1297">
        <v>3662737</v>
      </c>
      <c r="E59" s="1297">
        <v>110</v>
      </c>
      <c r="F59" s="1297">
        <v>2979181</v>
      </c>
    </row>
    <row r="60" spans="1:6">
      <c r="A60" s="1296" t="s">
        <v>48</v>
      </c>
      <c r="B60" s="1296" t="s">
        <v>52</v>
      </c>
      <c r="C60" s="1297">
        <v>27</v>
      </c>
      <c r="D60" s="1297">
        <v>2435818</v>
      </c>
      <c r="E60" s="1297">
        <v>39</v>
      </c>
      <c r="F60" s="1297">
        <v>2536943</v>
      </c>
    </row>
    <row r="61" spans="1:6">
      <c r="A61" s="1296" t="s">
        <v>48</v>
      </c>
      <c r="B61" s="1296" t="s">
        <v>53</v>
      </c>
      <c r="C61" s="1297">
        <v>111</v>
      </c>
      <c r="D61" s="1297">
        <v>6116582</v>
      </c>
      <c r="E61" s="1297">
        <v>314</v>
      </c>
      <c r="F61" s="1297">
        <v>3699757</v>
      </c>
    </row>
    <row r="62" spans="1:6">
      <c r="A62" s="1296" t="s">
        <v>48</v>
      </c>
      <c r="B62" s="1296" t="s">
        <v>54</v>
      </c>
      <c r="C62" s="1297">
        <v>8</v>
      </c>
      <c r="D62" s="1297">
        <v>1011441</v>
      </c>
      <c r="E62" s="1297">
        <v>7</v>
      </c>
      <c r="F62" s="1297">
        <v>103771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12571</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269484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48224756</v>
      </c>
      <c r="E73" s="446"/>
      <c r="F73" s="327"/>
    </row>
    <row r="74" spans="1:6">
      <c r="A74" s="1296" t="s">
        <v>63</v>
      </c>
      <c r="B74" s="1296" t="s">
        <v>706</v>
      </c>
      <c r="C74" s="1309" t="s">
        <v>707</v>
      </c>
      <c r="D74" s="1297">
        <v>4302815.3583585257</v>
      </c>
      <c r="E74" s="446"/>
      <c r="F74" s="327"/>
    </row>
    <row r="75" spans="1:6">
      <c r="A75" s="1296" t="s">
        <v>64</v>
      </c>
      <c r="B75" s="1296" t="s">
        <v>704</v>
      </c>
      <c r="C75" s="1309" t="s">
        <v>708</v>
      </c>
      <c r="D75" s="1297">
        <v>5991805</v>
      </c>
      <c r="E75" s="446"/>
      <c r="F75" s="327"/>
    </row>
    <row r="76" spans="1:6">
      <c r="A76" s="1296" t="s">
        <v>64</v>
      </c>
      <c r="B76" s="1296" t="s">
        <v>706</v>
      </c>
      <c r="C76" s="1309" t="s">
        <v>709</v>
      </c>
      <c r="D76" s="1297">
        <v>316758.35835852567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387087.2832829486</v>
      </c>
      <c r="C83" s="446"/>
      <c r="D83" s="327"/>
      <c r="E83" s="327"/>
      <c r="F83" s="327"/>
    </row>
    <row r="84" spans="1:6">
      <c r="A84" s="1291" t="s">
        <v>324</v>
      </c>
      <c r="B84" s="1299">
        <v>207866.13492740598</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1750.1485269908092</v>
      </c>
      <c r="C91" s="327"/>
      <c r="D91" s="327"/>
      <c r="E91" s="327"/>
      <c r="F91" s="327"/>
    </row>
    <row r="92" spans="1:6">
      <c r="A92" s="1291" t="s">
        <v>68</v>
      </c>
      <c r="B92" s="1292">
        <v>360.62371285204381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2831</v>
      </c>
      <c r="C97" s="327"/>
      <c r="D97" s="327"/>
      <c r="E97" s="327"/>
      <c r="F97" s="327"/>
    </row>
    <row r="98" spans="1:6">
      <c r="A98" s="1296" t="s">
        <v>71</v>
      </c>
      <c r="B98" s="1297">
        <v>2</v>
      </c>
      <c r="C98" s="327"/>
      <c r="D98" s="327"/>
      <c r="E98" s="327"/>
      <c r="F98" s="327"/>
    </row>
    <row r="99" spans="1:6">
      <c r="A99" s="1296" t="s">
        <v>72</v>
      </c>
      <c r="B99" s="1297">
        <v>22</v>
      </c>
      <c r="C99" s="327"/>
      <c r="D99" s="327"/>
      <c r="E99" s="327"/>
      <c r="F99" s="327"/>
    </row>
    <row r="100" spans="1:6">
      <c r="A100" s="1296" t="s">
        <v>73</v>
      </c>
      <c r="B100" s="1297">
        <v>329</v>
      </c>
      <c r="C100" s="327"/>
      <c r="D100" s="327"/>
      <c r="E100" s="327"/>
      <c r="F100" s="327"/>
    </row>
    <row r="101" spans="1:6">
      <c r="A101" s="1296" t="s">
        <v>74</v>
      </c>
      <c r="B101" s="1297">
        <v>48</v>
      </c>
      <c r="C101" s="327"/>
      <c r="D101" s="327"/>
      <c r="E101" s="327"/>
      <c r="F101" s="327"/>
    </row>
    <row r="102" spans="1:6">
      <c r="A102" s="1296" t="s">
        <v>75</v>
      </c>
      <c r="B102" s="1297">
        <v>62</v>
      </c>
      <c r="C102" s="327"/>
      <c r="D102" s="327"/>
      <c r="E102" s="327"/>
      <c r="F102" s="327"/>
    </row>
    <row r="103" spans="1:6">
      <c r="A103" s="1296" t="s">
        <v>76</v>
      </c>
      <c r="B103" s="1297">
        <v>79</v>
      </c>
      <c r="C103" s="327"/>
      <c r="D103" s="327"/>
      <c r="E103" s="327"/>
      <c r="F103" s="327"/>
    </row>
    <row r="104" spans="1:6">
      <c r="A104" s="1296" t="s">
        <v>77</v>
      </c>
      <c r="B104" s="1297">
        <v>886</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55</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66030.215226417728</v>
      </c>
      <c r="C3" s="43" t="s">
        <v>163</v>
      </c>
      <c r="D3" s="43"/>
      <c r="E3" s="156"/>
      <c r="F3" s="43"/>
      <c r="G3" s="43"/>
      <c r="H3" s="43"/>
      <c r="I3" s="43"/>
      <c r="J3" s="43"/>
      <c r="K3" s="96"/>
    </row>
    <row r="4" spans="1:11">
      <c r="A4" s="353" t="s">
        <v>164</v>
      </c>
      <c r="B4" s="49">
        <f>IF(ISERROR('SEAP template'!B78+'SEAP template'!C78),0,'SEAP template'!B78+'SEAP template'!C78)</f>
        <v>108643.77223984286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25317.254117647059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0.23302996200975501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36167.505882352947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152190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688.63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688.63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0.23302996200975501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160.47142273877759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20614.87</v>
      </c>
      <c r="C5" s="17">
        <f>IF(ISERROR('Eigen informatie GS &amp; warmtenet'!B57),0,'Eigen informatie GS &amp; warmtenet'!B57)</f>
        <v>0</v>
      </c>
      <c r="D5" s="30">
        <f>(SUM(HH_hh_gas_kWh,HH_rest_gas_kWh)/1000)*0.902</f>
        <v>66608.162940000009</v>
      </c>
      <c r="E5" s="17">
        <f>B32*B41</f>
        <v>668.81206223190657</v>
      </c>
      <c r="F5" s="17">
        <f>B36*B45</f>
        <v>20496.061832408308</v>
      </c>
      <c r="G5" s="18"/>
      <c r="H5" s="17"/>
      <c r="I5" s="17"/>
      <c r="J5" s="17">
        <f>B35*B44+C35*C44</f>
        <v>388.15459987245646</v>
      </c>
      <c r="K5" s="17"/>
      <c r="L5" s="17"/>
      <c r="M5" s="17"/>
      <c r="N5" s="17">
        <f>B34*B43+C34*C43</f>
        <v>7452.5150660673607</v>
      </c>
      <c r="O5" s="17">
        <f>B52*B53*B54</f>
        <v>100.05333333333334</v>
      </c>
      <c r="P5" s="17">
        <f>B60*B61*B62/1000-B60*B61*B62/1000/B63</f>
        <v>305.06666666666666</v>
      </c>
    </row>
    <row r="6" spans="1:16">
      <c r="A6" s="16" t="s">
        <v>617</v>
      </c>
      <c r="B6" s="769">
        <f>kWh_PV_kleiner_dan_10kW</f>
        <v>1750.1485269908092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22365.018526990807</v>
      </c>
      <c r="C8" s="21">
        <f>C5</f>
        <v>0</v>
      </c>
      <c r="D8" s="21">
        <f>D5</f>
        <v>66608.162940000009</v>
      </c>
      <c r="E8" s="21">
        <f>E5</f>
        <v>668.81206223190657</v>
      </c>
      <c r="F8" s="21">
        <f>F5</f>
        <v>20496.061832408308</v>
      </c>
      <c r="G8" s="21"/>
      <c r="H8" s="21"/>
      <c r="I8" s="21"/>
      <c r="J8" s="21">
        <f>J5</f>
        <v>388.15459987245646</v>
      </c>
      <c r="K8" s="21"/>
      <c r="L8" s="21">
        <f>L5</f>
        <v>0</v>
      </c>
      <c r="M8" s="21">
        <f>M5</f>
        <v>0</v>
      </c>
      <c r="N8" s="21">
        <f>N5</f>
        <v>7452.5150660673607</v>
      </c>
      <c r="O8" s="21">
        <f>O5</f>
        <v>100.05333333333334</v>
      </c>
      <c r="P8" s="21">
        <f>P5</f>
        <v>305.06666666666666</v>
      </c>
    </row>
    <row r="9" spans="1:16">
      <c r="B9" s="19"/>
      <c r="C9" s="19"/>
      <c r="D9" s="257"/>
      <c r="E9" s="19"/>
      <c r="F9" s="19"/>
      <c r="G9" s="19"/>
      <c r="H9" s="19"/>
      <c r="I9" s="19"/>
      <c r="J9" s="19"/>
      <c r="K9" s="19"/>
      <c r="L9" s="19"/>
      <c r="M9" s="19"/>
      <c r="N9" s="19"/>
      <c r="O9" s="19"/>
      <c r="P9" s="19"/>
    </row>
    <row r="10" spans="1:16">
      <c r="A10" s="24" t="s">
        <v>207</v>
      </c>
      <c r="B10" s="25">
        <f ca="1">'EF ele_warmte'!B12</f>
        <v>0.23302996200975501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5211.7194176921348</v>
      </c>
      <c r="C12" s="23">
        <f ca="1">C10*C8</f>
        <v>0</v>
      </c>
      <c r="D12" s="23">
        <f>D8*D10</f>
        <v>13454.848913880003</v>
      </c>
      <c r="E12" s="23">
        <f>E10*E8</f>
        <v>151.82033812664281</v>
      </c>
      <c r="F12" s="23">
        <f>F10*F8</f>
        <v>5472.4485092530185</v>
      </c>
      <c r="G12" s="23"/>
      <c r="H12" s="23"/>
      <c r="I12" s="23"/>
      <c r="J12" s="23">
        <f>J10*J8</f>
        <v>137.40672835484958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5013</v>
      </c>
      <c r="C26" s="36"/>
      <c r="D26" s="227"/>
    </row>
    <row r="27" spans="1:5" s="15" customFormat="1">
      <c r="A27" s="229" t="s">
        <v>722</v>
      </c>
      <c r="B27" s="37">
        <f>SUM(HH_hh_gas_aantal,HH_rest_gas_aantal)</f>
        <v>4034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3832.3</v>
      </c>
      <c r="C31" s="34" t="s">
        <v>104</v>
      </c>
      <c r="D31" s="173"/>
    </row>
    <row r="32" spans="1:5">
      <c r="A32" s="170" t="s">
        <v>72</v>
      </c>
      <c r="B32" s="33">
        <f>IF((B21*($B$26-($B$27-0.05*$B$27)-$B$60))&lt;0,0,B21*($B$26-($B$27-0.05*$B$27)-$B$60))</f>
        <v>29.165907327330178</v>
      </c>
      <c r="C32" s="34" t="s">
        <v>104</v>
      </c>
      <c r="D32" s="173"/>
    </row>
    <row r="33" spans="1:6">
      <c r="A33" s="170" t="s">
        <v>73</v>
      </c>
      <c r="B33" s="33">
        <f>IF((B22*($B$26-($B$27-0.05*$B$27)-$B$60))&lt;0,0,B22*($B$26-($B$27-0.05*$B$27)-$B$60))</f>
        <v>196.320763241279</v>
      </c>
      <c r="C33" s="34" t="s">
        <v>104</v>
      </c>
      <c r="D33" s="173"/>
    </row>
    <row r="34" spans="1:6">
      <c r="A34" s="170" t="s">
        <v>74</v>
      </c>
      <c r="B34" s="33">
        <f>IF((B24*($B$26-($B$27-0.05*$B$27)-$B$60))&lt;0,0,B24*($B$26-($B$27-0.05*$B$27)-$B$60))</f>
        <v>49.809238667598571</v>
      </c>
      <c r="C34" s="33">
        <f>B26*C24</f>
        <v>1025.4596190230684</v>
      </c>
      <c r="D34" s="232"/>
    </row>
    <row r="35" spans="1:6">
      <c r="A35" s="170" t="s">
        <v>76</v>
      </c>
      <c r="B35" s="33">
        <f>IF((B19*($B$26-($B$27-0.05*$B$27)-$B$60))&lt;0,0,B19*($B$26-($B$27-0.05*$B$27)-$B$60))</f>
        <v>18.510749208055543</v>
      </c>
      <c r="C35" s="33">
        <f>B35/2</f>
        <v>9.2553746040277716</v>
      </c>
      <c r="D35" s="232"/>
    </row>
    <row r="36" spans="1:6">
      <c r="A36" s="170" t="s">
        <v>77</v>
      </c>
      <c r="B36" s="33">
        <f>IF((B18*($B$26-($B$27-0.05*$B$27)-$B$60))&lt;0,0,B18*($B$26-($B$27-0.05*$B$27)-$B$60))</f>
        <v>870.89334155573658</v>
      </c>
      <c r="C36" s="34" t="s">
        <v>104</v>
      </c>
      <c r="D36" s="173"/>
    </row>
    <row r="37" spans="1:6">
      <c r="A37" s="170" t="s">
        <v>78</v>
      </c>
      <c r="B37" s="33">
        <f>B60</f>
        <v>16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11548.927000000001</v>
      </c>
      <c r="C5" s="17">
        <f>IF(ISERROR('Eigen informatie GS &amp; warmtenet'!B58),0,'Eigen informatie GS &amp; warmtenet'!B58)</f>
        <v>0</v>
      </c>
      <c r="D5" s="30">
        <f>SUM(D6:D12)</f>
        <v>20706.738645999998</v>
      </c>
      <c r="E5" s="17">
        <f>SUM(E6:E12)</f>
        <v>205.09475157903319</v>
      </c>
      <c r="F5" s="17">
        <f>SUM(F6:F12)</f>
        <v>2304.569979228691</v>
      </c>
      <c r="G5" s="18"/>
      <c r="H5" s="17"/>
      <c r="I5" s="17"/>
      <c r="J5" s="17">
        <f>SUM(J6:J12)</f>
        <v>0</v>
      </c>
      <c r="K5" s="17"/>
      <c r="L5" s="17"/>
      <c r="M5" s="17"/>
      <c r="N5" s="17">
        <f>SUM(N6:N12)</f>
        <v>499.99214292651089</v>
      </c>
      <c r="O5" s="17">
        <f>B38*B39*B40</f>
        <v>3.1266666666666669</v>
      </c>
      <c r="P5" s="17">
        <f>B46*B47*B48/1000-B46*B47*B48/1000/B49</f>
        <v>0</v>
      </c>
      <c r="R5" s="32"/>
    </row>
    <row r="6" spans="1:18">
      <c r="A6" s="32" t="s">
        <v>53</v>
      </c>
      <c r="B6" s="37">
        <f>B26</f>
        <v>3699.7570000000001</v>
      </c>
      <c r="C6" s="33"/>
      <c r="D6" s="37">
        <f>IF(ISERROR(TER_kantoor_gas_kWh/1000),0,TER_kantoor_gas_kWh/1000)*0.902</f>
        <v>5517.1569640000007</v>
      </c>
      <c r="E6" s="33">
        <f>$C$26*'E Balans VL '!I12/100/3.6*1000000</f>
        <v>14.374339229194829</v>
      </c>
      <c r="F6" s="33">
        <f>$C$26*('E Balans VL '!L12+'E Balans VL '!N12)/100/3.6*1000000</f>
        <v>562.69937459531502</v>
      </c>
      <c r="G6" s="34"/>
      <c r="H6" s="33"/>
      <c r="I6" s="33"/>
      <c r="J6" s="33">
        <f>$C$26*('E Balans VL '!D12+'E Balans VL '!E12)/100/3.6*1000000</f>
        <v>0</v>
      </c>
      <c r="K6" s="33"/>
      <c r="L6" s="33"/>
      <c r="M6" s="33"/>
      <c r="N6" s="33">
        <f>$C$26*'E Balans VL '!Y12/100/3.6*1000000</f>
        <v>2.0390093269734466</v>
      </c>
      <c r="O6" s="33"/>
      <c r="P6" s="33"/>
      <c r="R6" s="32"/>
    </row>
    <row r="7" spans="1:18">
      <c r="A7" s="32" t="s">
        <v>52</v>
      </c>
      <c r="B7" s="37">
        <f t="shared" ref="B7:B12" si="0">B27</f>
        <v>2536.9430000000002</v>
      </c>
      <c r="C7" s="33"/>
      <c r="D7" s="37">
        <f>IF(ISERROR(TER_horeca_gas_kWh/1000),0,TER_horeca_gas_kWh/1000)*0.902</f>
        <v>2197.1078360000001</v>
      </c>
      <c r="E7" s="33">
        <f>$C$27*'E Balans VL '!I9/100/3.6*1000000</f>
        <v>142.90667745618137</v>
      </c>
      <c r="F7" s="33">
        <f>$C$27*('E Balans VL '!L9+'E Balans VL '!N9)/100/3.6*1000000</f>
        <v>731.50247752314294</v>
      </c>
      <c r="G7" s="34"/>
      <c r="H7" s="33"/>
      <c r="I7" s="33"/>
      <c r="J7" s="33">
        <f>$C$27*('E Balans VL '!D9+'E Balans VL '!E9)/100/3.6*1000000</f>
        <v>0</v>
      </c>
      <c r="K7" s="33"/>
      <c r="L7" s="33"/>
      <c r="M7" s="33"/>
      <c r="N7" s="33">
        <f>$C$27*'E Balans VL '!Y9/100/3.6*1000000</f>
        <v>0.70043677910380564</v>
      </c>
      <c r="O7" s="33"/>
      <c r="P7" s="33"/>
      <c r="R7" s="32"/>
    </row>
    <row r="8" spans="1:18">
      <c r="A8" s="6" t="s">
        <v>51</v>
      </c>
      <c r="B8" s="37">
        <f t="shared" si="0"/>
        <v>2979.181</v>
      </c>
      <c r="C8" s="33"/>
      <c r="D8" s="37">
        <f>IF(ISERROR(TER_handel_gas_kWh/1000),0,TER_handel_gas_kWh/1000)*0.902</f>
        <v>3303.7887740000001</v>
      </c>
      <c r="E8" s="33">
        <f>$C$28*'E Balans VL '!I13/100/3.6*1000000</f>
        <v>42.94010556569696</v>
      </c>
      <c r="F8" s="33">
        <f>$C$28*('E Balans VL '!L13+'E Balans VL '!N13)/100/3.6*1000000</f>
        <v>517.55312014377728</v>
      </c>
      <c r="G8" s="34"/>
      <c r="H8" s="33"/>
      <c r="I8" s="33"/>
      <c r="J8" s="33">
        <f>$C$28*('E Balans VL '!D13+'E Balans VL '!E13)/100/3.6*1000000</f>
        <v>0</v>
      </c>
      <c r="K8" s="33"/>
      <c r="L8" s="33"/>
      <c r="M8" s="33"/>
      <c r="N8" s="33">
        <f>$C$28*'E Balans VL '!Y13/100/3.6*1000000</f>
        <v>8.9259579252609456</v>
      </c>
      <c r="O8" s="33"/>
      <c r="P8" s="33"/>
      <c r="R8" s="32"/>
    </row>
    <row r="9" spans="1:18">
      <c r="A9" s="32" t="s">
        <v>50</v>
      </c>
      <c r="B9" s="37">
        <f t="shared" si="0"/>
        <v>1550.6559999999999</v>
      </c>
      <c r="C9" s="33"/>
      <c r="D9" s="37">
        <f>IF(ISERROR(TER_gezond_gas_kWh/1000),0,TER_gezond_gas_kWh/1000)*0.902</f>
        <v>7242.8723840000002</v>
      </c>
      <c r="E9" s="33">
        <f>$C$29*'E Balans VL '!I10/100/3.6*1000000</f>
        <v>1.6565025232753294</v>
      </c>
      <c r="F9" s="33">
        <f>$C$29*('E Balans VL '!L10+'E Balans VL '!N10)/100/3.6*1000000</f>
        <v>252.95911980426214</v>
      </c>
      <c r="G9" s="34"/>
      <c r="H9" s="33"/>
      <c r="I9" s="33"/>
      <c r="J9" s="33">
        <f>$C$29*('E Balans VL '!D10+'E Balans VL '!E10)/100/3.6*1000000</f>
        <v>0</v>
      </c>
      <c r="K9" s="33"/>
      <c r="L9" s="33"/>
      <c r="M9" s="33"/>
      <c r="N9" s="33">
        <f>$C$29*'E Balans VL '!Y10/100/3.6*1000000</f>
        <v>15.963118733338167</v>
      </c>
      <c r="O9" s="33"/>
      <c r="P9" s="33"/>
      <c r="R9" s="32"/>
    </row>
    <row r="10" spans="1:18">
      <c r="A10" s="32" t="s">
        <v>49</v>
      </c>
      <c r="B10" s="37">
        <f t="shared" si="0"/>
        <v>678.61900000000003</v>
      </c>
      <c r="C10" s="33"/>
      <c r="D10" s="37">
        <f>IF(ISERROR(TER_ander_gas_kWh/1000),0,TER_ander_gas_kWh/1000)*0.902</f>
        <v>1533.4929060000002</v>
      </c>
      <c r="E10" s="33">
        <f>$C$30*'E Balans VL '!I14/100/3.6*1000000</f>
        <v>3.1208655553872875</v>
      </c>
      <c r="F10" s="33">
        <f>$C$30*('E Balans VL '!L14+'E Balans VL '!N14)/100/3.6*1000000</f>
        <v>203.40351986715592</v>
      </c>
      <c r="G10" s="34"/>
      <c r="H10" s="33"/>
      <c r="I10" s="33"/>
      <c r="J10" s="33">
        <f>$C$30*('E Balans VL '!D14+'E Balans VL '!E14)/100/3.6*1000000</f>
        <v>0</v>
      </c>
      <c r="K10" s="33"/>
      <c r="L10" s="33"/>
      <c r="M10" s="33"/>
      <c r="N10" s="33">
        <f>$C$30*'E Balans VL '!Y14/100/3.6*1000000</f>
        <v>472.36362016183455</v>
      </c>
      <c r="O10" s="33"/>
      <c r="P10" s="33"/>
      <c r="R10" s="32"/>
    </row>
    <row r="11" spans="1:18">
      <c r="A11" s="32" t="s">
        <v>54</v>
      </c>
      <c r="B11" s="37">
        <f t="shared" si="0"/>
        <v>103.771</v>
      </c>
      <c r="C11" s="33"/>
      <c r="D11" s="37">
        <f>IF(ISERROR(TER_onderwijs_gas_kWh/1000),0,TER_onderwijs_gas_kWh/1000)*0.902</f>
        <v>912.31978200000003</v>
      </c>
      <c r="E11" s="33">
        <f>$C$31*'E Balans VL '!I11/100/3.6*1000000</f>
        <v>9.6261249297425008E-2</v>
      </c>
      <c r="F11" s="33">
        <f>$C$31*('E Balans VL '!L11+'E Balans VL '!N11)/100/3.6*1000000</f>
        <v>36.452367295037817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energieproductie'!N46+'lokale energieproductie'!N39</f>
        <v>18634.5</v>
      </c>
      <c r="C13" s="245">
        <f ca="1">'lokale energieproductie'!O46+'lokale energieproductie'!O39</f>
        <v>26620.714285714286</v>
      </c>
      <c r="D13" s="305">
        <f ca="1">('lokale energieproductie'!P39+'lokale energieproductie'!P46)*(-1)</f>
        <v>-53241.428571428572</v>
      </c>
      <c r="E13" s="246"/>
      <c r="F13" s="305">
        <f ca="1">('lokale energieproductie'!S39+'lokale energieproductie'!S46)*(-1)</f>
        <v>0</v>
      </c>
      <c r="G13" s="247"/>
      <c r="H13" s="246"/>
      <c r="I13" s="246"/>
      <c r="J13" s="246"/>
      <c r="K13" s="246"/>
      <c r="L13" s="305">
        <f ca="1">('lokale energieproductie'!U39+'lokale energieproductie'!T39+'lokale energieproductie'!U46+'lokale energieproductie'!T46)*(-1)</f>
        <v>0</v>
      </c>
      <c r="M13" s="246"/>
      <c r="N13" s="305">
        <f ca="1">('lokale energieproductie'!Q39+'lokale energieproductie'!R39+'lokale energieproductie'!V39+'lokale energieproductie'!Q46+'lokale energieproductie'!R46+'lokale energieproductie'!V46)*(-1)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30183.427000000003</v>
      </c>
      <c r="C16" s="21">
        <f t="shared" ca="1" si="1"/>
        <v>26620.714285714286</v>
      </c>
      <c r="D16" s="21">
        <f t="shared" ca="1" si="1"/>
        <v>0</v>
      </c>
      <c r="E16" s="21">
        <f t="shared" si="1"/>
        <v>205.09475157903319</v>
      </c>
      <c r="F16" s="21">
        <f t="shared" ca="1" si="1"/>
        <v>2304.569979228691</v>
      </c>
      <c r="G16" s="21">
        <f t="shared" si="1"/>
        <v>0</v>
      </c>
      <c r="H16" s="21">
        <f t="shared" si="1"/>
        <v>0</v>
      </c>
      <c r="I16" s="21">
        <f t="shared" si="1"/>
        <v>0</v>
      </c>
      <c r="J16" s="21">
        <f t="shared" si="1"/>
        <v>0</v>
      </c>
      <c r="K16" s="21">
        <f t="shared" si="1"/>
        <v>0</v>
      </c>
      <c r="L16" s="21">
        <f t="shared" ca="1" si="1"/>
        <v>0</v>
      </c>
      <c r="M16" s="21">
        <f t="shared" si="1"/>
        <v>0</v>
      </c>
      <c r="N16" s="21">
        <f t="shared" ca="1" si="1"/>
        <v>499.99214292651089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0.23302996200975501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7033.6428471342142</v>
      </c>
      <c r="C20" s="23">
        <f t="shared" ref="C20:P20" ca="1" si="2">C16*C18</f>
        <v>6326.3344537815137</v>
      </c>
      <c r="D20" s="23">
        <f t="shared" ca="1" si="2"/>
        <v>0</v>
      </c>
      <c r="E20" s="23">
        <f t="shared" si="2"/>
        <v>46.556508608440538</v>
      </c>
      <c r="F20" s="23">
        <f t="shared" ca="1" si="2"/>
        <v>615.3201844540605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3699.7570000000001</v>
      </c>
      <c r="C26" s="39">
        <f>IF(ISERROR(B26*3.6/1000000/'E Balans VL '!Z12*100),0,B26*3.6/1000000/'E Balans VL '!Z12*100)</f>
        <v>7.8584671301380277E-2</v>
      </c>
      <c r="D26" s="235" t="s">
        <v>672</v>
      </c>
      <c r="F26" s="6"/>
    </row>
    <row r="27" spans="1:18">
      <c r="A27" s="230" t="s">
        <v>52</v>
      </c>
      <c r="B27" s="33">
        <f>IF(ISERROR(TER_horeca_ele_kWh/1000),0,TER_horeca_ele_kWh/1000)</f>
        <v>2536.9430000000002</v>
      </c>
      <c r="C27" s="39">
        <f>IF(ISERROR(B27*3.6/1000000/'E Balans VL '!Z9*100),0,B27*3.6/1000000/'E Balans VL '!Z9*100)</f>
        <v>0.19726276843150195</v>
      </c>
      <c r="D27" s="235" t="s">
        <v>672</v>
      </c>
      <c r="F27" s="6"/>
    </row>
    <row r="28" spans="1:18">
      <c r="A28" s="170" t="s">
        <v>51</v>
      </c>
      <c r="B28" s="33">
        <f>IF(ISERROR(TER_handel_ele_kWh/1000),0,TER_handel_ele_kWh/1000)</f>
        <v>2979.181</v>
      </c>
      <c r="C28" s="39">
        <f>IF(ISERROR(B28*3.6/1000000/'E Balans VL '!Z13*100),0,B28*3.6/1000000/'E Balans VL '!Z13*100)</f>
        <v>8.5237874555299478E-2</v>
      </c>
      <c r="D28" s="235" t="s">
        <v>672</v>
      </c>
      <c r="F28" s="6"/>
    </row>
    <row r="29" spans="1:18">
      <c r="A29" s="230" t="s">
        <v>50</v>
      </c>
      <c r="B29" s="33">
        <f>IF(ISERROR(TER_gezond_ele_kWh/1000),0,TER_gezond_ele_kWh/1000)</f>
        <v>1550.6559999999999</v>
      </c>
      <c r="C29" s="39">
        <f>IF(ISERROR(B29*3.6/1000000/'E Balans VL '!Z10*100),0,B29*3.6/1000000/'E Balans VL '!Z10*100)</f>
        <v>0.16905753692394565</v>
      </c>
      <c r="D29" s="235" t="s">
        <v>672</v>
      </c>
      <c r="F29" s="6"/>
    </row>
    <row r="30" spans="1:18">
      <c r="A30" s="230" t="s">
        <v>49</v>
      </c>
      <c r="B30" s="33">
        <f>IF(ISERROR(TER_ander_ele_kWh/1000),0,TER_ander_ele_kWh/1000)</f>
        <v>678.61900000000003</v>
      </c>
      <c r="C30" s="39">
        <f>IF(ISERROR(B30*3.6/1000000/'E Balans VL '!Z14*100),0,B30*3.6/1000000/'E Balans VL '!Z14*100)</f>
        <v>4.9659799009290913E-2</v>
      </c>
      <c r="D30" s="235" t="s">
        <v>672</v>
      </c>
      <c r="F30" s="6"/>
    </row>
    <row r="31" spans="1:18">
      <c r="A31" s="230" t="s">
        <v>54</v>
      </c>
      <c r="B31" s="33">
        <f>IF(ISERROR(TER_onderwijs_ele_kWh/1000),0,TER_onderwijs_ele_kWh/1000)</f>
        <v>103.771</v>
      </c>
      <c r="C31" s="39">
        <f>IF(ISERROR(B31*3.6/1000000/'E Balans VL '!Z11*100),0,B31*3.6/1000000/'E Balans VL '!Z11*100)</f>
        <v>2.0842482408219724E-2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8974.973</v>
      </c>
      <c r="C5" s="17">
        <f>IF(ISERROR('Eigen informatie GS &amp; warmtenet'!B59),0,'Eigen informatie GS &amp; warmtenet'!B59)</f>
        <v>0</v>
      </c>
      <c r="D5" s="30">
        <f>SUM(D6:D15)</f>
        <v>2156.9787579999997</v>
      </c>
      <c r="E5" s="17">
        <f>SUM(E6:E15)</f>
        <v>757.28892975832582</v>
      </c>
      <c r="F5" s="17">
        <f>SUM(F6:F15)</f>
        <v>2579.589946524452</v>
      </c>
      <c r="G5" s="18"/>
      <c r="H5" s="17"/>
      <c r="I5" s="17"/>
      <c r="J5" s="17">
        <f>SUM(J6:J15)</f>
        <v>5.7258801814433914E-2</v>
      </c>
      <c r="K5" s="17"/>
      <c r="L5" s="17"/>
      <c r="M5" s="17"/>
      <c r="N5" s="17">
        <f>SUM(N6:N15)</f>
        <v>1430.8624952210571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67.8</v>
      </c>
      <c r="C8" s="33"/>
      <c r="D8" s="37">
        <f>IF( ISERROR(IND_metaal_Gas_kWH/1000),0,IND_metaal_Gas_kWH/1000)*0.902</f>
        <v>64.54261000000001</v>
      </c>
      <c r="E8" s="33">
        <f>C30*'E Balans VL '!I18/100/3.6*1000000</f>
        <v>1.9474704899795361</v>
      </c>
      <c r="F8" s="33">
        <f>C30*'E Balans VL '!L18/100/3.6*1000000+C30*'E Balans VL '!N18/100/3.6*1000000</f>
        <v>17.389396018603158</v>
      </c>
      <c r="G8" s="34"/>
      <c r="H8" s="33"/>
      <c r="I8" s="33"/>
      <c r="J8" s="40">
        <f>C30*'E Balans VL '!D18/100/3.6*1000000+C30*'E Balans VL '!E18/100/3.6*1000000</f>
        <v>0</v>
      </c>
      <c r="K8" s="33"/>
      <c r="L8" s="33"/>
      <c r="M8" s="33"/>
      <c r="N8" s="33">
        <f>C30*'E Balans VL '!Y18/100/3.6*1000000</f>
        <v>1.8409083994081124</v>
      </c>
      <c r="O8" s="33"/>
      <c r="P8" s="33"/>
      <c r="R8" s="32"/>
    </row>
    <row r="9" spans="1:18">
      <c r="A9" s="6" t="s">
        <v>32</v>
      </c>
      <c r="B9" s="37">
        <f t="shared" si="0"/>
        <v>2455.4679999999998</v>
      </c>
      <c r="C9" s="33"/>
      <c r="D9" s="37">
        <f>IF( ISERROR(IND_andere_gas_kWh/1000),0,IND_andere_gas_kWh/1000)*0.902</f>
        <v>359.24224600000002</v>
      </c>
      <c r="E9" s="33">
        <f>C31*'E Balans VL '!I19/100/3.6*1000000</f>
        <v>664.63481490897072</v>
      </c>
      <c r="F9" s="33">
        <f>C31*'E Balans VL '!L19/100/3.6*1000000+C31*'E Balans VL '!N19/100/3.6*1000000</f>
        <v>1635.6015307930261</v>
      </c>
      <c r="G9" s="34"/>
      <c r="H9" s="33"/>
      <c r="I9" s="33"/>
      <c r="J9" s="40">
        <f>C31*'E Balans VL '!D19/100/3.6*1000000+C31*'E Balans VL '!E19/100/3.6*1000000</f>
        <v>0</v>
      </c>
      <c r="K9" s="33"/>
      <c r="L9" s="33"/>
      <c r="M9" s="33"/>
      <c r="N9" s="33">
        <f>C31*'E Balans VL '!Y19/100/3.6*1000000</f>
        <v>207.59355378193231</v>
      </c>
      <c r="O9" s="33"/>
      <c r="P9" s="33"/>
      <c r="R9" s="32"/>
    </row>
    <row r="10" spans="1:18">
      <c r="A10" s="6" t="s">
        <v>40</v>
      </c>
      <c r="B10" s="37">
        <f t="shared" si="0"/>
        <v>311.93400000000003</v>
      </c>
      <c r="C10" s="33"/>
      <c r="D10" s="37">
        <f>IF( ISERROR(IND_voed_gas_kWh/1000),0,IND_voed_gas_kWh/1000)*0.902</f>
        <v>0</v>
      </c>
      <c r="E10" s="33">
        <f>C32*'E Balans VL '!I20/100/3.6*1000000</f>
        <v>25.442053689716808</v>
      </c>
      <c r="F10" s="33">
        <f>C32*'E Balans VL '!L20/100/3.6*1000000+C32*'E Balans VL '!N20/100/3.6*1000000</f>
        <v>465.12189513226178</v>
      </c>
      <c r="G10" s="34"/>
      <c r="H10" s="33"/>
      <c r="I10" s="33"/>
      <c r="J10" s="40">
        <f>C32*'E Balans VL '!D20/100/3.6*1000000+C32*'E Balans VL '!E20/100/3.6*1000000</f>
        <v>4.1265081829183967E-3</v>
      </c>
      <c r="K10" s="33"/>
      <c r="L10" s="33"/>
      <c r="M10" s="33"/>
      <c r="N10" s="33">
        <f>C32*'E Balans VL '!Y20/100/3.6*1000000</f>
        <v>91.635202235997369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6119.0410000000002</v>
      </c>
      <c r="C13" s="33"/>
      <c r="D13" s="37">
        <f>IF( ISERROR(IND_papier_gas_kWh/1000),0,IND_papier_gas_kWh/1000)*0.902</f>
        <v>1572.1282719999999</v>
      </c>
      <c r="E13" s="33">
        <f>C35*'E Balans VL '!I23/100/3.6*1000000</f>
        <v>64.108102007254317</v>
      </c>
      <c r="F13" s="33">
        <f>C35*'E Balans VL '!L23/100/3.6*1000000+C35*'E Balans VL '!N23/100/3.6*1000000</f>
        <v>456.603923995743</v>
      </c>
      <c r="G13" s="34"/>
      <c r="H13" s="33"/>
      <c r="I13" s="33"/>
      <c r="J13" s="40">
        <f>C35*'E Balans VL '!D23/100/3.6*1000000+C35*'E Balans VL '!E23/100/3.6*1000000</f>
        <v>0</v>
      </c>
      <c r="K13" s="33"/>
      <c r="L13" s="33"/>
      <c r="M13" s="33"/>
      <c r="N13" s="33">
        <f>C35*'E Balans VL '!Y23/100/3.6*1000000</f>
        <v>1128.8307556494408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20.73</v>
      </c>
      <c r="C15" s="33"/>
      <c r="D15" s="37">
        <f>IF( ISERROR(IND_rest_gas_kWh/1000),0,IND_rest_gas_kWh/1000)*0.902</f>
        <v>161.06563</v>
      </c>
      <c r="E15" s="33">
        <f>C37*'E Balans VL '!I15/100/3.6*1000000</f>
        <v>1.1564886624044699</v>
      </c>
      <c r="F15" s="33">
        <f>C37*'E Balans VL '!L15/100/3.6*1000000+C37*'E Balans VL '!N15/100/3.6*1000000</f>
        <v>4.873200584817643</v>
      </c>
      <c r="G15" s="34"/>
      <c r="H15" s="33"/>
      <c r="I15" s="33"/>
      <c r="J15" s="40">
        <f>C37*'E Balans VL '!D15/100/3.6*1000000+C37*'E Balans VL '!E15/100/3.6*1000000</f>
        <v>5.3132293631515518E-2</v>
      </c>
      <c r="K15" s="33"/>
      <c r="L15" s="33"/>
      <c r="M15" s="33"/>
      <c r="N15" s="33">
        <f>C37*'E Balans VL '!Y15/100/3.6*1000000</f>
        <v>0.96207515427848211</v>
      </c>
      <c r="O15" s="33"/>
      <c r="P15" s="33"/>
      <c r="R15" s="32"/>
    </row>
    <row r="16" spans="1:18">
      <c r="A16" s="16" t="s">
        <v>484</v>
      </c>
      <c r="B16" s="245">
        <f>'lokale energieproductie'!N45+'lokale energieproductie'!N38</f>
        <v>0</v>
      </c>
      <c r="C16" s="245">
        <f>'lokale energieproductie'!O45+'lokale energieproductie'!O38</f>
        <v>0</v>
      </c>
      <c r="D16" s="305">
        <f>('lokale energieproductie'!P38+'lokale energieproductie'!P45)*(-1)</f>
        <v>0</v>
      </c>
      <c r="E16" s="246"/>
      <c r="F16" s="305">
        <f>('lokale energieproductie'!S38+'lokale energieproductie'!S45)*(-1)</f>
        <v>0</v>
      </c>
      <c r="G16" s="247"/>
      <c r="H16" s="246"/>
      <c r="I16" s="246"/>
      <c r="J16" s="246"/>
      <c r="K16" s="246"/>
      <c r="L16" s="305">
        <f>('lokale energieproductie'!T38+'lokale energieproductie'!U38+'lokale energieproductie'!T45+'lokale energieproductie'!U45)*(-1)</f>
        <v>0</v>
      </c>
      <c r="M16" s="246"/>
      <c r="N16" s="305">
        <f>('lokale energieproductie'!Q38+'lokale energieproductie'!R38+'lokale energieproductie'!V38+'lokale energieproductie'!Q45+'lokale energieproductie'!R45+'lokale energieproductie'!V45)*(-1)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8974.973</v>
      </c>
      <c r="C18" s="21">
        <f>C5+C16</f>
        <v>0</v>
      </c>
      <c r="D18" s="21">
        <f>MAX((D5+D16),0)</f>
        <v>2156.9787579999997</v>
      </c>
      <c r="E18" s="21">
        <f>MAX((E5+E16),0)</f>
        <v>757.28892975832582</v>
      </c>
      <c r="F18" s="21">
        <f>MAX((F5+F16),0)</f>
        <v>2579.589946524452</v>
      </c>
      <c r="G18" s="21"/>
      <c r="H18" s="21"/>
      <c r="I18" s="21"/>
      <c r="J18" s="21">
        <f>MAX((J5+J16),0)</f>
        <v>5.7258801814433914E-2</v>
      </c>
      <c r="K18" s="21"/>
      <c r="L18" s="21">
        <f>MAX((L5+L16),0)</f>
        <v>0</v>
      </c>
      <c r="M18" s="21"/>
      <c r="N18" s="21">
        <f>MAX((N5+N16),0)</f>
        <v>1430.8624952210571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0.23302996200975501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2091.437617228577</v>
      </c>
      <c r="C22" s="23">
        <f ca="1">C18*C20</f>
        <v>0</v>
      </c>
      <c r="D22" s="23">
        <f>D18*D20</f>
        <v>435.709709116</v>
      </c>
      <c r="E22" s="23">
        <f>E18*E20</f>
        <v>171.90458705513996</v>
      </c>
      <c r="F22" s="23">
        <f>F18*F20</f>
        <v>688.75051572202869</v>
      </c>
      <c r="G22" s="23"/>
      <c r="H22" s="23"/>
      <c r="I22" s="23"/>
      <c r="J22" s="23">
        <f>J18*J20</f>
        <v>2.0269615842309605E-2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67.8</v>
      </c>
      <c r="C30" s="39">
        <f>IF(ISERROR(B30*3.6/1000000/'E Balans VL '!Z18*100),0,B30*3.6/1000000/'E Balans VL '!Z18*100)</f>
        <v>6.6713469250368196E-3</v>
      </c>
      <c r="D30" s="235" t="s">
        <v>672</v>
      </c>
    </row>
    <row r="31" spans="1:18">
      <c r="A31" s="6" t="s">
        <v>32</v>
      </c>
      <c r="B31" s="37">
        <f>IF( ISERROR(IND_ander_ele_kWh/1000),0,IND_ander_ele_kWh/1000)</f>
        <v>2455.4679999999998</v>
      </c>
      <c r="C31" s="39">
        <f>IF(ISERROR(B31*3.6/1000000/'E Balans VL '!Z19*100),0,B31*3.6/1000000/'E Balans VL '!Z19*100)</f>
        <v>0.10693367269247094</v>
      </c>
      <c r="D31" s="235" t="s">
        <v>672</v>
      </c>
    </row>
    <row r="32" spans="1:18">
      <c r="A32" s="170" t="s">
        <v>40</v>
      </c>
      <c r="B32" s="37">
        <f>IF( ISERROR(IND_voed_ele_kWh/1000),0,IND_voed_ele_kWh/1000)</f>
        <v>311.93400000000003</v>
      </c>
      <c r="C32" s="39">
        <f>IF(ISERROR(B32*3.6/1000000/'E Balans VL '!Z20*100),0,B32*3.6/1000000/'E Balans VL '!Z20*100)</f>
        <v>5.918497792233323E-2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6119.0410000000002</v>
      </c>
      <c r="C35" s="39">
        <f>IF(ISERROR(B35*3.6/1000000/'E Balans VL '!Z22*100),0,B35*3.6/1000000/'E Balans VL '!Z22*100)</f>
        <v>0.86039861009448848</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20.73</v>
      </c>
      <c r="C37" s="39">
        <f>IF(ISERROR(B37*3.6/1000000/'E Balans VL '!Z15*100),0,B37*3.6/1000000/'E Balans VL '!Z15*100)</f>
        <v>1.5975011168838083E-4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2337.768</v>
      </c>
      <c r="C5" s="17">
        <f>'Eigen informatie GS &amp; warmtenet'!B60</f>
        <v>0</v>
      </c>
      <c r="D5" s="30">
        <f>IF(ISERROR(SUM(LB_lb_gas_kWh,LB_rest_gas_kWh)/1000),0,SUM(LB_lb_gas_kWh,LB_rest_gas_kWh)/1000)*0.902</f>
        <v>242935.04573800002</v>
      </c>
      <c r="E5" s="17">
        <f>B17*'E Balans VL '!I25/3.6*1000000/100</f>
        <v>29.45888845751594</v>
      </c>
      <c r="F5" s="17">
        <f>B17*('E Balans VL '!L25/3.6*1000000+'E Balans VL '!N25/3.6*1000000)/100</f>
        <v>8065.8852458777756</v>
      </c>
      <c r="G5" s="18"/>
      <c r="H5" s="17"/>
      <c r="I5" s="17"/>
      <c r="J5" s="17">
        <f>('E Balans VL '!D25+'E Balans VL '!E25)/3.6*1000000*landbouw!B17/100</f>
        <v>351.57373239128827</v>
      </c>
      <c r="K5" s="17"/>
      <c r="L5" s="17">
        <f>L6*(-1)</f>
        <v>0</v>
      </c>
      <c r="M5" s="17"/>
      <c r="N5" s="17">
        <f>N6*(-1)</f>
        <v>0</v>
      </c>
      <c r="O5" s="17"/>
      <c r="P5" s="17"/>
      <c r="R5" s="32"/>
    </row>
    <row r="6" spans="1:18">
      <c r="A6" s="16" t="s">
        <v>484</v>
      </c>
      <c r="B6" s="17" t="s">
        <v>204</v>
      </c>
      <c r="C6" s="17">
        <f>'lokale energieproductie'!O47+'lokale energieproductie'!O40</f>
        <v>125569.28571428572</v>
      </c>
      <c r="D6" s="305">
        <f>('lokale energieproductie'!P40+'lokale energieproductie'!P47)*(-1)</f>
        <v>-251138.57142857148</v>
      </c>
      <c r="E6" s="246"/>
      <c r="F6" s="305">
        <f>('lokale energieproductie'!S40+'lokale energieproductie'!S47)*(-1)</f>
        <v>0</v>
      </c>
      <c r="G6" s="247"/>
      <c r="H6" s="246"/>
      <c r="I6" s="246"/>
      <c r="J6" s="246"/>
      <c r="K6" s="246"/>
      <c r="L6" s="305">
        <f>('lokale energieproductie'!T40+'lokale energieproductie'!U40+'lokale energieproductie'!T47+'lokale energieproductie'!U47)*(-1)</f>
        <v>0</v>
      </c>
      <c r="M6" s="246"/>
      <c r="N6" s="1016">
        <f>('lokale energieproductie'!V40+'lokale energieproductie'!R40+'lokale energieproductie'!Q40+'lokale energieproductie'!Q47+'lokale energieproductie'!R47+'lokale energieproductie'!V47)*(-1)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2337.768</v>
      </c>
      <c r="C8" s="21">
        <f>C5+C6</f>
        <v>125569.28571428572</v>
      </c>
      <c r="D8" s="21">
        <f>MAX((D5+D6),0)</f>
        <v>0</v>
      </c>
      <c r="E8" s="21">
        <f>MAX((E5+E6),0)</f>
        <v>29.45888845751594</v>
      </c>
      <c r="F8" s="21">
        <f>MAX((F5+F6),0)</f>
        <v>8065.8852458777756</v>
      </c>
      <c r="G8" s="21"/>
      <c r="H8" s="21"/>
      <c r="I8" s="21"/>
      <c r="J8" s="21">
        <f>MAX((J5+J6),0)</f>
        <v>351.57373239128827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0.23302996200975501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544.76998822762096</v>
      </c>
      <c r="C12" s="23">
        <f ca="1">C8*C10</f>
        <v>29841.171428571437</v>
      </c>
      <c r="D12" s="23">
        <f>D8*D10</f>
        <v>0</v>
      </c>
      <c r="E12" s="23">
        <f>E8*E10</f>
        <v>6.6871676798561186</v>
      </c>
      <c r="F12" s="23">
        <f>F8*F10</f>
        <v>2153.5913606493664</v>
      </c>
      <c r="G12" s="23"/>
      <c r="H12" s="23"/>
      <c r="I12" s="23"/>
      <c r="J12" s="23">
        <f>J8*J10</f>
        <v>124.45710126651605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0.32604495382961735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24.76772198907268</v>
      </c>
      <c r="C26" s="245">
        <f>B26*'GWP N2O_CH4'!B5</f>
        <v>520.1221617705263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2.1959371530301826</v>
      </c>
      <c r="C27" s="245">
        <f>B27*'GWP N2O_CH4'!B5</f>
        <v>46.114680213633832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0.40455811670800945</v>
      </c>
      <c r="C28" s="245">
        <f>B28*'GWP N2O_CH4'!B4</f>
        <v>125.41301617948292</v>
      </c>
      <c r="D28" s="50"/>
    </row>
    <row r="29" spans="1:4">
      <c r="A29" s="41" t="s">
        <v>266</v>
      </c>
      <c r="B29" s="245">
        <f>B34*'ha_N2O bodem landbouw'!B4</f>
        <v>5.736229061918384</v>
      </c>
      <c r="C29" s="245">
        <f>B29*'GWP N2O_CH4'!B4</f>
        <v>1778.231009194699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1.4322790787604763E-3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1.4541811941836682E-5</v>
      </c>
      <c r="C5" s="434" t="s">
        <v>204</v>
      </c>
      <c r="D5" s="419">
        <f>SUM(D6:D11)</f>
        <v>1.3574119844264321E-5</v>
      </c>
      <c r="E5" s="419">
        <f>SUM(E6:E11)</f>
        <v>4.8443951097640412E-4</v>
      </c>
      <c r="F5" s="432" t="s">
        <v>204</v>
      </c>
      <c r="G5" s="419">
        <f>SUM(G6:G11)</f>
        <v>0.13856238360954928</v>
      </c>
      <c r="H5" s="419">
        <f>SUM(H6:H11)</f>
        <v>2.331333815479127E-2</v>
      </c>
      <c r="I5" s="434" t="s">
        <v>204</v>
      </c>
      <c r="J5" s="434" t="s">
        <v>204</v>
      </c>
      <c r="K5" s="434" t="s">
        <v>204</v>
      </c>
      <c r="L5" s="434" t="s">
        <v>204</v>
      </c>
      <c r="M5" s="419">
        <f>SUM(M6:M11)</f>
        <v>7.3189607392600163E-3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1.2572974562576572E-5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1.1201028315382826E-5</v>
      </c>
      <c r="E6" s="873">
        <f>vkm_GW_PW*SUMIFS(TableVerdeelsleutelVkm[LPG],TableVerdeelsleutelVkm[Voertuigtype],"Lichte voertuigen")*SUMIFS(TableECFTransport[EnergieConsumptieFactor (PJ per km)],TableECFTransport[Index],CONCATENATE($A6,"_LPG_LPG"))</f>
        <v>4.031511435508725E-4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7.9019800479527544E-2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1.937236617242661E-2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4.4509237059597593E-3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2.6024618663459592E-7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4.0724881518014885E-2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9.2831274779703645E-7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1.8387911506499528E-3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1.6894327700621794E-6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2.3730915288814953E-6</v>
      </c>
      <c r="E8" s="422">
        <f>vkm_NGW_PW*SUMIFS(TableVerdeelsleutelVkm[LPG],TableVerdeelsleutelVkm[Voertuigtype],"Lichte voertuigen")*SUMIFS(TableECFTransport[EnergieConsumptieFactor (PJ per km)],TableECFTransport[Index],CONCATENATE($A8,"_LPG_LPG"))</f>
        <v>8.1288367425531594E-5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1.4966686228587624E-2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3.9399611824981395E-3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8.5536684574996614E-4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1.9158422563335167E-8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3.8510153834192167E-3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8.2487118723351321E-8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1.7387903690033768E-4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4.0393922060657452</v>
      </c>
      <c r="C14" s="21"/>
      <c r="D14" s="21">
        <f t="shared" ref="D14:M14" si="0">((D5)*10^9/3600)+D12</f>
        <v>3.7705888456289784</v>
      </c>
      <c r="E14" s="21">
        <f t="shared" si="0"/>
        <v>134.56653082677892</v>
      </c>
      <c r="F14" s="21"/>
      <c r="G14" s="21">
        <f t="shared" si="0"/>
        <v>38489.551002652581</v>
      </c>
      <c r="H14" s="21">
        <f t="shared" si="0"/>
        <v>6475.9272652197969</v>
      </c>
      <c r="I14" s="21"/>
      <c r="J14" s="21"/>
      <c r="K14" s="21"/>
      <c r="L14" s="21"/>
      <c r="M14" s="21">
        <f t="shared" si="0"/>
        <v>2033.0446497944488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0.23302996200975501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0.94129941232200109</v>
      </c>
      <c r="C18" s="23"/>
      <c r="D18" s="23">
        <f t="shared" ref="D18:M18" si="1">D14*D16</f>
        <v>0.76165894681705371</v>
      </c>
      <c r="E18" s="23">
        <f t="shared" si="1"/>
        <v>30.546602497678816</v>
      </c>
      <c r="F18" s="23"/>
      <c r="G18" s="23">
        <f t="shared" si="1"/>
        <v>10276.71011770824</v>
      </c>
      <c r="H18" s="23">
        <f t="shared" si="1"/>
        <v>1612.5058890397295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2.6635835059950564E-3</v>
      </c>
      <c r="C50" s="316">
        <f t="shared" ref="C50:P50" si="2">SUM(C51:C52)</f>
        <v>0</v>
      </c>
      <c r="D50" s="316">
        <f t="shared" si="2"/>
        <v>0</v>
      </c>
      <c r="E50" s="316">
        <f t="shared" si="2"/>
        <v>0</v>
      </c>
      <c r="F50" s="316">
        <f t="shared" si="2"/>
        <v>0</v>
      </c>
      <c r="G50" s="316">
        <f t="shared" si="2"/>
        <v>5.0144768012367726E-3</v>
      </c>
      <c r="H50" s="316">
        <f t="shared" si="2"/>
        <v>0</v>
      </c>
      <c r="I50" s="316">
        <f t="shared" si="2"/>
        <v>0</v>
      </c>
      <c r="J50" s="316">
        <f t="shared" si="2"/>
        <v>0</v>
      </c>
      <c r="K50" s="316">
        <f t="shared" si="2"/>
        <v>0</v>
      </c>
      <c r="L50" s="316">
        <f t="shared" si="2"/>
        <v>0</v>
      </c>
      <c r="M50" s="316">
        <f t="shared" si="2"/>
        <v>2.2485335318150892E-4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2.5762253766274418E-5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5.0144768012367726E-3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2.2485335318150892E-4</v>
      </c>
      <c r="N51" s="318"/>
      <c r="O51" s="318"/>
      <c r="P51" s="321"/>
    </row>
    <row r="52" spans="1:18">
      <c r="A52" s="4" t="s">
        <v>318</v>
      </c>
      <c r="B52" s="322">
        <f>vkm_tram*SUMIFS(TableECFTransport[EnergieConsumptieFactor (PJ per km)],TableECFTransport[Index],"Tram_gemiddeld_Electric_Electric")</f>
        <v>2.637821252228782E-3</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739.88430722084911</v>
      </c>
      <c r="C54" s="21">
        <f t="shared" ref="C54:P54" si="3">(C50)*10^9/3600</f>
        <v>0</v>
      </c>
      <c r="D54" s="21">
        <f t="shared" si="3"/>
        <v>0</v>
      </c>
      <c r="E54" s="21">
        <f t="shared" si="3"/>
        <v>0</v>
      </c>
      <c r="F54" s="21">
        <f t="shared" si="3"/>
        <v>0</v>
      </c>
      <c r="G54" s="21">
        <f t="shared" si="3"/>
        <v>1392.9102225657703</v>
      </c>
      <c r="H54" s="21">
        <f t="shared" si="3"/>
        <v>0</v>
      </c>
      <c r="I54" s="21">
        <f t="shared" si="3"/>
        <v>0</v>
      </c>
      <c r="J54" s="21">
        <f t="shared" si="3"/>
        <v>0</v>
      </c>
      <c r="K54" s="21">
        <f t="shared" si="3"/>
        <v>0</v>
      </c>
      <c r="L54" s="21">
        <f t="shared" si="3"/>
        <v>0</v>
      </c>
      <c r="M54" s="21">
        <f t="shared" si="3"/>
        <v>62.459264772641369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0.23302996200975501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172.41521200328836</v>
      </c>
      <c r="C58" s="23">
        <f t="shared" ref="C58:P58" ca="1" si="4">C54*C56</f>
        <v>0</v>
      </c>
      <c r="D58" s="23">
        <f t="shared" si="4"/>
        <v>0</v>
      </c>
      <c r="E58" s="23">
        <f t="shared" si="4"/>
        <v>0</v>
      </c>
      <c r="F58" s="23">
        <f t="shared" si="4"/>
        <v>0</v>
      </c>
      <c r="G58" s="23">
        <f t="shared" si="4"/>
        <v>371.90702942506067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2110.7722398428532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N37</f>
        <v>106533</v>
      </c>
      <c r="C8" s="546">
        <f>B56</f>
        <v>125332.94117647059</v>
      </c>
      <c r="D8" s="1001"/>
      <c r="E8" s="1001">
        <f>E56</f>
        <v>0</v>
      </c>
      <c r="F8" s="1002"/>
      <c r="G8" s="547"/>
      <c r="H8" s="1001">
        <f>I56</f>
        <v>0</v>
      </c>
      <c r="I8" s="1001">
        <f>G56+F56</f>
        <v>0</v>
      </c>
      <c r="J8" s="1001">
        <f>H56+D56+C56</f>
        <v>0</v>
      </c>
      <c r="K8" s="1001"/>
      <c r="L8" s="1001"/>
      <c r="M8" s="1001"/>
      <c r="N8" s="548"/>
      <c r="O8" s="549">
        <f>C8*$C$12+D8*$D$12+E8*$E$12+F8*$F$12+G8*$G$12+H8*$H$12+I8*$I$12+J8*$J$12</f>
        <v>25317.254117647059</v>
      </c>
      <c r="P8" s="1244"/>
      <c r="Q8" s="1245"/>
      <c r="S8" s="1013"/>
      <c r="T8" s="1265"/>
      <c r="U8" s="1265"/>
    </row>
    <row r="9" spans="1:21" s="534" customFormat="1" ht="17.45" customHeight="1" thickBot="1">
      <c r="A9" s="550" t="s">
        <v>237</v>
      </c>
      <c r="B9" s="551">
        <f>N44+'Eigen informatie GS &amp; warmtenet'!B12</f>
        <v>0</v>
      </c>
      <c r="C9" s="55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108643.77223984286</v>
      </c>
      <c r="C10" s="559">
        <f t="shared" ref="C10:L10" si="0">SUM(C8:C9)</f>
        <v>125332.94117647059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25317.254117647059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O37</f>
        <v>152190</v>
      </c>
      <c r="C17" s="571">
        <f>B57</f>
        <v>179047.05882352943</v>
      </c>
      <c r="D17" s="572"/>
      <c r="E17" s="572">
        <f>E57</f>
        <v>0</v>
      </c>
      <c r="F17" s="1007"/>
      <c r="G17" s="573"/>
      <c r="H17" s="571">
        <f>I57</f>
        <v>0</v>
      </c>
      <c r="I17" s="572">
        <f>G57+F57</f>
        <v>0</v>
      </c>
      <c r="J17" s="572">
        <f>H57+D57+C57</f>
        <v>0</v>
      </c>
      <c r="K17" s="572"/>
      <c r="L17" s="572"/>
      <c r="M17" s="572"/>
      <c r="N17" s="1008"/>
      <c r="O17" s="574">
        <f>C17*$C$22+E17*$E$22+H17*$H$22+I17*$I$22+J17*$J$22+D17*$D$22+F17*$F$22+G17*$G$22+K17*$K$22+L17*$L$22</f>
        <v>36167.505882352947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152190</v>
      </c>
      <c r="C20" s="558">
        <f>SUM(C17:C19)</f>
        <v>179047.05882352943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36167.505882352947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11004</v>
      </c>
      <c r="C28" s="777">
        <v>2530</v>
      </c>
      <c r="D28" s="630"/>
      <c r="E28" s="629"/>
      <c r="F28" s="629"/>
      <c r="G28" s="629" t="s">
        <v>926</v>
      </c>
      <c r="H28" s="629" t="s">
        <v>927</v>
      </c>
      <c r="I28" s="629"/>
      <c r="J28" s="776"/>
      <c r="K28" s="776"/>
      <c r="L28" s="629" t="s">
        <v>928</v>
      </c>
      <c r="M28" s="629">
        <v>3365</v>
      </c>
      <c r="N28" s="629">
        <v>15142.500000000002</v>
      </c>
      <c r="O28" s="629">
        <v>21632.142857142859</v>
      </c>
      <c r="P28" s="629">
        <v>43264.285714285725</v>
      </c>
      <c r="Q28" s="629">
        <v>0</v>
      </c>
      <c r="R28" s="629">
        <v>0</v>
      </c>
      <c r="S28" s="629">
        <v>0</v>
      </c>
      <c r="T28" s="629">
        <v>0</v>
      </c>
      <c r="U28" s="629">
        <v>0</v>
      </c>
      <c r="V28" s="629">
        <v>0</v>
      </c>
      <c r="W28" s="629">
        <v>0</v>
      </c>
      <c r="X28" s="629">
        <v>10</v>
      </c>
      <c r="Y28" s="629" t="s">
        <v>105</v>
      </c>
      <c r="Z28" s="631" t="s">
        <v>105</v>
      </c>
    </row>
    <row r="29" spans="1:26" s="583" customFormat="1" ht="25.5" hidden="1">
      <c r="A29" s="582"/>
      <c r="B29" s="777">
        <v>11004</v>
      </c>
      <c r="C29" s="777">
        <v>2531</v>
      </c>
      <c r="D29" s="630"/>
      <c r="E29" s="629"/>
      <c r="F29" s="629"/>
      <c r="G29" s="629" t="s">
        <v>926</v>
      </c>
      <c r="H29" s="629" t="s">
        <v>927</v>
      </c>
      <c r="I29" s="629"/>
      <c r="J29" s="776"/>
      <c r="K29" s="776"/>
      <c r="L29" s="629" t="s">
        <v>928</v>
      </c>
      <c r="M29" s="629">
        <v>1125</v>
      </c>
      <c r="N29" s="629">
        <v>5062.5</v>
      </c>
      <c r="O29" s="629">
        <v>7232.1428571428569</v>
      </c>
      <c r="P29" s="629">
        <v>14464.285714285716</v>
      </c>
      <c r="Q29" s="629">
        <v>0</v>
      </c>
      <c r="R29" s="629">
        <v>0</v>
      </c>
      <c r="S29" s="629">
        <v>0</v>
      </c>
      <c r="T29" s="629">
        <v>0</v>
      </c>
      <c r="U29" s="629">
        <v>0</v>
      </c>
      <c r="V29" s="629">
        <v>0</v>
      </c>
      <c r="W29" s="629">
        <v>0</v>
      </c>
      <c r="X29" s="629">
        <v>10</v>
      </c>
      <c r="Y29" s="629" t="s">
        <v>105</v>
      </c>
      <c r="Z29" s="631" t="s">
        <v>105</v>
      </c>
    </row>
    <row r="30" spans="1:26" s="583" customFormat="1" ht="63.75" hidden="1">
      <c r="A30" s="582"/>
      <c r="B30" s="777">
        <v>11004</v>
      </c>
      <c r="C30" s="777">
        <v>2531</v>
      </c>
      <c r="D30" s="630"/>
      <c r="E30" s="629"/>
      <c r="F30" s="629"/>
      <c r="G30" s="629" t="s">
        <v>926</v>
      </c>
      <c r="H30" s="629" t="s">
        <v>927</v>
      </c>
      <c r="I30" s="629"/>
      <c r="J30" s="776"/>
      <c r="K30" s="776"/>
      <c r="L30" s="629" t="s">
        <v>928</v>
      </c>
      <c r="M30" s="629">
        <v>4141</v>
      </c>
      <c r="N30" s="629">
        <v>18634.5</v>
      </c>
      <c r="O30" s="629">
        <v>26620.714285714286</v>
      </c>
      <c r="P30" s="629">
        <v>53241.428571428572</v>
      </c>
      <c r="Q30" s="629">
        <v>0</v>
      </c>
      <c r="R30" s="629">
        <v>0</v>
      </c>
      <c r="S30" s="629">
        <v>0</v>
      </c>
      <c r="T30" s="629">
        <v>0</v>
      </c>
      <c r="U30" s="629">
        <v>0</v>
      </c>
      <c r="V30" s="629">
        <v>0</v>
      </c>
      <c r="W30" s="629">
        <v>0</v>
      </c>
      <c r="X30" s="629">
        <v>1600</v>
      </c>
      <c r="Y30" s="629" t="s">
        <v>49</v>
      </c>
      <c r="Z30" s="631" t="s">
        <v>149</v>
      </c>
    </row>
    <row r="31" spans="1:26" s="583" customFormat="1" ht="25.5" hidden="1">
      <c r="A31" s="582"/>
      <c r="B31" s="777">
        <v>11004</v>
      </c>
      <c r="C31" s="777">
        <v>2530</v>
      </c>
      <c r="D31" s="630"/>
      <c r="E31" s="629"/>
      <c r="F31" s="629"/>
      <c r="G31" s="629" t="s">
        <v>926</v>
      </c>
      <c r="H31" s="629" t="s">
        <v>927</v>
      </c>
      <c r="I31" s="629"/>
      <c r="J31" s="776"/>
      <c r="K31" s="776"/>
      <c r="L31" s="629" t="s">
        <v>929</v>
      </c>
      <c r="M31" s="629">
        <v>173</v>
      </c>
      <c r="N31" s="629">
        <v>778.49999999999989</v>
      </c>
      <c r="O31" s="629">
        <v>1112.1428571428571</v>
      </c>
      <c r="P31" s="629">
        <v>2224.2857142857142</v>
      </c>
      <c r="Q31" s="629">
        <v>0</v>
      </c>
      <c r="R31" s="629">
        <v>0</v>
      </c>
      <c r="S31" s="629">
        <v>0</v>
      </c>
      <c r="T31" s="629">
        <v>0</v>
      </c>
      <c r="U31" s="629">
        <v>0</v>
      </c>
      <c r="V31" s="629">
        <v>0</v>
      </c>
      <c r="W31" s="629">
        <v>0</v>
      </c>
      <c r="X31" s="629">
        <v>10</v>
      </c>
      <c r="Y31" s="629" t="s">
        <v>105</v>
      </c>
      <c r="Z31" s="631" t="s">
        <v>105</v>
      </c>
    </row>
    <row r="32" spans="1:26" s="583" customFormat="1" ht="25.5" hidden="1">
      <c r="A32" s="582"/>
      <c r="B32" s="777">
        <v>11004</v>
      </c>
      <c r="C32" s="777">
        <v>2531</v>
      </c>
      <c r="D32" s="630"/>
      <c r="E32" s="629"/>
      <c r="F32" s="629"/>
      <c r="G32" s="629" t="s">
        <v>926</v>
      </c>
      <c r="H32" s="629" t="s">
        <v>927</v>
      </c>
      <c r="I32" s="629"/>
      <c r="J32" s="776"/>
      <c r="K32" s="776"/>
      <c r="L32" s="629" t="s">
        <v>928</v>
      </c>
      <c r="M32" s="629">
        <v>1415</v>
      </c>
      <c r="N32" s="629">
        <v>6367.5</v>
      </c>
      <c r="O32" s="629">
        <v>9096.4285714285725</v>
      </c>
      <c r="P32" s="629">
        <v>18192.857142857145</v>
      </c>
      <c r="Q32" s="629">
        <v>0</v>
      </c>
      <c r="R32" s="629">
        <v>0</v>
      </c>
      <c r="S32" s="629">
        <v>0</v>
      </c>
      <c r="T32" s="629">
        <v>0</v>
      </c>
      <c r="U32" s="629">
        <v>0</v>
      </c>
      <c r="V32" s="629">
        <v>0</v>
      </c>
      <c r="W32" s="629">
        <v>0</v>
      </c>
      <c r="X32" s="629">
        <v>10</v>
      </c>
      <c r="Y32" s="629" t="s">
        <v>105</v>
      </c>
      <c r="Z32" s="631" t="s">
        <v>105</v>
      </c>
    </row>
    <row r="33" spans="1:26" s="583" customFormat="1" ht="25.5" hidden="1">
      <c r="A33" s="582"/>
      <c r="B33" s="777">
        <v>11004</v>
      </c>
      <c r="C33" s="777">
        <v>2531</v>
      </c>
      <c r="D33" s="630"/>
      <c r="E33" s="629"/>
      <c r="F33" s="629"/>
      <c r="G33" s="629" t="s">
        <v>926</v>
      </c>
      <c r="H33" s="629" t="s">
        <v>927</v>
      </c>
      <c r="I33" s="629"/>
      <c r="J33" s="776"/>
      <c r="K33" s="776"/>
      <c r="L33" s="629" t="s">
        <v>928</v>
      </c>
      <c r="M33" s="629">
        <v>1415</v>
      </c>
      <c r="N33" s="629">
        <v>6367.5</v>
      </c>
      <c r="O33" s="629">
        <v>9096.4285714285725</v>
      </c>
      <c r="P33" s="629">
        <v>18192.857142857145</v>
      </c>
      <c r="Q33" s="629">
        <v>0</v>
      </c>
      <c r="R33" s="629">
        <v>0</v>
      </c>
      <c r="S33" s="629">
        <v>0</v>
      </c>
      <c r="T33" s="629">
        <v>0</v>
      </c>
      <c r="U33" s="629">
        <v>0</v>
      </c>
      <c r="V33" s="629">
        <v>0</v>
      </c>
      <c r="W33" s="629">
        <v>0</v>
      </c>
      <c r="X33" s="629">
        <v>10</v>
      </c>
      <c r="Y33" s="629" t="s">
        <v>105</v>
      </c>
      <c r="Z33" s="631" t="s">
        <v>105</v>
      </c>
    </row>
    <row r="34" spans="1:26" s="583" customFormat="1" ht="25.5" hidden="1">
      <c r="A34" s="582"/>
      <c r="B34" s="777">
        <v>11004</v>
      </c>
      <c r="C34" s="777">
        <v>2531</v>
      </c>
      <c r="D34" s="630"/>
      <c r="E34" s="629"/>
      <c r="F34" s="629"/>
      <c r="G34" s="629" t="s">
        <v>926</v>
      </c>
      <c r="H34" s="629" t="s">
        <v>927</v>
      </c>
      <c r="I34" s="629"/>
      <c r="J34" s="776"/>
      <c r="K34" s="776"/>
      <c r="L34" s="629" t="s">
        <v>928</v>
      </c>
      <c r="M34" s="629">
        <v>6390</v>
      </c>
      <c r="N34" s="629">
        <v>28755</v>
      </c>
      <c r="O34" s="629">
        <v>41078.571428571428</v>
      </c>
      <c r="P34" s="629">
        <v>82157.14285714287</v>
      </c>
      <c r="Q34" s="629">
        <v>0</v>
      </c>
      <c r="R34" s="629">
        <v>0</v>
      </c>
      <c r="S34" s="629">
        <v>0</v>
      </c>
      <c r="T34" s="629">
        <v>0</v>
      </c>
      <c r="U34" s="629">
        <v>0</v>
      </c>
      <c r="V34" s="629">
        <v>0</v>
      </c>
      <c r="W34" s="629">
        <v>0</v>
      </c>
      <c r="X34" s="629">
        <v>10</v>
      </c>
      <c r="Y34" s="629" t="s">
        <v>105</v>
      </c>
      <c r="Z34" s="631" t="s">
        <v>105</v>
      </c>
    </row>
    <row r="35" spans="1:26" s="583" customFormat="1" ht="25.5" hidden="1">
      <c r="A35" s="582"/>
      <c r="B35" s="777">
        <v>11004</v>
      </c>
      <c r="C35" s="777">
        <v>2530</v>
      </c>
      <c r="D35" s="630"/>
      <c r="E35" s="629"/>
      <c r="F35" s="629"/>
      <c r="G35" s="629" t="s">
        <v>926</v>
      </c>
      <c r="H35" s="629" t="s">
        <v>927</v>
      </c>
      <c r="I35" s="629"/>
      <c r="J35" s="776"/>
      <c r="K35" s="776"/>
      <c r="L35" s="629" t="s">
        <v>928</v>
      </c>
      <c r="M35" s="629">
        <v>1560</v>
      </c>
      <c r="N35" s="629">
        <v>7020</v>
      </c>
      <c r="O35" s="629">
        <v>10028.571428571429</v>
      </c>
      <c r="P35" s="629">
        <v>20057.142857142859</v>
      </c>
      <c r="Q35" s="629">
        <v>0</v>
      </c>
      <c r="R35" s="629">
        <v>0</v>
      </c>
      <c r="S35" s="629">
        <v>0</v>
      </c>
      <c r="T35" s="629">
        <v>0</v>
      </c>
      <c r="U35" s="629">
        <v>0</v>
      </c>
      <c r="V35" s="629">
        <v>0</v>
      </c>
      <c r="W35" s="629">
        <v>0</v>
      </c>
      <c r="X35" s="629">
        <v>10</v>
      </c>
      <c r="Y35" s="629" t="s">
        <v>105</v>
      </c>
      <c r="Z35" s="631" t="s">
        <v>105</v>
      </c>
    </row>
    <row r="36" spans="1:26" s="583" customFormat="1" ht="25.5" hidden="1">
      <c r="A36" s="582"/>
      <c r="B36" s="777">
        <v>11004</v>
      </c>
      <c r="C36" s="777">
        <v>2530</v>
      </c>
      <c r="D36" s="630"/>
      <c r="E36" s="629"/>
      <c r="F36" s="629"/>
      <c r="G36" s="629" t="s">
        <v>926</v>
      </c>
      <c r="H36" s="629" t="s">
        <v>927</v>
      </c>
      <c r="I36" s="629"/>
      <c r="J36" s="776"/>
      <c r="K36" s="776"/>
      <c r="L36" s="629" t="s">
        <v>928</v>
      </c>
      <c r="M36" s="629">
        <v>4090</v>
      </c>
      <c r="N36" s="629">
        <v>18405</v>
      </c>
      <c r="O36" s="629">
        <v>26292.857142857145</v>
      </c>
      <c r="P36" s="629">
        <v>52585.71428571429</v>
      </c>
      <c r="Q36" s="629">
        <v>0</v>
      </c>
      <c r="R36" s="629">
        <v>0</v>
      </c>
      <c r="S36" s="629">
        <v>0</v>
      </c>
      <c r="T36" s="629">
        <v>0</v>
      </c>
      <c r="U36" s="629">
        <v>0</v>
      </c>
      <c r="V36" s="629">
        <v>0</v>
      </c>
      <c r="W36" s="629">
        <v>0</v>
      </c>
      <c r="X36" s="629">
        <v>10</v>
      </c>
      <c r="Y36" s="629" t="s">
        <v>105</v>
      </c>
      <c r="Z36" s="631" t="s">
        <v>105</v>
      </c>
    </row>
    <row r="37" spans="1:26" s="566" customFormat="1" hidden="1">
      <c r="A37" s="585" t="s">
        <v>269</v>
      </c>
      <c r="B37" s="586"/>
      <c r="C37" s="586"/>
      <c r="D37" s="586"/>
      <c r="E37" s="586"/>
      <c r="F37" s="586"/>
      <c r="G37" s="586"/>
      <c r="H37" s="586"/>
      <c r="I37" s="586"/>
      <c r="J37" s="586"/>
      <c r="K37" s="586"/>
      <c r="L37" s="587"/>
      <c r="M37" s="587">
        <f>SUM(M28:M36)</f>
        <v>23674</v>
      </c>
      <c r="N37" s="587">
        <f>SUM(N28:N36)</f>
        <v>106533</v>
      </c>
      <c r="O37" s="587">
        <f>SUM(O28:O36)</f>
        <v>152190</v>
      </c>
      <c r="P37" s="587">
        <f>SUM(P28:P36)</f>
        <v>304380</v>
      </c>
      <c r="Q37" s="587">
        <f>SUM(Q28:Q36)</f>
        <v>0</v>
      </c>
      <c r="R37" s="587">
        <f>SUM(R28:R36)</f>
        <v>0</v>
      </c>
      <c r="S37" s="587">
        <f>SUM(S28:S36)</f>
        <v>0</v>
      </c>
      <c r="T37" s="587">
        <f>SUM(T28:T36)</f>
        <v>0</v>
      </c>
      <c r="U37" s="587">
        <f>SUM(U28:U36)</f>
        <v>0</v>
      </c>
      <c r="V37" s="587">
        <f>SUM(V28:V36)</f>
        <v>0</v>
      </c>
      <c r="W37" s="587">
        <f>SUM(W28:W36)</f>
        <v>0</v>
      </c>
      <c r="X37" s="588"/>
      <c r="Y37" s="588"/>
      <c r="Z37" s="589"/>
    </row>
    <row r="38" spans="1:26" s="566" customFormat="1">
      <c r="A38" s="585" t="s">
        <v>276</v>
      </c>
      <c r="B38" s="586"/>
      <c r="C38" s="586"/>
      <c r="D38" s="586"/>
      <c r="E38" s="586"/>
      <c r="F38" s="586"/>
      <c r="G38" s="586"/>
      <c r="H38" s="586"/>
      <c r="I38" s="586"/>
      <c r="J38" s="586"/>
      <c r="K38" s="586"/>
      <c r="L38" s="587"/>
      <c r="M38" s="587">
        <f>SUMIF($Z$28:$Z$36,"industrie",M28:M36)</f>
        <v>0</v>
      </c>
      <c r="N38" s="587">
        <f>SUMIF($Z$28:$Z$36,"industrie",N28:N36)</f>
        <v>0</v>
      </c>
      <c r="O38" s="587">
        <f>SUMIF($Z$28:$Z$36,"industrie",O28:O36)</f>
        <v>0</v>
      </c>
      <c r="P38" s="587">
        <f>SUMIF($Z$28:$Z$36,"industrie",P28:P36)</f>
        <v>0</v>
      </c>
      <c r="Q38" s="587">
        <f>SUMIF($Z$28:$Z$36,"industrie",Q28:Q36)</f>
        <v>0</v>
      </c>
      <c r="R38" s="587">
        <f>SUMIF($Z$28:$Z$36,"industrie",R28:R36)</f>
        <v>0</v>
      </c>
      <c r="S38" s="587">
        <f>SUMIF($Z$28:$Z$36,"industrie",S28:S36)</f>
        <v>0</v>
      </c>
      <c r="T38" s="587">
        <f>SUMIF($Z$28:$Z$36,"industrie",T28:T36)</f>
        <v>0</v>
      </c>
      <c r="U38" s="587">
        <f>SUMIF($Z$28:$Z$36,"industrie",U28:U36)</f>
        <v>0</v>
      </c>
      <c r="V38" s="587">
        <f>SUMIF($Z$28:$Z$36,"industrie",V28:V36)</f>
        <v>0</v>
      </c>
      <c r="W38" s="587">
        <f>SUMIF($Z$28:$Z$36,"industrie",W28:W36)</f>
        <v>0</v>
      </c>
      <c r="X38" s="588"/>
      <c r="Y38" s="588"/>
      <c r="Z38" s="589"/>
    </row>
    <row r="39" spans="1:26" s="566" customFormat="1">
      <c r="A39" s="585" t="s">
        <v>277</v>
      </c>
      <c r="B39" s="586"/>
      <c r="C39" s="586"/>
      <c r="D39" s="586"/>
      <c r="E39" s="586"/>
      <c r="F39" s="586"/>
      <c r="G39" s="586"/>
      <c r="H39" s="586"/>
      <c r="I39" s="586"/>
      <c r="J39" s="586"/>
      <c r="K39" s="586"/>
      <c r="L39" s="587"/>
      <c r="M39" s="587">
        <f ca="1">SUMIF($Z$28:AC36,"tertiair",M28:M36)</f>
        <v>4141</v>
      </c>
      <c r="N39" s="587">
        <f ca="1">SUMIF($Z$28:AD36,"tertiair",N28:N36)</f>
        <v>18634.5</v>
      </c>
      <c r="O39" s="587">
        <f ca="1">SUMIF($Z$28:AE36,"tertiair",O28:O36)</f>
        <v>26620.714285714286</v>
      </c>
      <c r="P39" s="587">
        <f ca="1">SUMIF($Z$28:AF36,"tertiair",P28:P36)</f>
        <v>53241.428571428572</v>
      </c>
      <c r="Q39" s="587">
        <f ca="1">SUMIF($Z$28:AG36,"tertiair",Q28:Q36)</f>
        <v>0</v>
      </c>
      <c r="R39" s="587">
        <f ca="1">SUMIF($Z$28:AH36,"tertiair",R28:R36)</f>
        <v>0</v>
      </c>
      <c r="S39" s="587">
        <f ca="1">SUMIF($Z$28:AI36,"tertiair",S28:S36)</f>
        <v>0</v>
      </c>
      <c r="T39" s="587">
        <f ca="1">SUMIF($Z$28:AJ36,"tertiair",T28:T36)</f>
        <v>0</v>
      </c>
      <c r="U39" s="587">
        <f ca="1">SUMIF($Z$28:AK36,"tertiair",U28:U36)</f>
        <v>0</v>
      </c>
      <c r="V39" s="587">
        <f ca="1">SUMIF($Z$28:AL36,"tertiair",V28:V36)</f>
        <v>0</v>
      </c>
      <c r="W39" s="587">
        <f ca="1">SUMIF($Z$28:AM36,"tertiair",W28:W36)</f>
        <v>0</v>
      </c>
      <c r="X39" s="588"/>
      <c r="Y39" s="588"/>
      <c r="Z39" s="589"/>
    </row>
    <row r="40" spans="1:26" s="566" customFormat="1" ht="15.75" thickBot="1">
      <c r="A40" s="590" t="s">
        <v>278</v>
      </c>
      <c r="B40" s="591"/>
      <c r="C40" s="591"/>
      <c r="D40" s="591"/>
      <c r="E40" s="591"/>
      <c r="F40" s="591"/>
      <c r="G40" s="591"/>
      <c r="H40" s="591"/>
      <c r="I40" s="591"/>
      <c r="J40" s="591"/>
      <c r="K40" s="591"/>
      <c r="L40" s="592"/>
      <c r="M40" s="592">
        <f>SUMIF($Z$28:$Z$36,"landbouw",M28:M36)</f>
        <v>19533</v>
      </c>
      <c r="N40" s="592">
        <f>SUMIF($Z$28:$Z$36,"landbouw",N28:N36)</f>
        <v>87898.5</v>
      </c>
      <c r="O40" s="592">
        <f>SUMIF($Z$28:$Z$36,"landbouw",O28:O36)</f>
        <v>125569.28571428572</v>
      </c>
      <c r="P40" s="592">
        <f>SUMIF($Z$28:$Z$36,"landbouw",P28:P36)</f>
        <v>251138.57142857148</v>
      </c>
      <c r="Q40" s="592">
        <f>SUMIF($Z$28:$Z$36,"landbouw",Q28:Q36)</f>
        <v>0</v>
      </c>
      <c r="R40" s="592">
        <f>SUMIF($Z$28:$Z$36,"landbouw",R28:R36)</f>
        <v>0</v>
      </c>
      <c r="S40" s="592">
        <f>SUMIF($Z$28:$Z$36,"landbouw",S28:S36)</f>
        <v>0</v>
      </c>
      <c r="T40" s="592">
        <f>SUMIF($Z$28:$Z$36,"landbouw",T28:T36)</f>
        <v>0</v>
      </c>
      <c r="U40" s="592">
        <f>SUMIF($Z$28:$Z$36,"landbouw",U28:U36)</f>
        <v>0</v>
      </c>
      <c r="V40" s="592">
        <f>SUMIF($Z$28:$Z$36,"landbouw",V28:V36)</f>
        <v>0</v>
      </c>
      <c r="W40" s="592">
        <f>SUMIF($Z$28:$Z$36,"landbouw",W28:W36)</f>
        <v>0</v>
      </c>
      <c r="X40" s="593"/>
      <c r="Y40" s="593"/>
      <c r="Z40" s="594"/>
    </row>
    <row r="41" spans="1:26" s="534" customFormat="1" ht="15.75" thickBot="1">
      <c r="A41" s="595"/>
      <c r="B41" s="596"/>
      <c r="C41" s="596"/>
      <c r="D41" s="596"/>
      <c r="E41" s="596"/>
      <c r="F41" s="596"/>
      <c r="G41" s="596"/>
      <c r="H41" s="596"/>
      <c r="I41" s="596"/>
      <c r="J41" s="596"/>
      <c r="K41" s="596"/>
      <c r="L41" s="579"/>
      <c r="M41" s="579"/>
      <c r="N41" s="579"/>
      <c r="O41" s="580"/>
      <c r="P41" s="580"/>
    </row>
    <row r="42" spans="1:26" s="534" customFormat="1" ht="45">
      <c r="A42" s="597" t="s">
        <v>270</v>
      </c>
      <c r="B42" s="626" t="s">
        <v>89</v>
      </c>
      <c r="C42" s="626" t="s">
        <v>90</v>
      </c>
      <c r="D42" s="626"/>
      <c r="E42" s="626"/>
      <c r="F42" s="626"/>
      <c r="G42" s="626" t="s">
        <v>91</v>
      </c>
      <c r="H42" s="626" t="s">
        <v>92</v>
      </c>
      <c r="I42" s="626"/>
      <c r="J42" s="626"/>
      <c r="K42" s="626"/>
      <c r="L42" s="626" t="s">
        <v>93</v>
      </c>
      <c r="M42" s="627" t="s">
        <v>287</v>
      </c>
      <c r="N42" s="627" t="s">
        <v>94</v>
      </c>
      <c r="O42" s="627" t="s">
        <v>95</v>
      </c>
      <c r="P42" s="627" t="s">
        <v>530</v>
      </c>
      <c r="Q42" s="627" t="s">
        <v>96</v>
      </c>
      <c r="R42" s="627" t="s">
        <v>97</v>
      </c>
      <c r="S42" s="627" t="s">
        <v>98</v>
      </c>
      <c r="T42" s="627" t="s">
        <v>99</v>
      </c>
      <c r="U42" s="627" t="s">
        <v>100</v>
      </c>
      <c r="V42" s="627" t="s">
        <v>101</v>
      </c>
      <c r="W42" s="626" t="s">
        <v>102</v>
      </c>
      <c r="X42" s="626" t="s">
        <v>288</v>
      </c>
      <c r="Y42" s="626" t="s">
        <v>103</v>
      </c>
      <c r="Z42" s="628" t="s">
        <v>289</v>
      </c>
    </row>
    <row r="43" spans="1:26" s="598" customFormat="1" ht="12.75" hidden="1">
      <c r="A43" s="584"/>
      <c r="B43" s="777"/>
      <c r="C43" s="777"/>
      <c r="D43" s="632"/>
      <c r="E43" s="632"/>
      <c r="F43" s="632"/>
      <c r="G43" s="632"/>
      <c r="H43" s="632"/>
      <c r="I43" s="632"/>
      <c r="J43" s="776"/>
      <c r="K43" s="776"/>
      <c r="L43" s="632"/>
      <c r="M43" s="632"/>
      <c r="N43" s="632"/>
      <c r="O43" s="632"/>
      <c r="P43" s="632"/>
      <c r="Q43" s="632"/>
      <c r="R43" s="632"/>
      <c r="S43" s="632"/>
      <c r="T43" s="632"/>
      <c r="U43" s="632"/>
      <c r="V43" s="632"/>
      <c r="W43" s="632"/>
      <c r="X43" s="632"/>
      <c r="Y43" s="632"/>
      <c r="Z43" s="633"/>
    </row>
    <row r="44" spans="1:26" s="566" customFormat="1" hidden="1">
      <c r="A44" s="585" t="s">
        <v>269</v>
      </c>
      <c r="B44" s="586"/>
      <c r="C44" s="586"/>
      <c r="D44" s="586"/>
      <c r="E44" s="586"/>
      <c r="F44" s="586"/>
      <c r="G44" s="586"/>
      <c r="H44" s="586"/>
      <c r="I44" s="586"/>
      <c r="J44" s="586"/>
      <c r="K44" s="586"/>
      <c r="L44" s="587"/>
      <c r="M44" s="587">
        <f>SUM(M43:M43)</f>
        <v>0</v>
      </c>
      <c r="N44" s="587">
        <f>SUM(N43:N43)</f>
        <v>0</v>
      </c>
      <c r="O44" s="587">
        <f>SUM(O43:O43)</f>
        <v>0</v>
      </c>
      <c r="P44" s="587">
        <f>SUM(P43:P43)</f>
        <v>0</v>
      </c>
      <c r="Q44" s="587">
        <f>SUM(Q43:Q43)</f>
        <v>0</v>
      </c>
      <c r="R44" s="587">
        <f>SUM(R43:R43)</f>
        <v>0</v>
      </c>
      <c r="S44" s="587">
        <f>SUM(S43:S43)</f>
        <v>0</v>
      </c>
      <c r="T44" s="587">
        <f>SUM(T43:T43)</f>
        <v>0</v>
      </c>
      <c r="U44" s="587">
        <f>SUM(U43:U43)</f>
        <v>0</v>
      </c>
      <c r="V44" s="587">
        <f>SUM(V43:V43)</f>
        <v>0</v>
      </c>
      <c r="W44" s="587">
        <f>SUM(W43:W43)</f>
        <v>0</v>
      </c>
      <c r="X44" s="588"/>
      <c r="Y44" s="588"/>
      <c r="Z44" s="589"/>
    </row>
    <row r="45" spans="1:26" s="566" customFormat="1">
      <c r="A45" s="585" t="s">
        <v>276</v>
      </c>
      <c r="B45" s="586"/>
      <c r="C45" s="586"/>
      <c r="D45" s="586"/>
      <c r="E45" s="586"/>
      <c r="F45" s="586"/>
      <c r="G45" s="586"/>
      <c r="H45" s="586"/>
      <c r="I45" s="586"/>
      <c r="J45" s="586"/>
      <c r="K45" s="586"/>
      <c r="L45" s="587"/>
      <c r="M45" s="587">
        <f>SUMIF($Z$43:$Z$43,"industrie",M43:M43)</f>
        <v>0</v>
      </c>
      <c r="N45" s="587">
        <f>SUMIF($Z$43:$Z$43,"industrie",N43:N43)</f>
        <v>0</v>
      </c>
      <c r="O45" s="587">
        <f>SUMIF($Z$43:$Z$43,"industrie",O43:O43)</f>
        <v>0</v>
      </c>
      <c r="P45" s="587">
        <f>SUMIF($Z$43:$Z$43,"industrie",P43:P43)</f>
        <v>0</v>
      </c>
      <c r="Q45" s="587">
        <f>SUMIF($Z$43:$Z$43,"industrie",Q43:Q43)</f>
        <v>0</v>
      </c>
      <c r="R45" s="587">
        <f>SUMIF($Z$43:$Z$43,"industrie",R43:R43)</f>
        <v>0</v>
      </c>
      <c r="S45" s="587">
        <f>SUMIF($Z$43:$Z$43,"industrie",S43:S43)</f>
        <v>0</v>
      </c>
      <c r="T45" s="587">
        <f>SUMIF($Z$43:$Z$43,"industrie",T43:T43)</f>
        <v>0</v>
      </c>
      <c r="U45" s="587">
        <f>SUMIF($Z$43:$Z$43,"industrie",U43:U43)</f>
        <v>0</v>
      </c>
      <c r="V45" s="587">
        <f>SUMIF($Z$43:$Z$43,"industrie",V43:V43)</f>
        <v>0</v>
      </c>
      <c r="W45" s="587">
        <f>SUMIF($Z$43:$Z$43,"industrie",W43:W43)</f>
        <v>0</v>
      </c>
      <c r="X45" s="588"/>
      <c r="Y45" s="588"/>
      <c r="Z45" s="589"/>
    </row>
    <row r="46" spans="1:26" s="566" customFormat="1">
      <c r="A46" s="585" t="s">
        <v>277</v>
      </c>
      <c r="B46" s="586"/>
      <c r="C46" s="586"/>
      <c r="D46" s="586"/>
      <c r="E46" s="586"/>
      <c r="F46" s="586"/>
      <c r="G46" s="586"/>
      <c r="H46" s="586"/>
      <c r="I46" s="586"/>
      <c r="J46" s="586"/>
      <c r="K46" s="586"/>
      <c r="L46" s="587"/>
      <c r="M46" s="587">
        <f>SUMIF($Z$43:$Z$44,"tertiair",M43:M44)</f>
        <v>0</v>
      </c>
      <c r="N46" s="587">
        <f>SUMIF($Z$43:$Z$44,"tertiair",N43:N44)</f>
        <v>0</v>
      </c>
      <c r="O46" s="587">
        <f>SUMIF($Z$43:$Z$44,"tertiair",O43:O44)</f>
        <v>0</v>
      </c>
      <c r="P46" s="587">
        <f>SUMIF($Z$43:$Z$44,"tertiair",P43:P44)</f>
        <v>0</v>
      </c>
      <c r="Q46" s="587">
        <f>SUMIF($Z$43:$Z$44,"tertiair",Q43:Q44)</f>
        <v>0</v>
      </c>
      <c r="R46" s="587">
        <f>SUMIF($Z$43:$Z$44,"tertiair",R43:R44)</f>
        <v>0</v>
      </c>
      <c r="S46" s="587">
        <f>SUMIF($Z$43:$Z$44,"tertiair",S43:S44)</f>
        <v>0</v>
      </c>
      <c r="T46" s="587">
        <f>SUMIF($Z$43:$Z$44,"tertiair",T43:T44)</f>
        <v>0</v>
      </c>
      <c r="U46" s="587">
        <f>SUMIF($Z$43:$Z$44,"tertiair",U43:U44)</f>
        <v>0</v>
      </c>
      <c r="V46" s="587">
        <f>SUMIF($Z$43:$Z$44,"tertiair",V43:V44)</f>
        <v>0</v>
      </c>
      <c r="W46" s="587">
        <f>SUMIF($Z$43:$Z$44,"tertiair",W43:W44)</f>
        <v>0</v>
      </c>
      <c r="X46" s="588"/>
      <c r="Y46" s="588"/>
      <c r="Z46" s="589"/>
    </row>
    <row r="47" spans="1:26" s="566" customFormat="1" ht="15.75" thickBot="1">
      <c r="A47" s="590" t="s">
        <v>278</v>
      </c>
      <c r="B47" s="591"/>
      <c r="C47" s="591"/>
      <c r="D47" s="591"/>
      <c r="E47" s="591"/>
      <c r="F47" s="591"/>
      <c r="G47" s="591"/>
      <c r="H47" s="591"/>
      <c r="I47" s="591"/>
      <c r="J47" s="591"/>
      <c r="K47" s="591"/>
      <c r="L47" s="592"/>
      <c r="M47" s="592">
        <f>SUMIF($Z$43:$Z$45,"landbouw",M43:M45)</f>
        <v>0</v>
      </c>
      <c r="N47" s="592">
        <f>SUMIF($Z$43:$Z$45,"landbouw",N43:N45)</f>
        <v>0</v>
      </c>
      <c r="O47" s="592">
        <f>SUMIF($Z$43:$Z$45,"landbouw",O43:O45)</f>
        <v>0</v>
      </c>
      <c r="P47" s="592">
        <f>SUMIF($Z$43:$Z$45,"landbouw",P43:P45)</f>
        <v>0</v>
      </c>
      <c r="Q47" s="592">
        <f>SUMIF($Z$43:$Z$45,"landbouw",Q43:Q45)</f>
        <v>0</v>
      </c>
      <c r="R47" s="592">
        <f>SUMIF($Z$43:$Z$45,"landbouw",R43:R45)</f>
        <v>0</v>
      </c>
      <c r="S47" s="592">
        <f>SUMIF($Z$43:$Z$45,"landbouw",S43:S45)</f>
        <v>0</v>
      </c>
      <c r="T47" s="592">
        <f>SUMIF($Z$43:$Z$45,"landbouw",T43:T45)</f>
        <v>0</v>
      </c>
      <c r="U47" s="592">
        <f>SUMIF($Z$43:$Z$45,"landbouw",U43:U45)</f>
        <v>0</v>
      </c>
      <c r="V47" s="592">
        <f>SUMIF($Z$43:$Z$45,"landbouw",V43:V45)</f>
        <v>0</v>
      </c>
      <c r="W47" s="592">
        <f>SUMIF($Z$43:$Z$45,"landbouw",W43:W45)</f>
        <v>0</v>
      </c>
      <c r="X47" s="593"/>
      <c r="Y47" s="593"/>
      <c r="Z47" s="594"/>
    </row>
    <row r="48" spans="1:26" s="599" customForma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row>
    <row r="49" spans="1:27" s="599" customFormat="1" ht="15.75" thickBo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row>
    <row r="50" spans="1:27">
      <c r="A50" s="600" t="s">
        <v>271</v>
      </c>
      <c r="B50" s="601"/>
      <c r="C50" s="601"/>
      <c r="D50" s="601"/>
      <c r="E50" s="601"/>
      <c r="F50" s="601"/>
      <c r="G50" s="601"/>
      <c r="H50" s="601"/>
      <c r="I50" s="602"/>
      <c r="J50" s="603"/>
      <c r="K50" s="603"/>
      <c r="L50" s="604"/>
      <c r="M50" s="604"/>
      <c r="N50" s="604"/>
      <c r="O50" s="604"/>
      <c r="P50" s="604"/>
    </row>
    <row r="51" spans="1:27">
      <c r="A51" s="606"/>
      <c r="B51" s="596"/>
      <c r="C51" s="596"/>
      <c r="D51" s="596"/>
      <c r="E51" s="596"/>
      <c r="F51" s="596"/>
      <c r="G51" s="596"/>
      <c r="H51" s="596"/>
      <c r="I51" s="607"/>
      <c r="J51" s="596"/>
      <c r="K51" s="596"/>
      <c r="L51" s="604"/>
      <c r="M51" s="604"/>
      <c r="N51" s="604"/>
      <c r="O51" s="604"/>
      <c r="P51" s="604"/>
    </row>
    <row r="52" spans="1:27">
      <c r="A52" s="608"/>
      <c r="B52" s="609" t="s">
        <v>272</v>
      </c>
      <c r="C52" s="609" t="s">
        <v>273</v>
      </c>
      <c r="D52" s="609"/>
      <c r="E52" s="609"/>
      <c r="F52" s="609"/>
      <c r="G52" s="609"/>
      <c r="H52" s="609"/>
      <c r="I52" s="610"/>
      <c r="J52" s="609"/>
      <c r="K52" s="609"/>
      <c r="L52" s="609"/>
      <c r="M52" s="609"/>
      <c r="N52" s="609"/>
      <c r="O52" s="609"/>
      <c r="P52" s="604"/>
    </row>
    <row r="53" spans="1:27">
      <c r="A53" s="606" t="s">
        <v>269</v>
      </c>
      <c r="B53" s="611">
        <f>IF(ISERROR(O37/(O37+N37)),0,O37/(O37+N37))</f>
        <v>0.58823529411764708</v>
      </c>
      <c r="C53" s="612">
        <f>IF(ISERROR(N37/(O37+N37)),0,N37/(N37+O37))</f>
        <v>0.41176470588235292</v>
      </c>
      <c r="D53" s="579"/>
      <c r="E53" s="579"/>
      <c r="F53" s="579"/>
      <c r="G53" s="579"/>
      <c r="H53" s="579"/>
      <c r="I53" s="613"/>
      <c r="J53" s="579"/>
      <c r="K53" s="579"/>
      <c r="L53" s="614"/>
      <c r="M53" s="614"/>
      <c r="N53" s="614"/>
      <c r="O53" s="614"/>
      <c r="P53" s="604"/>
    </row>
    <row r="54" spans="1:27">
      <c r="A54" s="606"/>
      <c r="B54" s="615"/>
      <c r="C54" s="615"/>
      <c r="D54" s="615"/>
      <c r="E54" s="615"/>
      <c r="F54" s="615"/>
      <c r="G54" s="615"/>
      <c r="H54" s="615"/>
      <c r="I54" s="616"/>
      <c r="J54" s="615"/>
      <c r="K54" s="615"/>
      <c r="L54" s="617"/>
      <c r="M54" s="617"/>
      <c r="N54" s="617"/>
      <c r="O54" s="617"/>
      <c r="P54" s="604"/>
    </row>
    <row r="55" spans="1:27" ht="30">
      <c r="A55" s="618"/>
      <c r="B55" s="619" t="s">
        <v>530</v>
      </c>
      <c r="C55" s="619" t="s">
        <v>96</v>
      </c>
      <c r="D55" s="619" t="s">
        <v>97</v>
      </c>
      <c r="E55" s="619" t="s">
        <v>98</v>
      </c>
      <c r="F55" s="619" t="s">
        <v>99</v>
      </c>
      <c r="G55" s="619" t="s">
        <v>100</v>
      </c>
      <c r="H55" s="619" t="s">
        <v>101</v>
      </c>
      <c r="I55" s="620" t="s">
        <v>102</v>
      </c>
      <c r="J55" s="609"/>
      <c r="K55" s="609"/>
      <c r="L55" s="617"/>
      <c r="M55" s="617"/>
      <c r="N55" s="617"/>
      <c r="O55" s="604"/>
      <c r="P55" s="604"/>
    </row>
    <row r="56" spans="1:27">
      <c r="A56" s="608" t="s">
        <v>274</v>
      </c>
      <c r="B56" s="621">
        <f t="shared" ref="B56:I56" si="2">$C$53*P37</f>
        <v>125332.94117647059</v>
      </c>
      <c r="C56" s="621">
        <f t="shared" si="2"/>
        <v>0</v>
      </c>
      <c r="D56" s="621">
        <f t="shared" si="2"/>
        <v>0</v>
      </c>
      <c r="E56" s="621">
        <f t="shared" si="2"/>
        <v>0</v>
      </c>
      <c r="F56" s="621">
        <f t="shared" si="2"/>
        <v>0</v>
      </c>
      <c r="G56" s="621">
        <f t="shared" si="2"/>
        <v>0</v>
      </c>
      <c r="H56" s="621">
        <f t="shared" si="2"/>
        <v>0</v>
      </c>
      <c r="I56" s="622">
        <f t="shared" si="2"/>
        <v>0</v>
      </c>
      <c r="J56" s="579"/>
      <c r="K56" s="579"/>
      <c r="L56" s="617"/>
      <c r="M56" s="617"/>
      <c r="N56" s="617"/>
      <c r="O56" s="604"/>
      <c r="P56" s="604"/>
    </row>
    <row r="57" spans="1:27" ht="15.75" thickBot="1">
      <c r="A57" s="623" t="s">
        <v>275</v>
      </c>
      <c r="B57" s="624">
        <f t="shared" ref="B57:I57" si="3">$B$53*P37</f>
        <v>179047.05882352943</v>
      </c>
      <c r="C57" s="624">
        <f t="shared" si="3"/>
        <v>0</v>
      </c>
      <c r="D57" s="624">
        <f t="shared" si="3"/>
        <v>0</v>
      </c>
      <c r="E57" s="624">
        <f t="shared" si="3"/>
        <v>0</v>
      </c>
      <c r="F57" s="624">
        <f t="shared" si="3"/>
        <v>0</v>
      </c>
      <c r="G57" s="624">
        <f t="shared" si="3"/>
        <v>0</v>
      </c>
      <c r="H57" s="624">
        <f t="shared" si="3"/>
        <v>0</v>
      </c>
      <c r="I57" s="625">
        <f t="shared" si="3"/>
        <v>0</v>
      </c>
      <c r="J57" s="579"/>
      <c r="K57" s="579"/>
      <c r="L57" s="617"/>
      <c r="M57" s="617"/>
      <c r="N57" s="617"/>
      <c r="O57" s="604"/>
      <c r="P57" s="604"/>
    </row>
    <row r="58" spans="1:27">
      <c r="J58" s="564"/>
      <c r="K58" s="564"/>
      <c r="L58" s="564"/>
      <c r="M58" s="564"/>
      <c r="N58" s="564"/>
    </row>
    <row r="59" spans="1:27">
      <c r="J59" s="564"/>
      <c r="K59" s="564"/>
      <c r="L59" s="564"/>
      <c r="M59" s="564"/>
      <c r="N59"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2021-11-11T13:17:51Z</dcterms:modified>
</cp:coreProperties>
</file>