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0C1CD43A-C196-4EBB-81B5-E345E8315B88}"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F48" i="18"/>
  <c r="N6" i="17"/>
  <c r="L6" i="17"/>
  <c r="F6" i="17"/>
  <c r="D6" i="17"/>
  <c r="C6" i="17"/>
  <c r="N16" i="16"/>
  <c r="L16" i="16"/>
  <c r="F16" i="16"/>
  <c r="D16" i="16"/>
  <c r="C16" i="16"/>
  <c r="B16" i="16"/>
  <c r="B13" i="15"/>
  <c r="E48" i="18" l="1"/>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L56" i="14" s="1"/>
  <c r="J54" i="14"/>
  <c r="I54" i="14"/>
  <c r="H54" i="14"/>
  <c r="H56" i="14" s="1"/>
  <c r="Q24" i="14"/>
  <c r="Q26" i="14" s="1"/>
  <c r="P24" i="14"/>
  <c r="N24" i="14"/>
  <c r="L24" i="14"/>
  <c r="J24" i="14"/>
  <c r="J26" i="14" s="1"/>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J56" i="14"/>
  <c r="I56" i="14"/>
  <c r="R44" i="14"/>
  <c r="N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<sst xmlns="http://schemas.openxmlformats.org/spreadsheetml/2006/main" count="2558" uniqueCount="962">
  <si>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</si>
  <si>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</si>
  <si>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</si>
  <si>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</si>
  <si>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</si>
  <si>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</si>
  <si>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</si>
  <si>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</si>
  <si>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</si>
  <si>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</si>
  <si>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</si>
  <si>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</si>
  <si>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</si>
  <si>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</si>
  <si>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</si>
  <si>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</si>
  <si>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</si>
  <si>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</si>
  <si>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</si>
  <si>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</si>
  <si>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</si>
  <si>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</si>
  <si>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</si>
  <si>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</si>
  <si>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</si>
  <si>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</si>
  <si>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</si>
  <si>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</si>
  <si>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</si>
  <si>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</si>
  <si>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</si>
  <si>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</si>
  <si>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</si>
  <si>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</si>
  <si>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</si>
  <si>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</si>
  <si>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</si>
  <si>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</si>
  <si>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</si>
  <si>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</si>
  <si>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</si>
  <si>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</si>
  <si>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</si>
  <si>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</si>
  <si>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</si>
  <si>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</si>
  <si>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</si>
  <si>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</si>
  <si>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</si>
  <si>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</si>
  <si>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</si>
  <si>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</si>
  <si>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</si>
  <si>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</si>
  <si>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</si>
  <si>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</si>
  <si>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</si>
  <si>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</si>
  <si>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</si>
  <si>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</si>
  <si>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</si>
  <si>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</si>
  <si>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</si>
  <si>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</si>
  <si>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</si>
  <si>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</si>
  <si>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</si>
  <si>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</si>
  <si>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</si>
  <si>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</si>
  <si>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</si>
  <si>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</si>
  <si>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</si>
  <si>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</si>
  <si>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</si>
  <si>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</si>
  <si>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</si>
  <si>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</si>
  <si>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</si>
  <si>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</si>
  <si>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</si>
  <si>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</si>
  <si>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</si>
  <si>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</si>
  <si>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</si>
  <si>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</si>
  <si>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</si>
  <si>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</si>
  <si>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</si>
  <si>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</si>
  <si>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</si>
  <si>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</si>
  <si>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</si>
  <si>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</si>
  <si>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</si>
  <si>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</si>
  <si>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</si>
  <si>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</si>
  <si>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</si>
  <si>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</si>
  <si>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</si>
  <si>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</si>
  <si>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</si>
  <si>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</si>
  <si>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</si>
  <si>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</si>
  <si>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</si>
  <si>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</si>
  <si>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</si>
  <si>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</si>
  <si>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</si>
  <si>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</si>
  <si>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</si>
  <si>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</si>
  <si>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</si>
  <si>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</si>
  <si>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</si>
  <si>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</si>
  <si>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</si>
  <si>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</si>
  <si>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</si>
  <si>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</si>
  <si>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</si>
  <si>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</si>
  <si>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</si>
  <si>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</si>
  <si>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</si>
  <si>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</si>
  <si>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</si>
  <si>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</si>
  <si>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</si>
  <si>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</si>
  <si>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</si>
  <si>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</si>
  <si>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</si>
  <si>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</si>
  <si>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</si>
  <si>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</si>
  <si>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</si>
  <si>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</si>
  <si>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</si>
  <si>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</si>
  <si>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</si>
  <si>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</si>
  <si>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</si>
  <si>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</si>
  <si>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</si>
  <si>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</si>
  <si>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</si>
  <si>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</si>
  <si>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</si>
  <si>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</si>
  <si>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</si>
  <si>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</si>
  <si>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</si>
  <si>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</si>
  <si>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</si>
  <si>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</si>
  <si>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</si>
  <si>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</si>
  <si>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</si>
  <si>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</si>
  <si>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</si>
  <si>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</si>
  <si>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</si>
  <si>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</si>
  <si>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</si>
  <si>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</si>
  <si>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</si>
  <si>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</si>
  <si>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</si>
  <si>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</si>
  <si>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</si>
  <si>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</si>
  <si>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</si>
  <si>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</si>
  <si>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</si>
  <si>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</si>
  <si>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</si>
  <si>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</si>
  <si>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</si>
  <si>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</si>
  <si>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</si>
  <si>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</si>
  <si>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</si>
  <si>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</si>
  <si>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</si>
  <si>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</si>
  <si>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</si>
  <si>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</si>
  <si>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</si>
  <si>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</si>
  <si>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</si>
  <si>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</si>
  <si>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</si>
  <si>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</si>
  <si>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</si>
  <si>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</si>
  <si>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</si>
  <si>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</si>
  <si>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</si>
  <si>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</si>
  <si>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</si>
  <si>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</si>
  <si>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</si>
  <si>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</si>
  <si>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</si>
  <si>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</si>
  <si>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</si>
  <si>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</si>
  <si>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</si>
  <si>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</si>
  <si>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</si>
  <si>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</si>
  <si>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</si>
  <si>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</si>
  <si>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</si>
  <si>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</si>
  <si>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</si>
  <si>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</si>
  <si>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</si>
  <si>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</si>
  <si>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</si>
  <si>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</si>
  <si>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</si>
  <si>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</si>
  <si>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</si>
  <si>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</si>
  <si>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</si>
  <si>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</si>
  <si>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</si>
  <si>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</si>
  <si>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</si>
  <si>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</si>
  <si>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</si>
  <si>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</si>
  <si>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</si>
  <si>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</si>
  <si>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</si>
  <si>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</si>
  <si>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</si>
  <si>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</si>
  <si>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</si>
  <si>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</si>
  <si>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</si>
  <si>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</si>
  <si>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</si>
  <si>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</si>
  <si>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</si>
  <si>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</si>
  <si>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</si>
  <si>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</si>
  <si>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</si>
  <si>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</si>
  <si>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</si>
  <si>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</si>
  <si>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</si>
  <si>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</si>
  <si>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</si>
  <si>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</si>
  <si>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</si>
  <si>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</si>
  <si>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</si>
  <si>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</si>
  <si>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</si>
  <si>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</si>
  <si>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</si>
  <si>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</si>
  <si>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</si>
  <si>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</si>
  <si>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</si>
  <si>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</si>
  <si>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</si>
  <si>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</si>
  <si>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</si>
  <si>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</si>
  <si>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</si>
  <si>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</si>
  <si>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</si>
  <si>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</si>
  <si>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</si>
  <si>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</si>
  <si>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</si>
  <si>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</si>
  <si>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</si>
  <si>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</si>
  <si>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</si>
  <si>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</si>
  <si>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</si>
  <si>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</si>
  <si>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</si>
  <si>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</si>
  <si>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</si>
  <si>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</si>
  <si>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</si>
  <si>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</si>
  <si>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</si>
  <si>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</si>
  <si>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</si>
  <si>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</si>
  <si>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</si>
  <si>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</si>
  <si>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</si>
  <si>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</si>
  <si>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</si>
  <si>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</si>
  <si>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</si>
  <si>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</si>
  <si>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</si>
  <si>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</si>
  <si>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</si>
  <si>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</si>
  <si>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</si>
  <si>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</si>
  <si>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</si>
  <si>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</si>
  <si>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</si>
  <si>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</si>
  <si>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</si>
  <si>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</si>
  <si>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</si>
  <si>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</si>
  <si>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</si>
  <si>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</si>
  <si>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</si>
  <si>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</si>
  <si>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</si>
  <si>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</si>
  <si>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</si>
  <si>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</si>
  <si>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</si>
  <si>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</si>
  <si>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</si>
  <si>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</si>
  <si>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</si>
  <si>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</si>
  <si>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</si>
  <si>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</si>
  <si>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</si>
  <si>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</si>
  <si>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</si>
  <si>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</si>
  <si>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</si>
  <si>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</si>
  <si>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</si>
  <si>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</si>
  <si>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</si>
  <si>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</si>
  <si>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</si>
  <si>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</si>
  <si>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</si>
  <si>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</si>
  <si>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</si>
  <si>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</si>
  <si>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</si>
  <si>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</si>
  <si>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</si>
  <si>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</si>
  <si>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</si>
  <si>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</si>
  <si>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</si>
  <si>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</si>
  <si>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</si>
  <si>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</si>
  <si>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</si>
  <si>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</si>
  <si>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</si>
  <si>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</si>
  <si>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</si>
  <si>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</si>
  <si>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</si>
  <si>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</si>
  <si>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</si>
  <si>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</si>
  <si>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</si>
  <si>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</si>
  <si>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</si>
  <si>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</si>
  <si>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</si>
  <si>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</si>
  <si>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</si>
  <si>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</si>
  <si>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</si>
  <si>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</si>
  <si>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</si>
  <si>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</si>
  <si>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</si>
  <si>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</si>
  <si>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</si>
  <si>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</si>
  <si>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</si>
  <si>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</si>
  <si>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</si>
  <si>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</si>
  <si>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</si>
  <si>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</si>
  <si>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</si>
  <si>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</si>
  <si>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</si>
  <si>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</si>
  <si>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</si>
  <si>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</si>
  <si>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</si>
  <si>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</si>
  <si>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</si>
  <si>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</si>
  <si>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</si>
  <si>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</si>
  <si>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</si>
  <si>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</si>
  <si>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</si>
  <si>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</si>
  <si>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</si>
  <si>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</si>
  <si>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</si>
  <si>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</si>
  <si>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</si>
  <si>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</si>
  <si>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</si>
  <si>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</si>
  <si>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</si>
  <si>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</si>
  <si>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</si>
  <si>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</si>
  <si>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</si>
  <si>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</si>
  <si>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</si>
  <si>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</si>
  <si>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</si>
  <si>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</si>
  <si>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</si>
  <si>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</si>
  <si>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</si>
  <si>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</si>
  <si>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</si>
  <si>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</si>
  <si>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</si>
  <si>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</si>
  <si>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</si>
  <si>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</si>
  <si>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</si>
  <si>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</si>
  <si>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</si>
  <si>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</si>
  <si>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</si>
  <si>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</si>
  <si>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</si>
  <si>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</si>
  <si>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</si>
  <si>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</si>
  <si>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</si>
  <si>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</si>
  <si>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</si>
  <si>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</si>
  <si>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</si>
  <si>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</si>
  <si>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</si>
  <si>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</si>
  <si>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</si>
  <si>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</si>
  <si>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</si>
  <si>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</si>
  <si>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</si>
  <si>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</si>
  <si>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</si>
  <si>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</si>
  <si>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</si>
  <si>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</si>
  <si>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</si>
  <si>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</si>
  <si>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</si>
  <si>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</si>
  <si>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</si>
  <si>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</si>
  <si>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</si>
  <si>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</si>
  <si>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</si>
  <si>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</si>
  <si>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</si>
  <si>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</si>
  <si>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</si>
  <si>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</si>
  <si>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</si>
  <si>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</si>
  <si>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</si>
  <si>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</si>
  <si>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</si>
  <si>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</si>
  <si>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</si>
  <si>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</si>
  <si>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</si>
  <si>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</si>
  <si>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</si>
  <si>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</si>
  <si>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</si>
  <si>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</si>
  <si>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</si>
  <si>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</si>
  <si>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</si>
  <si>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</si>
  <si>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</si>
  <si>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</si>
  <si>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</si>
  <si>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</si>
  <si>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</si>
  <si>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</si>
  <si>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</si>
  <si>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</si>
  <si>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</si>
  <si>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</si>
  <si>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</si>
  <si>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</si>
  <si>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</si>
  <si>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</si>
  <si>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</si>
  <si>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</si>
  <si>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</si>
  <si>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</si>
  <si>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</si>
  <si>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</si>
  <si>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</si>
  <si>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</si>
  <si>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</si>
  <si>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</si>
  <si>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</si>
  <si>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</si>
  <si>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</si>
  <si>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</si>
  <si>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</si>
  <si>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</si>
  <si>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</si>
  <si>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</si>
  <si>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</si>
  <si>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</si>
  <si>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</si>
  <si>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</si>
  <si>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</si>
  <si>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</si>
  <si>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</si>
  <si>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</si>
  <si>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</si>
  <si>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</si>
  <si>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</si>
  <si>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</si>
  <si>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</si>
  <si>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</si>
  <si>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</si>
  <si>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</si>
  <si>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</si>
  <si>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</si>
  <si>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</si>
  <si>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</si>
  <si>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</si>
  <si>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</si>
  <si>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</si>
  <si>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</si>
  <si>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</si>
  <si>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</si>
  <si>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</si>
  <si>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</si>
  <si>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</si>
  <si>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</si>
  <si>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</si>
  <si>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</si>
  <si>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</si>
  <si>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</si>
  <si>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</si>
  <si>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</si>
  <si>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</si>
  <si>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</si>
  <si>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</si>
  <si>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</si>
  <si>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</si>
  <si>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</si>
  <si>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</si>
  <si>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</si>
  <si>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</si>
  <si>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</si>
  <si>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</si>
  <si>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</si>
  <si>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</si>
  <si>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</si>
  <si>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</si>
  <si>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</si>
  <si>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</si>
  <si>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</si>
  <si>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</si>
  <si>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</si>
  <si>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</si>
  <si>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</si>
  <si>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</si>
  <si>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</si>
  <si>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</si>
  <si>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</si>
  <si>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</si>
  <si>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</si>
  <si>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</si>
  <si>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</si>
  <si>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</si>
  <si>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</si>
  <si>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</si>
  <si>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</si>
  <si>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</si>
  <si>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</si>
  <si>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</si>
  <si>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</si>
  <si>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</si>
  <si>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</si>
  <si>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</si>
  <si>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</si>
  <si>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</si>
  <si>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</si>
  <si>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</si>
  <si>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</si>
  <si>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</si>
  <si>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</si>
  <si>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</si>
  <si>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</si>
  <si>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</si>
  <si>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</si>
  <si>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</si>
  <si>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</si>
  <si>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</si>
  <si>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</si>
  <si>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</si>
  <si>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</si>
  <si>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</si>
  <si>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</si>
  <si>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</si>
  <si>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</si>
  <si>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</si>
  <si>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</si>
  <si>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</si>
  <si>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</si>
  <si>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</si>
  <si>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</si>
  <si>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</si>
  <si>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</si>
  <si>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</si>
  <si>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</si>
  <si>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</si>
  <si>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</si>
  <si>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</si>
  <si>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</si>
  <si>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</si>
  <si>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</si>
  <si>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</si>
  <si>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</si>
  <si>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</si>
  <si>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</si>
  <si>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</si>
  <si>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</si>
  <si>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</si>
  <si>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</si>
  <si>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</si>
  <si>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</si>
  <si>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</si>
  <si>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</si>
  <si>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</si>
  <si>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</si>
  <si>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</si>
  <si>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</si>
  <si>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</si>
  <si>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</si>
  <si>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</si>
  <si>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</si>
  <si>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</si>
  <si>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</si>
  <si>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</si>
  <si>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</si>
  <si>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</si>
  <si>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</si>
  <si>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</si>
  <si>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</si>
  <si>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</si>
  <si>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</si>
  <si>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</si>
  <si>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</si>
  <si>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</si>
  <si>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</si>
  <si>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</si>
  <si>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</si>
  <si>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</si>
  <si>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</si>
  <si>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</si>
  <si>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</si>
  <si>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</si>
  <si>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</si>
  <si>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</si>
  <si>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</si>
  <si>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</si>
  <si>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</si>
  <si>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</si>
  <si>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</si>
  <si>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</si>
  <si>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</si>
  <si>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</si>
  <si>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</si>
  <si>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</si>
  <si>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</si>
  <si>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</si>
  <si>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</si>
  <si>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</si>
  <si>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</si>
  <si>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</si>
  <si>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</si>
  <si>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</si>
  <si>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</si>
  <si>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</si>
  <si>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</si>
  <si>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</si>
  <si>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</si>
  <si>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</si>
  <si>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</si>
  <si>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</si>
  <si>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</si>
  <si>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</si>
  <si>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</si>
  <si>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</si>
  <si>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</si>
  <si>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</si>
  <si>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</si>
  <si>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</si>
  <si>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</si>
  <si>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</si>
  <si>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</si>
  <si>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</si>
  <si>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</si>
  <si>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</si>
  <si>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</si>
  <si>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</si>
  <si>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</si>
  <si>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</si>
  <si>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</si>
  <si>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</si>
  <si>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</si>
  <si>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</si>
  <si>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</si>
  <si>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</si>
  <si>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</si>
  <si>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</si>
  <si>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</si>
  <si>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</si>
  <si>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</si>
  <si>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</si>
  <si>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</si>
  <si>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</si>
  <si>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</si>
  <si>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</si>
  <si>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</si>
  <si>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</si>
  <si>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</si>
  <si>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</si>
  <si>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</si>
  <si>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</si>
  <si>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</si>
  <si>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</si>
  <si>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</si>
  <si>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</si>
  <si>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</si>
  <si>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</si>
  <si>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</si>
  <si>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</si>
  <si>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</si>
  <si>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</si>
  <si>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</si>
  <si>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</si>
  <si>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</si>
  <si>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</si>
  <si>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</si>
  <si>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</si>
  <si>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</si>
  <si>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</si>
  <si>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</si>
  <si>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</si>
  <si>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</si>
  <si>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</si>
  <si>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</si>
  <si>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</si>
  <si>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</si>
  <si>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</si>
  <si>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</si>
  <si>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</si>
  <si>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</si>
  <si>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</si>
  <si>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</si>
  <si>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</si>
  <si>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</si>
  <si>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</si>
  <si>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</si>
  <si>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</si>
  <si>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</si>
  <si>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</si>
  <si>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</si>
  <si>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</si>
  <si>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</si>
  <si>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</si>
  <si>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</si>
  <si>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</si>
  <si>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</si>
  <si>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</si>
  <si>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</si>
  <si>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</si>
  <si>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</si>
  <si>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</si>
  <si>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</si>
  <si>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</si>
  <si>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</si>
  <si>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</si>
  <si>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</si>
  <si>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</si>
  <si>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</si>
  <si>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</si>
  <si>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</si>
  <si>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</si>
  <si>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</si>
  <si>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</si>
  <si>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</si>
  <si>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</si>
  <si>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</si>
  <si>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</si>
  <si>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</si>
  <si>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</si>
  <si>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</si>
  <si>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</si>
  <si>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</si>
  <si>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</si>
  <si>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</si>
  <si>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</si>
  <si>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</si>
  <si>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</si>
  <si>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</si>
  <si>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</si>
  <si>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</si>
  <si>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</si>
  <si>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</si>
  <si>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</si>
  <si>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</si>
  <si>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</si>
  <si>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</si>
  <si>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</si>
  <si>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</si>
  <si>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</si>
  <si>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</si>
  <si>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</si>
  <si>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</si>
  <si>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</si>
  <si>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</si>
  <si>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</si>
  <si>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</si>
  <si>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</si>
  <si>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</si>
  <si>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</si>
  <si>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</si>
  <si>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</si>
  <si>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</si>
  <si>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</si>
  <si>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</si>
  <si>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</si>
  <si>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</si>
  <si>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</si>
  <si>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</si>
  <si>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</si>
  <si>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</si>
  <si>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</si>
  <si>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</si>
  <si>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</si>
  <si>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</si>
  <si>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</si>
  <si>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</si>
  <si>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</si>
  <si>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</si>
  <si>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</si>
  <si>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</si>
  <si>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</si>
  <si>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</si>
  <si>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</si>
  <si>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</si>
  <si>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</si>
  <si>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</si>
  <si>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</si>
  <si>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</si>
  <si>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</si>
  <si>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</si>
  <si>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</si>
  <si>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</si>
  <si>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</si>
  <si>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</si>
  <si>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</si>
  <si>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</si>
  <si>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</si>
  <si>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</si>
  <si>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</si>
  <si>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</si>
  <si>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</si>
  <si>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</si>
  <si>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</si>
  <si>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</si>
  <si>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</si>
  <si>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</si>
  <si>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</si>
  <si>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</si>
  <si>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</si>
  <si>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</si>
  <si>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</si>
  <si>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</si>
  <si>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</si>
  <si>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</si>
  <si>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</si>
  <si>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</si>
  <si>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</si>
  <si>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</si>
  <si>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</si>
  <si>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</si>
  <si>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</si>
  <si>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</si>
  <si>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</si>
  <si>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</si>
  <si>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</si>
  <si>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</si>
  <si>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</si>
  <si>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</si>
  <si>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</si>
  <si>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</si>
  <si>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</si>
  <si>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</si>
  <si>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</si>
  <si>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</si>
  <si>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</si>
  <si>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</si>
  <si>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</si>
  <si>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</si>
  <si>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</si>
  <si>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</si>
  <si>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</si>
  <si>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</si>
  <si>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</si>
  <si>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</si>
  <si>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</si>
  <si>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</si>
  <si>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</si>
  <si>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</si>
  <si>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</si>
  <si>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</si>
  <si>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</si>
  <si>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</si>
  <si>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</si>
  <si>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</si>
  <si>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</si>
  <si>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</si>
  <si>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</si>
  <si>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</si>
  <si>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</si>
  <si>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73006</t>
  </si>
  <si>
    <t>BILZEN</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</si>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</sst>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D27FA1A4-DFB7-4F41-89B3-B20E1511FB10}"/>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73006</v>
      </c>
      <c r="B6" s="384"/>
      <c r="C6" s="385"/>
    </row>
    <row r="7" spans="1:7" s="382" customFormat="1" ht="15.75" customHeight="1">
      <c r="A7" s="386" t="str">
        <f>txtMunicipality</f>
        <v>BILZEN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34416.642</v>
      </c>
      <c r="D10" s="674">
        <f ca="1">tertiair!C16</f>
        <v>0</v>
      </c>
      <c r="E10" s="674">
        <f ca="1">tertiair!D16</f>
        <v>26717.042462000005</v>
      </c>
      <c r="F10" s="674">
        <f>tertiair!E16</f>
        <v>299.62386979770304</v>
      </c>
      <c r="G10" s="674">
        <f ca="1">tertiair!F16</f>
        <v>7432.8665360662189</v>
      </c>
      <c r="H10" s="674">
        <f>tertiair!G16</f>
        <v>0</v>
      </c>
      <c r="I10" s="674">
        <f>tertiair!H16</f>
        <v>0</v>
      </c>
      <c r="J10" s="674">
        <f>tertiair!I16</f>
        <v>0</v>
      </c>
      <c r="K10" s="674">
        <f>tertiair!J16</f>
        <v>0</v>
      </c>
      <c r="L10" s="674">
        <f>tertiair!K16</f>
        <v>0</v>
      </c>
      <c r="M10" s="674">
        <f ca="1">tertiair!L16</f>
        <v>0</v>
      </c>
      <c r="N10" s="674">
        <f>tertiair!M16</f>
        <v>0</v>
      </c>
      <c r="O10" s="674">
        <f ca="1">tertiair!N16</f>
        <v>4148.6665681843579</v>
      </c>
      <c r="P10" s="674">
        <f>tertiair!O16</f>
        <v>1.5633333333333335</v>
      </c>
      <c r="Q10" s="675">
        <f>tertiair!P16</f>
        <v>0</v>
      </c>
      <c r="R10" s="677">
        <f ca="1">SUM(C10:Q10)</f>
        <v>73016.404769381625</v>
      </c>
      <c r="S10" s="68"/>
    </row>
    <row r="11" spans="1:19" s="443" customFormat="1">
      <c r="A11" s="789" t="s">
        <v>214</v>
      </c>
      <c r="B11" s="794"/>
      <c r="C11" s="674">
        <f>huishoudens!B8</f>
        <v>55991.393636525565</v>
      </c>
      <c r="D11" s="674">
        <f>huishoudens!C8</f>
        <v>0</v>
      </c>
      <c r="E11" s="674">
        <f>huishoudens!D8</f>
        <v>77633.960183999996</v>
      </c>
      <c r="F11" s="674">
        <f>huishoudens!E8</f>
        <v>3904.3685532658878</v>
      </c>
      <c r="G11" s="674">
        <f>huishoudens!F8</f>
        <v>119032.8616520139</v>
      </c>
      <c r="H11" s="674">
        <f>huishoudens!G8</f>
        <v>0</v>
      </c>
      <c r="I11" s="674">
        <f>huishoudens!H8</f>
        <v>0</v>
      </c>
      <c r="J11" s="674">
        <f>huishoudens!I8</f>
        <v>0</v>
      </c>
      <c r="K11" s="674">
        <f>huishoudens!J8</f>
        <v>2159.8097981710457</v>
      </c>
      <c r="L11" s="674">
        <f>huishoudens!K8</f>
        <v>0</v>
      </c>
      <c r="M11" s="674">
        <f>huishoudens!L8</f>
        <v>0</v>
      </c>
      <c r="N11" s="674">
        <f>huishoudens!M8</f>
        <v>0</v>
      </c>
      <c r="O11" s="674">
        <f>huishoudens!N8</f>
        <v>19088.491037540571</v>
      </c>
      <c r="P11" s="674">
        <f>huishoudens!O8</f>
        <v>211.05</v>
      </c>
      <c r="Q11" s="675">
        <f>huishoudens!P8</f>
        <v>648.26666666666665</v>
      </c>
      <c r="R11" s="677">
        <f>SUM(C11:Q11)</f>
        <v>278670.20152818365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20197.983</v>
      </c>
      <c r="D13" s="674">
        <f>industrie!C18</f>
        <v>6621.4285714285716</v>
      </c>
      <c r="E13" s="674">
        <f>industrie!D18</f>
        <v>94405.334343142866</v>
      </c>
      <c r="F13" s="674">
        <f>industrie!E18</f>
        <v>174.20079960207116</v>
      </c>
      <c r="G13" s="674">
        <f>industrie!F18</f>
        <v>8878.441130932415</v>
      </c>
      <c r="H13" s="674">
        <f>industrie!G18</f>
        <v>0</v>
      </c>
      <c r="I13" s="674">
        <f>industrie!H18</f>
        <v>0</v>
      </c>
      <c r="J13" s="674">
        <f>industrie!I18</f>
        <v>0</v>
      </c>
      <c r="K13" s="674">
        <f>industrie!J18</f>
        <v>43.36992967930221</v>
      </c>
      <c r="L13" s="674">
        <f>industrie!K18</f>
        <v>0</v>
      </c>
      <c r="M13" s="674">
        <f>industrie!L18</f>
        <v>0</v>
      </c>
      <c r="N13" s="674">
        <f>industrie!M18</f>
        <v>0</v>
      </c>
      <c r="O13" s="674">
        <f>industrie!N18</f>
        <v>792.71068514700096</v>
      </c>
      <c r="P13" s="674">
        <f>industrie!O18</f>
        <v>0</v>
      </c>
      <c r="Q13" s="675">
        <f>industrie!P18</f>
        <v>0</v>
      </c>
      <c r="R13" s="677">
        <f>SUM(C13:Q13)</f>
        <v>131113.46845993222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110606.01863652558</v>
      </c>
      <c r="D16" s="707">
        <f t="shared" ref="D16:R16" ca="1" si="0">SUM(D9:D15)</f>
        <v>6621.4285714285716</v>
      </c>
      <c r="E16" s="707">
        <f t="shared" ca="1" si="0"/>
        <v>198756.33698914287</v>
      </c>
      <c r="F16" s="707">
        <f t="shared" si="0"/>
        <v>4378.1932226656618</v>
      </c>
      <c r="G16" s="707">
        <f t="shared" ca="1" si="0"/>
        <v>135344.16931901252</v>
      </c>
      <c r="H16" s="707">
        <f t="shared" si="0"/>
        <v>0</v>
      </c>
      <c r="I16" s="707">
        <f t="shared" si="0"/>
        <v>0</v>
      </c>
      <c r="J16" s="707">
        <f t="shared" si="0"/>
        <v>0</v>
      </c>
      <c r="K16" s="707">
        <f t="shared" si="0"/>
        <v>2203.1797278503477</v>
      </c>
      <c r="L16" s="707">
        <f t="shared" si="0"/>
        <v>0</v>
      </c>
      <c r="M16" s="707">
        <f t="shared" ca="1" si="0"/>
        <v>0</v>
      </c>
      <c r="N16" s="707">
        <f t="shared" si="0"/>
        <v>0</v>
      </c>
      <c r="O16" s="707">
        <f t="shared" ca="1" si="0"/>
        <v>24029.868290871931</v>
      </c>
      <c r="P16" s="707">
        <f t="shared" si="0"/>
        <v>212.61333333333334</v>
      </c>
      <c r="Q16" s="707">
        <f t="shared" si="0"/>
        <v>648.26666666666665</v>
      </c>
      <c r="R16" s="707">
        <f t="shared" ca="1" si="0"/>
        <v>482800.07475749752</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14.99363349125486</v>
      </c>
      <c r="D19" s="674">
        <f>transport!C54</f>
        <v>0</v>
      </c>
      <c r="E19" s="674">
        <f>transport!D54</f>
        <v>0</v>
      </c>
      <c r="F19" s="674">
        <f>transport!E54</f>
        <v>0</v>
      </c>
      <c r="G19" s="674">
        <f>transport!F54</f>
        <v>0</v>
      </c>
      <c r="H19" s="674">
        <f>transport!G54</f>
        <v>2990.5097607590124</v>
      </c>
      <c r="I19" s="674">
        <f>transport!H54</f>
        <v>0</v>
      </c>
      <c r="J19" s="674">
        <f>transport!I54</f>
        <v>0</v>
      </c>
      <c r="K19" s="674">
        <f>transport!J54</f>
        <v>0</v>
      </c>
      <c r="L19" s="674">
        <f>transport!K54</f>
        <v>0</v>
      </c>
      <c r="M19" s="674">
        <f>transport!L54</f>
        <v>0</v>
      </c>
      <c r="N19" s="674">
        <f>transport!M54</f>
        <v>132.17734635386361</v>
      </c>
      <c r="O19" s="674">
        <f>transport!N54</f>
        <v>0</v>
      </c>
      <c r="P19" s="674">
        <f>transport!O54</f>
        <v>0</v>
      </c>
      <c r="Q19" s="675">
        <f>transport!P54</f>
        <v>0</v>
      </c>
      <c r="R19" s="677">
        <f>SUM(C19:Q19)</f>
        <v>3137.6807406041307</v>
      </c>
      <c r="S19" s="68"/>
    </row>
    <row r="20" spans="1:19" s="443" customFormat="1">
      <c r="A20" s="789" t="s">
        <v>296</v>
      </c>
      <c r="B20" s="794"/>
      <c r="C20" s="674">
        <f>transport!B14</f>
        <v>8.4413346845419959</v>
      </c>
      <c r="D20" s="674">
        <f>transport!C14</f>
        <v>0</v>
      </c>
      <c r="E20" s="674">
        <f>transport!D14</f>
        <v>10.670752013104609</v>
      </c>
      <c r="F20" s="674">
        <f>transport!E14</f>
        <v>713.69217069633703</v>
      </c>
      <c r="G20" s="674">
        <f>transport!F14</f>
        <v>0</v>
      </c>
      <c r="H20" s="674">
        <f>transport!G14</f>
        <v>153454.97780510326</v>
      </c>
      <c r="I20" s="674">
        <f>transport!H14</f>
        <v>25942.052517166652</v>
      </c>
      <c r="J20" s="674">
        <f>transport!I14</f>
        <v>0</v>
      </c>
      <c r="K20" s="674">
        <f>transport!J14</f>
        <v>0</v>
      </c>
      <c r="L20" s="674">
        <f>transport!K14</f>
        <v>0</v>
      </c>
      <c r="M20" s="674">
        <f>transport!L14</f>
        <v>0</v>
      </c>
      <c r="N20" s="674">
        <f>transport!M14</f>
        <v>8016.3671679512308</v>
      </c>
      <c r="O20" s="674">
        <f>transport!N14</f>
        <v>0</v>
      </c>
      <c r="P20" s="674">
        <f>transport!O14</f>
        <v>0</v>
      </c>
      <c r="Q20" s="675">
        <f>transport!P14</f>
        <v>0</v>
      </c>
      <c r="R20" s="677">
        <f>SUM(C20:Q20)</f>
        <v>188146.20174761512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23.434968175796854</v>
      </c>
      <c r="D22" s="792">
        <f t="shared" ref="D22:R22" si="1">SUM(D18:D21)</f>
        <v>0</v>
      </c>
      <c r="E22" s="792">
        <f t="shared" si="1"/>
        <v>10.670752013104609</v>
      </c>
      <c r="F22" s="792">
        <f t="shared" si="1"/>
        <v>713.69217069633703</v>
      </c>
      <c r="G22" s="792">
        <f t="shared" si="1"/>
        <v>0</v>
      </c>
      <c r="H22" s="792">
        <f t="shared" si="1"/>
        <v>156445.48756586228</v>
      </c>
      <c r="I22" s="792">
        <f t="shared" si="1"/>
        <v>25942.052517166652</v>
      </c>
      <c r="J22" s="792">
        <f t="shared" si="1"/>
        <v>0</v>
      </c>
      <c r="K22" s="792">
        <f t="shared" si="1"/>
        <v>0</v>
      </c>
      <c r="L22" s="792">
        <f t="shared" si="1"/>
        <v>0</v>
      </c>
      <c r="M22" s="792">
        <f t="shared" si="1"/>
        <v>0</v>
      </c>
      <c r="N22" s="792">
        <f t="shared" si="1"/>
        <v>8148.5445143050947</v>
      </c>
      <c r="O22" s="792">
        <f t="shared" si="1"/>
        <v>0</v>
      </c>
      <c r="P22" s="792">
        <f t="shared" si="1"/>
        <v>0</v>
      </c>
      <c r="Q22" s="792">
        <f t="shared" si="1"/>
        <v>0</v>
      </c>
      <c r="R22" s="792">
        <f t="shared" si="1"/>
        <v>191283.88248821924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1591.0060000000001</v>
      </c>
      <c r="D24" s="674">
        <f>+landbouw!C8</f>
        <v>0</v>
      </c>
      <c r="E24" s="674">
        <f>+landbouw!D8</f>
        <v>1538.2446420000001</v>
      </c>
      <c r="F24" s="674">
        <f>+landbouw!E8</f>
        <v>14.988342528988399</v>
      </c>
      <c r="G24" s="674">
        <f>+landbouw!F8</f>
        <v>5191.9805865199696</v>
      </c>
      <c r="H24" s="674">
        <f>+landbouw!G8</f>
        <v>0</v>
      </c>
      <c r="I24" s="674">
        <f>+landbouw!H8</f>
        <v>0</v>
      </c>
      <c r="J24" s="674">
        <f>+landbouw!I8</f>
        <v>0</v>
      </c>
      <c r="K24" s="674">
        <f>+landbouw!J8</f>
        <v>196.81518085169751</v>
      </c>
      <c r="L24" s="674">
        <f>+landbouw!K8</f>
        <v>0</v>
      </c>
      <c r="M24" s="674">
        <f>+landbouw!L8</f>
        <v>0</v>
      </c>
      <c r="N24" s="674">
        <f>+landbouw!M8</f>
        <v>0</v>
      </c>
      <c r="O24" s="674">
        <f>+landbouw!N8</f>
        <v>0</v>
      </c>
      <c r="P24" s="674">
        <f>+landbouw!O8</f>
        <v>0</v>
      </c>
      <c r="Q24" s="675">
        <f>+landbouw!P8</f>
        <v>0</v>
      </c>
      <c r="R24" s="677">
        <f>SUM(C24:Q24)</f>
        <v>8533.0347519006555</v>
      </c>
      <c r="S24" s="68"/>
    </row>
    <row r="25" spans="1:19" s="443" customFormat="1" ht="15" thickBot="1">
      <c r="A25" s="811" t="s">
        <v>873</v>
      </c>
      <c r="B25" s="977"/>
      <c r="C25" s="978">
        <f>IF(Onbekend_ele_kWh="---",0,Onbekend_ele_kWh)/1000+IF(REST_rest_ele_kWh="---",0,REST_rest_ele_kWh)/1000</f>
        <v>1696.1389999999999</v>
      </c>
      <c r="D25" s="978"/>
      <c r="E25" s="978">
        <f>IF(onbekend_gas_kWh="---",0,onbekend_gas_kWh)/1000+IF(REST_rest_gas_kWh="---",0,REST_rest_gas_kWh)/1000</f>
        <v>7525.5529999999999</v>
      </c>
      <c r="F25" s="978"/>
      <c r="G25" s="978"/>
      <c r="H25" s="978"/>
      <c r="I25" s="978"/>
      <c r="J25" s="978"/>
      <c r="K25" s="978"/>
      <c r="L25" s="978"/>
      <c r="M25" s="978"/>
      <c r="N25" s="978"/>
      <c r="O25" s="978"/>
      <c r="P25" s="978"/>
      <c r="Q25" s="979"/>
      <c r="R25" s="677">
        <f>SUM(C25:Q25)</f>
        <v>9221.6919999999991</v>
      </c>
      <c r="S25" s="68"/>
    </row>
    <row r="26" spans="1:19" s="443" customFormat="1" ht="15.75" thickBot="1">
      <c r="A26" s="680" t="s">
        <v>874</v>
      </c>
      <c r="B26" s="797"/>
      <c r="C26" s="792">
        <f>SUM(C24:C25)</f>
        <v>3287.145</v>
      </c>
      <c r="D26" s="792">
        <f t="shared" ref="D26:R26" si="2">SUM(D24:D25)</f>
        <v>0</v>
      </c>
      <c r="E26" s="792">
        <f t="shared" si="2"/>
        <v>9063.7976419999995</v>
      </c>
      <c r="F26" s="792">
        <f t="shared" si="2"/>
        <v>14.988342528988399</v>
      </c>
      <c r="G26" s="792">
        <f t="shared" si="2"/>
        <v>5191.9805865199696</v>
      </c>
      <c r="H26" s="792">
        <f t="shared" si="2"/>
        <v>0</v>
      </c>
      <c r="I26" s="792">
        <f t="shared" si="2"/>
        <v>0</v>
      </c>
      <c r="J26" s="792">
        <f t="shared" si="2"/>
        <v>0</v>
      </c>
      <c r="K26" s="792">
        <f t="shared" si="2"/>
        <v>196.81518085169751</v>
      </c>
      <c r="L26" s="792">
        <f t="shared" si="2"/>
        <v>0</v>
      </c>
      <c r="M26" s="792">
        <f t="shared" si="2"/>
        <v>0</v>
      </c>
      <c r="N26" s="792">
        <f t="shared" si="2"/>
        <v>0</v>
      </c>
      <c r="O26" s="792">
        <f t="shared" si="2"/>
        <v>0</v>
      </c>
      <c r="P26" s="792">
        <f t="shared" si="2"/>
        <v>0</v>
      </c>
      <c r="Q26" s="792">
        <f t="shared" si="2"/>
        <v>0</v>
      </c>
      <c r="R26" s="792">
        <f t="shared" si="2"/>
        <v>17754.726751900656</v>
      </c>
      <c r="S26" s="68"/>
    </row>
    <row r="27" spans="1:19" s="443" customFormat="1" ht="17.25" thickTop="1" thickBot="1">
      <c r="A27" s="681" t="s">
        <v>109</v>
      </c>
      <c r="B27" s="784"/>
      <c r="C27" s="682">
        <f ca="1">C22+C16+C26</f>
        <v>113916.59860470139</v>
      </c>
      <c r="D27" s="682">
        <f t="shared" ref="D27:R27" ca="1" si="3">D22+D16+D26</f>
        <v>6621.4285714285716</v>
      </c>
      <c r="E27" s="682">
        <f t="shared" ca="1" si="3"/>
        <v>207830.80538315597</v>
      </c>
      <c r="F27" s="682">
        <f t="shared" si="3"/>
        <v>5106.8737358909866</v>
      </c>
      <c r="G27" s="682">
        <f t="shared" ca="1" si="3"/>
        <v>140536.14990553248</v>
      </c>
      <c r="H27" s="682">
        <f t="shared" si="3"/>
        <v>156445.48756586228</v>
      </c>
      <c r="I27" s="682">
        <f t="shared" si="3"/>
        <v>25942.052517166652</v>
      </c>
      <c r="J27" s="682">
        <f t="shared" si="3"/>
        <v>0</v>
      </c>
      <c r="K27" s="682">
        <f t="shared" si="3"/>
        <v>2399.994908702045</v>
      </c>
      <c r="L27" s="682">
        <f t="shared" si="3"/>
        <v>0</v>
      </c>
      <c r="M27" s="682">
        <f t="shared" ca="1" si="3"/>
        <v>0</v>
      </c>
      <c r="N27" s="682">
        <f t="shared" si="3"/>
        <v>8148.5445143050947</v>
      </c>
      <c r="O27" s="682">
        <f t="shared" ca="1" si="3"/>
        <v>24029.868290871931</v>
      </c>
      <c r="P27" s="682">
        <f t="shared" si="3"/>
        <v>212.61333333333334</v>
      </c>
      <c r="Q27" s="682">
        <f t="shared" si="3"/>
        <v>648.26666666666665</v>
      </c>
      <c r="R27" s="682">
        <f t="shared" ca="1" si="3"/>
        <v>691838.68399761745</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6812.9996104757984</v>
      </c>
      <c r="D40" s="674">
        <f ca="1">tertiair!C20</f>
        <v>0</v>
      </c>
      <c r="E40" s="674">
        <f ca="1">tertiair!D20</f>
        <v>5396.8425773240015</v>
      </c>
      <c r="F40" s="674">
        <f>tertiair!E20</f>
        <v>68.014618444078593</v>
      </c>
      <c r="G40" s="674">
        <f ca="1">tertiair!F20</f>
        <v>1984.5753651296807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14262.432171373559</v>
      </c>
    </row>
    <row r="41" spans="1:18">
      <c r="A41" s="802" t="s">
        <v>214</v>
      </c>
      <c r="B41" s="809"/>
      <c r="C41" s="674">
        <f ca="1">huishoudens!B12</f>
        <v>11083.862947339421</v>
      </c>
      <c r="D41" s="674">
        <f ca="1">huishoudens!C12</f>
        <v>0</v>
      </c>
      <c r="E41" s="674">
        <f>huishoudens!D12</f>
        <v>15682.059957168</v>
      </c>
      <c r="F41" s="674">
        <f>huishoudens!E12</f>
        <v>886.29166159135661</v>
      </c>
      <c r="G41" s="674">
        <f>huishoudens!F12</f>
        <v>31781.774061087715</v>
      </c>
      <c r="H41" s="674">
        <f>huishoudens!G12</f>
        <v>0</v>
      </c>
      <c r="I41" s="674">
        <f>huishoudens!H12</f>
        <v>0</v>
      </c>
      <c r="J41" s="674">
        <f>huishoudens!I12</f>
        <v>0</v>
      </c>
      <c r="K41" s="674">
        <f>huishoudens!J12</f>
        <v>764.57266855255011</v>
      </c>
      <c r="L41" s="674">
        <f>huishoudens!K12</f>
        <v>0</v>
      </c>
      <c r="M41" s="674">
        <f>huishoudens!L12</f>
        <v>0</v>
      </c>
      <c r="N41" s="674">
        <f>huishoudens!M12</f>
        <v>0</v>
      </c>
      <c r="O41" s="674">
        <f>huishoudens!N12</f>
        <v>0</v>
      </c>
      <c r="P41" s="674">
        <f>huishoudens!O12</f>
        <v>0</v>
      </c>
      <c r="Q41" s="749">
        <f>huishoudens!P12</f>
        <v>0</v>
      </c>
      <c r="R41" s="830">
        <f t="shared" ca="1" si="4"/>
        <v>60198.561295739048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3998.3229715262978</v>
      </c>
      <c r="D43" s="674">
        <f ca="1">industrie!C22</f>
        <v>1573.5630252100839</v>
      </c>
      <c r="E43" s="674">
        <f>industrie!D22</f>
        <v>19069.87753731486</v>
      </c>
      <c r="F43" s="674">
        <f>industrie!E22</f>
        <v>39.543581509670155</v>
      </c>
      <c r="G43" s="674">
        <f>industrie!F22</f>
        <v>2370.5437819589552</v>
      </c>
      <c r="H43" s="674">
        <f>industrie!G22</f>
        <v>0</v>
      </c>
      <c r="I43" s="674">
        <f>industrie!H22</f>
        <v>0</v>
      </c>
      <c r="J43" s="674">
        <f>industrie!I22</f>
        <v>0</v>
      </c>
      <c r="K43" s="674">
        <f>industrie!J22</f>
        <v>15.352955106472981</v>
      </c>
      <c r="L43" s="674">
        <f>industrie!K22</f>
        <v>0</v>
      </c>
      <c r="M43" s="674">
        <f>industrie!L22</f>
        <v>0</v>
      </c>
      <c r="N43" s="674">
        <f>industrie!M22</f>
        <v>0</v>
      </c>
      <c r="O43" s="674">
        <f>industrie!N22</f>
        <v>0</v>
      </c>
      <c r="P43" s="674">
        <f>industrie!O22</f>
        <v>0</v>
      </c>
      <c r="Q43" s="749">
        <f>industrie!P22</f>
        <v>0</v>
      </c>
      <c r="R43" s="829">
        <f t="shared" ca="1" si="4"/>
        <v>27067.203852626342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21895.185529341517</v>
      </c>
      <c r="D46" s="707">
        <f t="shared" ref="D46:Q46" ca="1" si="5">SUM(D39:D45)</f>
        <v>1573.5630252100839</v>
      </c>
      <c r="E46" s="707">
        <f t="shared" ca="1" si="5"/>
        <v>40148.780071806861</v>
      </c>
      <c r="F46" s="707">
        <f t="shared" si="5"/>
        <v>993.84986154510534</v>
      </c>
      <c r="G46" s="707">
        <f t="shared" ca="1" si="5"/>
        <v>36136.893208176356</v>
      </c>
      <c r="H46" s="707">
        <f t="shared" si="5"/>
        <v>0</v>
      </c>
      <c r="I46" s="707">
        <f t="shared" si="5"/>
        <v>0</v>
      </c>
      <c r="J46" s="707">
        <f t="shared" si="5"/>
        <v>0</v>
      </c>
      <c r="K46" s="707">
        <f t="shared" si="5"/>
        <v>779.92562365902313</v>
      </c>
      <c r="L46" s="707">
        <f t="shared" si="5"/>
        <v>0</v>
      </c>
      <c r="M46" s="707">
        <f t="shared" ca="1" si="5"/>
        <v>0</v>
      </c>
      <c r="N46" s="707">
        <f t="shared" si="5"/>
        <v>0</v>
      </c>
      <c r="O46" s="707">
        <f t="shared" ca="1" si="5"/>
        <v>0</v>
      </c>
      <c r="P46" s="707">
        <f t="shared" si="5"/>
        <v>0</v>
      </c>
      <c r="Q46" s="707">
        <f t="shared" si="5"/>
        <v>0</v>
      </c>
      <c r="R46" s="707">
        <f ca="1">SUM(R39:R45)</f>
        <v>101528.19731973895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2.9680879132698719</v>
      </c>
      <c r="D49" s="674">
        <f ca="1">transport!C58</f>
        <v>0</v>
      </c>
      <c r="E49" s="674">
        <f>transport!D58</f>
        <v>0</v>
      </c>
      <c r="F49" s="674">
        <f>transport!E58</f>
        <v>0</v>
      </c>
      <c r="G49" s="674">
        <f>transport!F58</f>
        <v>0</v>
      </c>
      <c r="H49" s="674">
        <f>transport!G58</f>
        <v>798.46610612265636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801.43419403592623</v>
      </c>
    </row>
    <row r="50" spans="1:18">
      <c r="A50" s="805" t="s">
        <v>296</v>
      </c>
      <c r="B50" s="815"/>
      <c r="C50" s="984">
        <f ca="1">transport!B18</f>
        <v>1.6710174664245412</v>
      </c>
      <c r="D50" s="984">
        <f>transport!C18</f>
        <v>0</v>
      </c>
      <c r="E50" s="984">
        <f>transport!D18</f>
        <v>2.1554919066471312</v>
      </c>
      <c r="F50" s="984">
        <f>transport!E18</f>
        <v>162.0081227480685</v>
      </c>
      <c r="G50" s="984">
        <f>transport!F18</f>
        <v>0</v>
      </c>
      <c r="H50" s="984">
        <f>transport!G18</f>
        <v>40972.479073962575</v>
      </c>
      <c r="I50" s="984">
        <f>transport!H18</f>
        <v>6459.5710767744968</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47597.884782858215</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4.6391053796944135</v>
      </c>
      <c r="D52" s="707">
        <f t="shared" ref="D52:Q52" ca="1" si="6">SUM(D48:D51)</f>
        <v>0</v>
      </c>
      <c r="E52" s="707">
        <f t="shared" si="6"/>
        <v>2.1554919066471312</v>
      </c>
      <c r="F52" s="707">
        <f t="shared" si="6"/>
        <v>162.0081227480685</v>
      </c>
      <c r="G52" s="707">
        <f t="shared" si="6"/>
        <v>0</v>
      </c>
      <c r="H52" s="707">
        <f t="shared" si="6"/>
        <v>41770.945180085233</v>
      </c>
      <c r="I52" s="707">
        <f t="shared" si="6"/>
        <v>6459.5710767744968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48399.318976894137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314.95005405421762</v>
      </c>
      <c r="D54" s="984">
        <f ca="1">+landbouw!C12</f>
        <v>0</v>
      </c>
      <c r="E54" s="984">
        <f>+landbouw!D12</f>
        <v>310.72541768400004</v>
      </c>
      <c r="F54" s="984">
        <f>+landbouw!E12</f>
        <v>3.4023537540803668</v>
      </c>
      <c r="G54" s="984">
        <f>+landbouw!F12</f>
        <v>1386.258816600832</v>
      </c>
      <c r="H54" s="984">
        <f>+landbouw!G12</f>
        <v>0</v>
      </c>
      <c r="I54" s="984">
        <f>+landbouw!H12</f>
        <v>0</v>
      </c>
      <c r="J54" s="984">
        <f>+landbouw!I12</f>
        <v>0</v>
      </c>
      <c r="K54" s="984">
        <f>+landbouw!J12</f>
        <v>69.672574021500907</v>
      </c>
      <c r="L54" s="984">
        <f>+landbouw!K12</f>
        <v>0</v>
      </c>
      <c r="M54" s="984">
        <f>+landbouw!L12</f>
        <v>0</v>
      </c>
      <c r="N54" s="984">
        <f>+landbouw!M12</f>
        <v>0</v>
      </c>
      <c r="O54" s="984">
        <f>+landbouw!N12</f>
        <v>0</v>
      </c>
      <c r="P54" s="984">
        <f>+landbouw!O12</f>
        <v>0</v>
      </c>
      <c r="Q54" s="985">
        <f>+landbouw!P12</f>
        <v>0</v>
      </c>
      <c r="R54" s="706">
        <f ca="1">SUM(C54:Q54)</f>
        <v>2085.0092161146313</v>
      </c>
    </row>
    <row r="55" spans="1:18" ht="15" thickBot="1">
      <c r="A55" s="805" t="s">
        <v>873</v>
      </c>
      <c r="B55" s="815"/>
      <c r="C55" s="984">
        <f ca="1">C25*'EF ele_warmte'!B12</f>
        <v>335.76181971247536</v>
      </c>
      <c r="D55" s="984"/>
      <c r="E55" s="984">
        <f>E25*EF_CO2_aardgas</f>
        <v>1520.1617060000001</v>
      </c>
      <c r="F55" s="984"/>
      <c r="G55" s="984"/>
      <c r="H55" s="984"/>
      <c r="I55" s="984"/>
      <c r="J55" s="984"/>
      <c r="K55" s="984"/>
      <c r="L55" s="984"/>
      <c r="M55" s="984"/>
      <c r="N55" s="984"/>
      <c r="O55" s="984"/>
      <c r="P55" s="984"/>
      <c r="Q55" s="985"/>
      <c r="R55" s="706">
        <f ca="1">SUM(C55:Q55)</f>
        <v>1855.9235257124756</v>
      </c>
    </row>
    <row r="56" spans="1:18" ht="15.75" thickBot="1">
      <c r="A56" s="803" t="s">
        <v>874</v>
      </c>
      <c r="B56" s="816"/>
      <c r="C56" s="707">
        <f ca="1">SUM(C54:C55)</f>
        <v>650.71187376669297</v>
      </c>
      <c r="D56" s="707">
        <f t="shared" ref="D56:Q56" ca="1" si="7">SUM(D54:D55)</f>
        <v>0</v>
      </c>
      <c r="E56" s="707">
        <f t="shared" si="7"/>
        <v>1830.887123684</v>
      </c>
      <c r="F56" s="707">
        <f t="shared" si="7"/>
        <v>3.4023537540803668</v>
      </c>
      <c r="G56" s="707">
        <f t="shared" si="7"/>
        <v>1386.258816600832</v>
      </c>
      <c r="H56" s="707">
        <f t="shared" si="7"/>
        <v>0</v>
      </c>
      <c r="I56" s="707">
        <f t="shared" si="7"/>
        <v>0</v>
      </c>
      <c r="J56" s="707">
        <f t="shared" si="7"/>
        <v>0</v>
      </c>
      <c r="K56" s="707">
        <f t="shared" si="7"/>
        <v>69.672574021500907</v>
      </c>
      <c r="L56" s="707">
        <f t="shared" si="7"/>
        <v>0</v>
      </c>
      <c r="M56" s="707">
        <f t="shared" si="7"/>
        <v>0</v>
      </c>
      <c r="N56" s="707">
        <f t="shared" si="7"/>
        <v>0</v>
      </c>
      <c r="O56" s="707">
        <f t="shared" si="7"/>
        <v>0</v>
      </c>
      <c r="P56" s="707">
        <f t="shared" si="7"/>
        <v>0</v>
      </c>
      <c r="Q56" s="708">
        <f t="shared" si="7"/>
        <v>0</v>
      </c>
      <c r="R56" s="709">
        <f ca="1">SUM(R54:R55)</f>
        <v>3940.9327418271068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22550.536508487905</v>
      </c>
      <c r="D61" s="715">
        <f t="shared" ref="D61:Q61" ca="1" si="8">D46+D52+D56</f>
        <v>1573.5630252100839</v>
      </c>
      <c r="E61" s="715">
        <f t="shared" ca="1" si="8"/>
        <v>41981.822687397507</v>
      </c>
      <c r="F61" s="715">
        <f t="shared" si="8"/>
        <v>1159.2603380472542</v>
      </c>
      <c r="G61" s="715">
        <f t="shared" ca="1" si="8"/>
        <v>37523.152024777191</v>
      </c>
      <c r="H61" s="715">
        <f t="shared" si="8"/>
        <v>41770.945180085233</v>
      </c>
      <c r="I61" s="715">
        <f t="shared" si="8"/>
        <v>6459.5710767744968</v>
      </c>
      <c r="J61" s="715">
        <f t="shared" si="8"/>
        <v>0</v>
      </c>
      <c r="K61" s="715">
        <f t="shared" si="8"/>
        <v>849.59819768052398</v>
      </c>
      <c r="L61" s="715">
        <f t="shared" si="8"/>
        <v>0</v>
      </c>
      <c r="M61" s="715">
        <f t="shared" ca="1" si="8"/>
        <v>0</v>
      </c>
      <c r="N61" s="715">
        <f t="shared" si="8"/>
        <v>0</v>
      </c>
      <c r="O61" s="715">
        <f t="shared" ca="1" si="8"/>
        <v>0</v>
      </c>
      <c r="P61" s="715">
        <f t="shared" si="8"/>
        <v>0</v>
      </c>
      <c r="Q61" s="715">
        <f t="shared" si="8"/>
        <v>0</v>
      </c>
      <c r="R61" s="715">
        <f ca="1">R46+R52+R56</f>
        <v>153868.44903846018</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0.19795654702384377</v>
      </c>
      <c r="D63" s="759">
        <f t="shared" ca="1" si="9"/>
        <v>0.23764705882352938</v>
      </c>
      <c r="E63" s="986">
        <f t="shared" ca="1" si="9"/>
        <v>0.20200000000000001</v>
      </c>
      <c r="F63" s="759">
        <f t="shared" si="9"/>
        <v>0.22700000000000004</v>
      </c>
      <c r="G63" s="759">
        <f t="shared" ca="1" si="9"/>
        <v>0.26700000000000013</v>
      </c>
      <c r="H63" s="759">
        <f t="shared" si="9"/>
        <v>0.26700000000000002</v>
      </c>
      <c r="I63" s="759">
        <f t="shared" si="9"/>
        <v>0.24900000000000003</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12227.108148407955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4635</v>
      </c>
      <c r="D76" s="996">
        <f>'lokale energieproductie'!C8</f>
        <v>5452.9411764705883</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1101.4941176470588</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12227.108148407955</v>
      </c>
      <c r="C78" s="730">
        <f>SUM(C72:C77)</f>
        <v>4635</v>
      </c>
      <c r="D78" s="731">
        <f t="shared" ref="D78:H78" si="10">SUM(D76:D77)</f>
        <v>5452.9411764705883</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1101.4941176470588</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6621.4285714285716</v>
      </c>
      <c r="D87" s="752">
        <f>'lokale energieproductie'!C17</f>
        <v>7789.9159663865539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1573.5630252100839</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6621.4285714285716</v>
      </c>
      <c r="D90" s="730">
        <f t="shared" ref="D90:H90" si="12">SUM(D87:D89)</f>
        <v>7789.9159663865539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1573.5630252100839</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55991.393636525565</v>
      </c>
      <c r="C4" s="447">
        <f>huishoudens!C8</f>
        <v>0</v>
      </c>
      <c r="D4" s="447">
        <f>huishoudens!D8</f>
        <v>77633.960183999996</v>
      </c>
      <c r="E4" s="447">
        <f>huishoudens!E8</f>
        <v>3904.3685532658878</v>
      </c>
      <c r="F4" s="447">
        <f>huishoudens!F8</f>
        <v>119032.8616520139</v>
      </c>
      <c r="G4" s="447">
        <f>huishoudens!G8</f>
        <v>0</v>
      </c>
      <c r="H4" s="447">
        <f>huishoudens!H8</f>
        <v>0</v>
      </c>
      <c r="I4" s="447">
        <f>huishoudens!I8</f>
        <v>0</v>
      </c>
      <c r="J4" s="447">
        <f>huishoudens!J8</f>
        <v>2159.8097981710457</v>
      </c>
      <c r="K4" s="447">
        <f>huishoudens!K8</f>
        <v>0</v>
      </c>
      <c r="L4" s="447">
        <f>huishoudens!L8</f>
        <v>0</v>
      </c>
      <c r="M4" s="447">
        <f>huishoudens!M8</f>
        <v>0</v>
      </c>
      <c r="N4" s="447">
        <f>huishoudens!N8</f>
        <v>19088.491037540571</v>
      </c>
      <c r="O4" s="447">
        <f>huishoudens!O8</f>
        <v>211.05</v>
      </c>
      <c r="P4" s="448">
        <f>huishoudens!P8</f>
        <v>648.26666666666665</v>
      </c>
      <c r="Q4" s="449">
        <f>SUM(B4:P4)</f>
        <v>278670.20152818365</v>
      </c>
    </row>
    <row r="5" spans="1:17">
      <c r="A5" s="446" t="s">
        <v>149</v>
      </c>
      <c r="B5" s="447">
        <f ca="1">tertiair!B16</f>
        <v>32487.980000000003</v>
      </c>
      <c r="C5" s="447">
        <f ca="1">tertiair!C16</f>
        <v>0</v>
      </c>
      <c r="D5" s="447">
        <f ca="1">tertiair!D16</f>
        <v>26717.042462000005</v>
      </c>
      <c r="E5" s="447">
        <f>tertiair!E16</f>
        <v>299.62386979770304</v>
      </c>
      <c r="F5" s="447">
        <f ca="1">tertiair!F16</f>
        <v>7432.8665360662189</v>
      </c>
      <c r="G5" s="447">
        <f>tertiair!G16</f>
        <v>0</v>
      </c>
      <c r="H5" s="447">
        <f>tertiair!H16</f>
        <v>0</v>
      </c>
      <c r="I5" s="447">
        <f>tertiair!I16</f>
        <v>0</v>
      </c>
      <c r="J5" s="447">
        <f>tertiair!J16</f>
        <v>0</v>
      </c>
      <c r="K5" s="447">
        <f>tertiair!K16</f>
        <v>0</v>
      </c>
      <c r="L5" s="447">
        <f ca="1">tertiair!L16</f>
        <v>0</v>
      </c>
      <c r="M5" s="447">
        <f>tertiair!M16</f>
        <v>0</v>
      </c>
      <c r="N5" s="447">
        <f ca="1">tertiair!N16</f>
        <v>4148.6665681843579</v>
      </c>
      <c r="O5" s="447">
        <f>tertiair!O16</f>
        <v>1.5633333333333335</v>
      </c>
      <c r="P5" s="448">
        <f>tertiair!P16</f>
        <v>0</v>
      </c>
      <c r="Q5" s="446">
        <f t="shared" ref="Q5:Q14" ca="1" si="0">SUM(B5:P5)</f>
        <v>71087.742769381628</v>
      </c>
    </row>
    <row r="6" spans="1:17">
      <c r="A6" s="446" t="s">
        <v>187</v>
      </c>
      <c r="B6" s="447">
        <f>'openbare verlichting'!B8</f>
        <v>1928.662</v>
      </c>
      <c r="C6" s="447"/>
      <c r="D6" s="447"/>
      <c r="E6" s="447"/>
      <c r="F6" s="447"/>
      <c r="G6" s="447"/>
      <c r="H6" s="447"/>
      <c r="I6" s="447"/>
      <c r="J6" s="447"/>
      <c r="K6" s="447"/>
      <c r="L6" s="447"/>
      <c r="M6" s="447"/>
      <c r="N6" s="447"/>
      <c r="O6" s="447"/>
      <c r="P6" s="448"/>
      <c r="Q6" s="446">
        <f t="shared" si="0"/>
        <v>1928.662</v>
      </c>
    </row>
    <row r="7" spans="1:17">
      <c r="A7" s="446" t="s">
        <v>105</v>
      </c>
      <c r="B7" s="447">
        <f>landbouw!B8</f>
        <v>1591.0060000000001</v>
      </c>
      <c r="C7" s="447">
        <f>landbouw!C8</f>
        <v>0</v>
      </c>
      <c r="D7" s="447">
        <f>landbouw!D8</f>
        <v>1538.2446420000001</v>
      </c>
      <c r="E7" s="447">
        <f>landbouw!E8</f>
        <v>14.988342528988399</v>
      </c>
      <c r="F7" s="447">
        <f>landbouw!F8</f>
        <v>5191.9805865199696</v>
      </c>
      <c r="G7" s="447">
        <f>landbouw!G8</f>
        <v>0</v>
      </c>
      <c r="H7" s="447">
        <f>landbouw!H8</f>
        <v>0</v>
      </c>
      <c r="I7" s="447">
        <f>landbouw!I8</f>
        <v>0</v>
      </c>
      <c r="J7" s="447">
        <f>landbouw!J8</f>
        <v>196.81518085169751</v>
      </c>
      <c r="K7" s="447">
        <f>landbouw!K8</f>
        <v>0</v>
      </c>
      <c r="L7" s="447">
        <f>landbouw!L8</f>
        <v>0</v>
      </c>
      <c r="M7" s="447">
        <f>landbouw!M8</f>
        <v>0</v>
      </c>
      <c r="N7" s="447">
        <f>landbouw!N8</f>
        <v>0</v>
      </c>
      <c r="O7" s="447">
        <f>landbouw!O8</f>
        <v>0</v>
      </c>
      <c r="P7" s="448">
        <f>landbouw!P8</f>
        <v>0</v>
      </c>
      <c r="Q7" s="446">
        <f t="shared" si="0"/>
        <v>8533.0347519006555</v>
      </c>
    </row>
    <row r="8" spans="1:17">
      <c r="A8" s="446" t="s">
        <v>665</v>
      </c>
      <c r="B8" s="447">
        <f>industrie!B18</f>
        <v>20197.983</v>
      </c>
      <c r="C8" s="447">
        <f>industrie!C18</f>
        <v>6621.4285714285716</v>
      </c>
      <c r="D8" s="447">
        <f>industrie!D18</f>
        <v>94405.334343142866</v>
      </c>
      <c r="E8" s="447">
        <f>industrie!E18</f>
        <v>174.20079960207116</v>
      </c>
      <c r="F8" s="447">
        <f>industrie!F18</f>
        <v>8878.441130932415</v>
      </c>
      <c r="G8" s="447">
        <f>industrie!G18</f>
        <v>0</v>
      </c>
      <c r="H8" s="447">
        <f>industrie!H18</f>
        <v>0</v>
      </c>
      <c r="I8" s="447">
        <f>industrie!I18</f>
        <v>0</v>
      </c>
      <c r="J8" s="447">
        <f>industrie!J18</f>
        <v>43.36992967930221</v>
      </c>
      <c r="K8" s="447">
        <f>industrie!K18</f>
        <v>0</v>
      </c>
      <c r="L8" s="447">
        <f>industrie!L18</f>
        <v>0</v>
      </c>
      <c r="M8" s="447">
        <f>industrie!M18</f>
        <v>0</v>
      </c>
      <c r="N8" s="447">
        <f>industrie!N18</f>
        <v>792.71068514700096</v>
      </c>
      <c r="O8" s="447">
        <f>industrie!O18</f>
        <v>0</v>
      </c>
      <c r="P8" s="448">
        <f>industrie!P18</f>
        <v>0</v>
      </c>
      <c r="Q8" s="446">
        <f t="shared" si="0"/>
        <v>131113.46845993222</v>
      </c>
    </row>
    <row r="9" spans="1:17" s="452" customFormat="1">
      <c r="A9" s="450" t="s">
        <v>562</v>
      </c>
      <c r="B9" s="451">
        <f>transport!B14</f>
        <v>8.4413346845419959</v>
      </c>
      <c r="C9" s="451">
        <f>transport!C14</f>
        <v>0</v>
      </c>
      <c r="D9" s="451">
        <f>transport!D14</f>
        <v>10.670752013104609</v>
      </c>
      <c r="E9" s="451">
        <f>transport!E14</f>
        <v>713.69217069633703</v>
      </c>
      <c r="F9" s="451">
        <f>transport!F14</f>
        <v>0</v>
      </c>
      <c r="G9" s="451">
        <f>transport!G14</f>
        <v>153454.97780510326</v>
      </c>
      <c r="H9" s="451">
        <f>transport!H14</f>
        <v>25942.052517166652</v>
      </c>
      <c r="I9" s="451">
        <f>transport!I14</f>
        <v>0</v>
      </c>
      <c r="J9" s="451">
        <f>transport!J14</f>
        <v>0</v>
      </c>
      <c r="K9" s="451">
        <f>transport!K14</f>
        <v>0</v>
      </c>
      <c r="L9" s="451">
        <f>transport!L14</f>
        <v>0</v>
      </c>
      <c r="M9" s="451">
        <f>transport!M14</f>
        <v>8016.3671679512308</v>
      </c>
      <c r="N9" s="451">
        <f>transport!N14</f>
        <v>0</v>
      </c>
      <c r="O9" s="451">
        <f>transport!O14</f>
        <v>0</v>
      </c>
      <c r="P9" s="451">
        <f>transport!P14</f>
        <v>0</v>
      </c>
      <c r="Q9" s="450">
        <f>SUM(B9:P9)</f>
        <v>188146.20174761512</v>
      </c>
    </row>
    <row r="10" spans="1:17">
      <c r="A10" s="446" t="s">
        <v>552</v>
      </c>
      <c r="B10" s="447">
        <f>transport!B54</f>
        <v>14.99363349125486</v>
      </c>
      <c r="C10" s="447">
        <f>transport!C54</f>
        <v>0</v>
      </c>
      <c r="D10" s="447">
        <f>transport!D54</f>
        <v>0</v>
      </c>
      <c r="E10" s="447">
        <f>transport!E54</f>
        <v>0</v>
      </c>
      <c r="F10" s="447">
        <f>transport!F54</f>
        <v>0</v>
      </c>
      <c r="G10" s="447">
        <f>transport!G54</f>
        <v>2990.5097607590124</v>
      </c>
      <c r="H10" s="447">
        <f>transport!H54</f>
        <v>0</v>
      </c>
      <c r="I10" s="447">
        <f>transport!I54</f>
        <v>0</v>
      </c>
      <c r="J10" s="447">
        <f>transport!J54</f>
        <v>0</v>
      </c>
      <c r="K10" s="447">
        <f>transport!K54</f>
        <v>0</v>
      </c>
      <c r="L10" s="447">
        <f>transport!L54</f>
        <v>0</v>
      </c>
      <c r="M10" s="447">
        <f>transport!M54</f>
        <v>132.17734635386361</v>
      </c>
      <c r="N10" s="447">
        <f>transport!N54</f>
        <v>0</v>
      </c>
      <c r="O10" s="447">
        <f>transport!O54</f>
        <v>0</v>
      </c>
      <c r="P10" s="448">
        <f>transport!P54</f>
        <v>0</v>
      </c>
      <c r="Q10" s="446">
        <f t="shared" si="0"/>
        <v>3137.6807406041307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1696.1389999999999</v>
      </c>
      <c r="C14" s="454"/>
      <c r="D14" s="454">
        <f>'SEAP template'!E25</f>
        <v>7525.5529999999999</v>
      </c>
      <c r="E14" s="454"/>
      <c r="F14" s="454"/>
      <c r="G14" s="454"/>
      <c r="H14" s="454"/>
      <c r="I14" s="454"/>
      <c r="J14" s="454"/>
      <c r="K14" s="454"/>
      <c r="L14" s="454"/>
      <c r="M14" s="454"/>
      <c r="N14" s="454"/>
      <c r="O14" s="454"/>
      <c r="P14" s="455"/>
      <c r="Q14" s="446">
        <f t="shared" si="0"/>
        <v>9221.6919999999991</v>
      </c>
    </row>
    <row r="15" spans="1:17" s="459" customFormat="1">
      <c r="A15" s="456" t="s">
        <v>556</v>
      </c>
      <c r="B15" s="457">
        <f ca="1">SUM(B4:B14)</f>
        <v>113916.59860470133</v>
      </c>
      <c r="C15" s="457">
        <f t="shared" ref="C15:Q15" ca="1" si="1">SUM(C4:C14)</f>
        <v>6621.4285714285716</v>
      </c>
      <c r="D15" s="457">
        <f t="shared" ca="1" si="1"/>
        <v>207830.805383156</v>
      </c>
      <c r="E15" s="457">
        <f t="shared" si="1"/>
        <v>5106.8737358909866</v>
      </c>
      <c r="F15" s="457">
        <f t="shared" ca="1" si="1"/>
        <v>140536.14990553251</v>
      </c>
      <c r="G15" s="457">
        <f t="shared" si="1"/>
        <v>156445.48756586228</v>
      </c>
      <c r="H15" s="457">
        <f t="shared" si="1"/>
        <v>25942.052517166652</v>
      </c>
      <c r="I15" s="457">
        <f t="shared" si="1"/>
        <v>0</v>
      </c>
      <c r="J15" s="457">
        <f t="shared" si="1"/>
        <v>2399.994908702045</v>
      </c>
      <c r="K15" s="457">
        <f t="shared" si="1"/>
        <v>0</v>
      </c>
      <c r="L15" s="457">
        <f t="shared" ca="1" si="1"/>
        <v>0</v>
      </c>
      <c r="M15" s="457">
        <f t="shared" si="1"/>
        <v>8148.5445143050947</v>
      </c>
      <c r="N15" s="457">
        <f t="shared" ca="1" si="1"/>
        <v>24029.868290871931</v>
      </c>
      <c r="O15" s="457">
        <f t="shared" si="1"/>
        <v>212.61333333333334</v>
      </c>
      <c r="P15" s="457">
        <f t="shared" si="1"/>
        <v>648.26666666666665</v>
      </c>
      <c r="Q15" s="457">
        <f t="shared" ca="1" si="1"/>
        <v>691838.68399761745</v>
      </c>
    </row>
    <row r="17" spans="1:17">
      <c r="A17" s="460" t="s">
        <v>557</v>
      </c>
      <c r="B17" s="764">
        <f ca="1">huishoudens!B10</f>
        <v>0.1979565470238438</v>
      </c>
      <c r="C17" s="764">
        <f ca="1">huishoudens!C10</f>
        <v>0.23764705882352938</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11083.862947339421</v>
      </c>
      <c r="C22" s="447">
        <f t="shared" ref="C22:C32" ca="1" si="3">C4*$C$17</f>
        <v>0</v>
      </c>
      <c r="D22" s="447">
        <f t="shared" ref="D22:D32" si="4">D4*$D$17</f>
        <v>15682.059957168</v>
      </c>
      <c r="E22" s="447">
        <f t="shared" ref="E22:E32" si="5">E4*$E$17</f>
        <v>886.29166159135661</v>
      </c>
      <c r="F22" s="447">
        <f t="shared" ref="F22:F32" si="6">F4*$F$17</f>
        <v>31781.774061087715</v>
      </c>
      <c r="G22" s="447">
        <f t="shared" ref="G22:G32" si="7">G4*$G$17</f>
        <v>0</v>
      </c>
      <c r="H22" s="447">
        <f t="shared" ref="H22:H32" si="8">H4*$H$17</f>
        <v>0</v>
      </c>
      <c r="I22" s="447">
        <f t="shared" ref="I22:I32" si="9">I4*$I$17</f>
        <v>0</v>
      </c>
      <c r="J22" s="447">
        <f t="shared" ref="J22:J32" si="10">J4*$J$17</f>
        <v>764.57266855255011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60198.561295739048</v>
      </c>
    </row>
    <row r="23" spans="1:17">
      <c r="A23" s="446" t="s">
        <v>149</v>
      </c>
      <c r="B23" s="447">
        <f t="shared" ca="1" si="2"/>
        <v>6431.2083405796975</v>
      </c>
      <c r="C23" s="447">
        <f t="shared" ca="1" si="3"/>
        <v>0</v>
      </c>
      <c r="D23" s="447">
        <f t="shared" ca="1" si="4"/>
        <v>5396.8425773240015</v>
      </c>
      <c r="E23" s="447">
        <f t="shared" si="5"/>
        <v>68.014618444078593</v>
      </c>
      <c r="F23" s="447">
        <f t="shared" ca="1" si="6"/>
        <v>1984.5753651296807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13880.640901477458</v>
      </c>
    </row>
    <row r="24" spans="1:17">
      <c r="A24" s="446" t="s">
        <v>187</v>
      </c>
      <c r="B24" s="447">
        <f t="shared" ca="1" si="2"/>
        <v>381.79126989610063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381.79126989610063</v>
      </c>
    </row>
    <row r="25" spans="1:17">
      <c r="A25" s="446" t="s">
        <v>105</v>
      </c>
      <c r="B25" s="447">
        <f t="shared" ca="1" si="2"/>
        <v>314.95005405421762</v>
      </c>
      <c r="C25" s="447">
        <f t="shared" ca="1" si="3"/>
        <v>0</v>
      </c>
      <c r="D25" s="447">
        <f t="shared" si="4"/>
        <v>310.72541768400004</v>
      </c>
      <c r="E25" s="447">
        <f t="shared" si="5"/>
        <v>3.4023537540803668</v>
      </c>
      <c r="F25" s="447">
        <f t="shared" si="6"/>
        <v>1386.258816600832</v>
      </c>
      <c r="G25" s="447">
        <f t="shared" si="7"/>
        <v>0</v>
      </c>
      <c r="H25" s="447">
        <f t="shared" si="8"/>
        <v>0</v>
      </c>
      <c r="I25" s="447">
        <f t="shared" si="9"/>
        <v>0</v>
      </c>
      <c r="J25" s="447">
        <f t="shared" si="10"/>
        <v>69.672574021500907</v>
      </c>
      <c r="K25" s="447">
        <f t="shared" si="11"/>
        <v>0</v>
      </c>
      <c r="L25" s="447">
        <f t="shared" si="12"/>
        <v>0</v>
      </c>
      <c r="M25" s="447">
        <f t="shared" si="13"/>
        <v>0</v>
      </c>
      <c r="N25" s="447">
        <f t="shared" si="14"/>
        <v>0</v>
      </c>
      <c r="O25" s="447">
        <f t="shared" si="15"/>
        <v>0</v>
      </c>
      <c r="P25" s="448">
        <f t="shared" si="16"/>
        <v>0</v>
      </c>
      <c r="Q25" s="446">
        <f t="shared" ca="1" si="17"/>
        <v>2085.0092161146313</v>
      </c>
    </row>
    <row r="26" spans="1:17">
      <c r="A26" s="446" t="s">
        <v>665</v>
      </c>
      <c r="B26" s="447">
        <f t="shared" ca="1" si="2"/>
        <v>3998.3229715262978</v>
      </c>
      <c r="C26" s="447">
        <f t="shared" ca="1" si="3"/>
        <v>1573.5630252100839</v>
      </c>
      <c r="D26" s="447">
        <f t="shared" si="4"/>
        <v>19069.87753731486</v>
      </c>
      <c r="E26" s="447">
        <f t="shared" si="5"/>
        <v>39.543581509670155</v>
      </c>
      <c r="F26" s="447">
        <f t="shared" si="6"/>
        <v>2370.5437819589552</v>
      </c>
      <c r="G26" s="447">
        <f t="shared" si="7"/>
        <v>0</v>
      </c>
      <c r="H26" s="447">
        <f t="shared" si="8"/>
        <v>0</v>
      </c>
      <c r="I26" s="447">
        <f t="shared" si="9"/>
        <v>0</v>
      </c>
      <c r="J26" s="447">
        <f t="shared" si="10"/>
        <v>15.352955106472981</v>
      </c>
      <c r="K26" s="447">
        <f t="shared" si="11"/>
        <v>0</v>
      </c>
      <c r="L26" s="447">
        <f t="shared" si="12"/>
        <v>0</v>
      </c>
      <c r="M26" s="447">
        <f t="shared" si="13"/>
        <v>0</v>
      </c>
      <c r="N26" s="447">
        <f t="shared" si="14"/>
        <v>0</v>
      </c>
      <c r="O26" s="447">
        <f t="shared" si="15"/>
        <v>0</v>
      </c>
      <c r="P26" s="448">
        <f t="shared" si="16"/>
        <v>0</v>
      </c>
      <c r="Q26" s="446">
        <f t="shared" ca="1" si="17"/>
        <v>27067.203852626342</v>
      </c>
    </row>
    <row r="27" spans="1:17" s="452" customFormat="1">
      <c r="A27" s="450" t="s">
        <v>562</v>
      </c>
      <c r="B27" s="758">
        <f t="shared" ca="1" si="2"/>
        <v>1.6710174664245412</v>
      </c>
      <c r="C27" s="451">
        <f t="shared" ca="1" si="3"/>
        <v>0</v>
      </c>
      <c r="D27" s="451">
        <f t="shared" si="4"/>
        <v>2.1554919066471312</v>
      </c>
      <c r="E27" s="451">
        <f t="shared" si="5"/>
        <v>162.0081227480685</v>
      </c>
      <c r="F27" s="451">
        <f t="shared" si="6"/>
        <v>0</v>
      </c>
      <c r="G27" s="451">
        <f t="shared" si="7"/>
        <v>40972.479073962575</v>
      </c>
      <c r="H27" s="451">
        <f t="shared" si="8"/>
        <v>6459.5710767744968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47597.884782858215</v>
      </c>
    </row>
    <row r="28" spans="1:17">
      <c r="A28" s="446" t="s">
        <v>552</v>
      </c>
      <c r="B28" s="447">
        <f t="shared" ca="1" si="2"/>
        <v>2.9680879132698719</v>
      </c>
      <c r="C28" s="447">
        <f t="shared" ca="1" si="3"/>
        <v>0</v>
      </c>
      <c r="D28" s="447">
        <f t="shared" si="4"/>
        <v>0</v>
      </c>
      <c r="E28" s="447">
        <f t="shared" si="5"/>
        <v>0</v>
      </c>
      <c r="F28" s="447">
        <f t="shared" si="6"/>
        <v>0</v>
      </c>
      <c r="G28" s="447">
        <f t="shared" si="7"/>
        <v>798.46610612265636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801.43419403592623</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335.76181971247536</v>
      </c>
      <c r="C32" s="447">
        <f t="shared" ca="1" si="3"/>
        <v>0</v>
      </c>
      <c r="D32" s="447">
        <f t="shared" si="4"/>
        <v>1520.1617060000001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1855.9235257124756</v>
      </c>
    </row>
    <row r="33" spans="1:17" s="459" customFormat="1">
      <c r="A33" s="456" t="s">
        <v>556</v>
      </c>
      <c r="B33" s="457">
        <f ca="1">SUM(B22:B32)</f>
        <v>22550.536508487905</v>
      </c>
      <c r="C33" s="457">
        <f t="shared" ref="C33:Q33" ca="1" si="18">SUM(C22:C32)</f>
        <v>1573.5630252100839</v>
      </c>
      <c r="D33" s="457">
        <f t="shared" ca="1" si="18"/>
        <v>41981.822687397507</v>
      </c>
      <c r="E33" s="457">
        <f t="shared" si="18"/>
        <v>1159.2603380472542</v>
      </c>
      <c r="F33" s="457">
        <f t="shared" ca="1" si="18"/>
        <v>37523.152024777191</v>
      </c>
      <c r="G33" s="457">
        <f t="shared" si="18"/>
        <v>41770.945180085233</v>
      </c>
      <c r="H33" s="457">
        <f t="shared" si="18"/>
        <v>6459.5710767744968</v>
      </c>
      <c r="I33" s="457">
        <f t="shared" si="18"/>
        <v>0</v>
      </c>
      <c r="J33" s="457">
        <f t="shared" si="18"/>
        <v>849.59819768052398</v>
      </c>
      <c r="K33" s="457">
        <f t="shared" si="18"/>
        <v>0</v>
      </c>
      <c r="L33" s="457">
        <f t="shared" ca="1" si="18"/>
        <v>0</v>
      </c>
      <c r="M33" s="457">
        <f t="shared" si="18"/>
        <v>0</v>
      </c>
      <c r="N33" s="457">
        <f t="shared" ca="1" si="18"/>
        <v>0</v>
      </c>
      <c r="O33" s="457">
        <f t="shared" si="18"/>
        <v>0</v>
      </c>
      <c r="P33" s="457">
        <f t="shared" si="18"/>
        <v>0</v>
      </c>
      <c r="Q33" s="457">
        <f t="shared" ca="1" si="18"/>
        <v>153868.44903846021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12227.108148407955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4635</v>
      </c>
      <c r="D8" s="1013">
        <f>'SEAP template'!D76</f>
        <v>5452.9411764705883</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1101.4941176470588</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12227.108148407955</v>
      </c>
      <c r="C10" s="1017">
        <f>SUM(C4:C9)</f>
        <v>4635</v>
      </c>
      <c r="D10" s="1017">
        <f t="shared" ref="D10:H10" si="0">SUM(D8:D9)</f>
        <v>5452.9411764705883</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1101.4941176470588</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0.1979565470238438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6621.4285714285716</v>
      </c>
      <c r="D17" s="1014">
        <f>'SEAP template'!D87</f>
        <v>7789.9159663865539</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1573.5630252100839</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6621.4285714285716</v>
      </c>
      <c r="D20" s="1017">
        <f t="shared" ref="D20:H20" si="2">SUM(D17:D19)</f>
        <v>7789.9159663865539</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1573.5630252100839</v>
      </c>
    </row>
    <row r="22" spans="1:16">
      <c r="A22" s="460" t="s">
        <v>893</v>
      </c>
      <c r="B22" s="764" t="s">
        <v>887</v>
      </c>
      <c r="C22" s="764">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0.1979565470238438</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0.1979565470238438</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0.1979565470238438</v>
      </c>
      <c r="C29" s="497">
        <f ca="1">'EF ele_warmte'!B22</f>
        <v>0.23764705882352938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12569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3552</v>
      </c>
      <c r="C14" s="327"/>
      <c r="D14" s="327"/>
      <c r="E14" s="327"/>
      <c r="F14" s="327"/>
    </row>
    <row r="15" spans="1:6">
      <c r="A15" s="1293" t="s">
        <v>177</v>
      </c>
      <c r="B15" s="1294">
        <v>24</v>
      </c>
      <c r="C15" s="327"/>
      <c r="D15" s="327"/>
      <c r="E15" s="327"/>
      <c r="F15" s="327"/>
    </row>
    <row r="16" spans="1:6">
      <c r="A16" s="1293" t="s">
        <v>6</v>
      </c>
      <c r="B16" s="1294">
        <v>1154</v>
      </c>
      <c r="C16" s="327"/>
      <c r="D16" s="327"/>
      <c r="E16" s="327"/>
      <c r="F16" s="327"/>
    </row>
    <row r="17" spans="1:6">
      <c r="A17" s="1293" t="s">
        <v>7</v>
      </c>
      <c r="B17" s="1294">
        <v>817</v>
      </c>
      <c r="C17" s="327"/>
      <c r="D17" s="327"/>
      <c r="E17" s="327"/>
      <c r="F17" s="327"/>
    </row>
    <row r="18" spans="1:6">
      <c r="A18" s="1293" t="s">
        <v>8</v>
      </c>
      <c r="B18" s="1294">
        <v>1271</v>
      </c>
      <c r="C18" s="327"/>
      <c r="D18" s="327"/>
      <c r="E18" s="327"/>
      <c r="F18" s="327"/>
    </row>
    <row r="19" spans="1:6">
      <c r="A19" s="1293" t="s">
        <v>9</v>
      </c>
      <c r="B19" s="1294">
        <v>1124</v>
      </c>
      <c r="C19" s="327"/>
      <c r="D19" s="327"/>
      <c r="E19" s="327"/>
      <c r="F19" s="327"/>
    </row>
    <row r="20" spans="1:6">
      <c r="A20" s="1293" t="s">
        <v>10</v>
      </c>
      <c r="B20" s="1294">
        <v>696</v>
      </c>
      <c r="C20" s="327"/>
      <c r="D20" s="327"/>
      <c r="E20" s="327"/>
      <c r="F20" s="327"/>
    </row>
    <row r="21" spans="1:6">
      <c r="A21" s="1293" t="s">
        <v>11</v>
      </c>
      <c r="B21" s="1294">
        <v>2870</v>
      </c>
      <c r="C21" s="327"/>
      <c r="D21" s="327"/>
      <c r="E21" s="327"/>
      <c r="F21" s="327"/>
    </row>
    <row r="22" spans="1:6">
      <c r="A22" s="1293" t="s">
        <v>12</v>
      </c>
      <c r="B22" s="1294">
        <v>6623</v>
      </c>
      <c r="C22" s="327"/>
      <c r="D22" s="327"/>
      <c r="E22" s="327"/>
      <c r="F22" s="327"/>
    </row>
    <row r="23" spans="1:6">
      <c r="A23" s="1293" t="s">
        <v>13</v>
      </c>
      <c r="B23" s="1294">
        <v>98</v>
      </c>
      <c r="C23" s="327"/>
      <c r="D23" s="327"/>
      <c r="E23" s="327"/>
      <c r="F23" s="327"/>
    </row>
    <row r="24" spans="1:6">
      <c r="A24" s="1293" t="s">
        <v>14</v>
      </c>
      <c r="B24" s="1294">
        <v>6</v>
      </c>
      <c r="C24" s="327"/>
      <c r="D24" s="327"/>
      <c r="E24" s="327"/>
      <c r="F24" s="327"/>
    </row>
    <row r="25" spans="1:6">
      <c r="A25" s="1293" t="s">
        <v>15</v>
      </c>
      <c r="B25" s="1294">
        <v>1127</v>
      </c>
      <c r="C25" s="327"/>
      <c r="D25" s="327"/>
      <c r="E25" s="327"/>
      <c r="F25" s="327"/>
    </row>
    <row r="26" spans="1:6">
      <c r="A26" s="1293" t="s">
        <v>16</v>
      </c>
      <c r="B26" s="1294">
        <v>170</v>
      </c>
      <c r="C26" s="327"/>
      <c r="D26" s="327"/>
      <c r="E26" s="327"/>
      <c r="F26" s="327"/>
    </row>
    <row r="27" spans="1:6">
      <c r="A27" s="1293" t="s">
        <v>17</v>
      </c>
      <c r="B27" s="1294">
        <v>0</v>
      </c>
      <c r="C27" s="327"/>
      <c r="D27" s="327"/>
      <c r="E27" s="327"/>
      <c r="F27" s="327"/>
    </row>
    <row r="28" spans="1:6">
      <c r="A28" s="1293" t="s">
        <v>18</v>
      </c>
      <c r="B28" s="1295">
        <v>21465</v>
      </c>
      <c r="C28" s="327"/>
      <c r="D28" s="327"/>
      <c r="E28" s="327"/>
      <c r="F28" s="327"/>
    </row>
    <row r="29" spans="1:6">
      <c r="A29" s="1293" t="s">
        <v>955</v>
      </c>
      <c r="B29" s="1295">
        <v>169</v>
      </c>
      <c r="C29" s="327"/>
      <c r="D29" s="327"/>
      <c r="E29" s="327"/>
      <c r="F29" s="327"/>
    </row>
    <row r="30" spans="1:6">
      <c r="A30" s="1288" t="s">
        <v>956</v>
      </c>
      <c r="B30" s="1296">
        <v>15</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195598</v>
      </c>
      <c r="E38" s="1294">
        <v>2</v>
      </c>
      <c r="F38" s="1294">
        <v>438344</v>
      </c>
    </row>
    <row r="39" spans="1:6">
      <c r="A39" s="1293" t="s">
        <v>29</v>
      </c>
      <c r="B39" s="1293" t="s">
        <v>30</v>
      </c>
      <c r="C39" s="1294">
        <v>5293</v>
      </c>
      <c r="D39" s="1294">
        <v>86068692</v>
      </c>
      <c r="E39" s="1294">
        <v>12694</v>
      </c>
      <c r="F39" s="1294">
        <v>48805233</v>
      </c>
    </row>
    <row r="40" spans="1:6">
      <c r="A40" s="1293" t="s">
        <v>29</v>
      </c>
      <c r="B40" s="1293" t="s">
        <v>28</v>
      </c>
      <c r="C40" s="1294">
        <v>0</v>
      </c>
      <c r="D40" s="1294">
        <v>0</v>
      </c>
      <c r="E40" s="1294">
        <v>0</v>
      </c>
      <c r="F40" s="1294">
        <v>0</v>
      </c>
    </row>
    <row r="41" spans="1:6">
      <c r="A41" s="1293" t="s">
        <v>31</v>
      </c>
      <c r="B41" s="1293" t="s">
        <v>32</v>
      </c>
      <c r="C41" s="1294">
        <v>71</v>
      </c>
      <c r="D41" s="1294">
        <v>3041554</v>
      </c>
      <c r="E41" s="1294">
        <v>203</v>
      </c>
      <c r="F41" s="1294">
        <v>9511381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3927962</v>
      </c>
      <c r="E44" s="1294">
        <v>23</v>
      </c>
      <c r="F44" s="1294">
        <v>1074887</v>
      </c>
    </row>
    <row r="45" spans="1:6">
      <c r="A45" s="1293" t="s">
        <v>31</v>
      </c>
      <c r="B45" s="1293" t="s">
        <v>36</v>
      </c>
      <c r="C45" s="1294">
        <v>3</v>
      </c>
      <c r="D45" s="1294">
        <v>111480841</v>
      </c>
      <c r="E45" s="1294">
        <v>13</v>
      </c>
      <c r="F45" s="1294">
        <v>3761264</v>
      </c>
    </row>
    <row r="46" spans="1:6">
      <c r="A46" s="1293" t="s">
        <v>31</v>
      </c>
      <c r="B46" s="1293" t="s">
        <v>37</v>
      </c>
      <c r="C46" s="1294">
        <v>0</v>
      </c>
      <c r="D46" s="1294">
        <v>0</v>
      </c>
      <c r="E46" s="1294">
        <v>0</v>
      </c>
      <c r="F46" s="1294">
        <v>0</v>
      </c>
    </row>
    <row r="47" spans="1:6">
      <c r="A47" s="1293" t="s">
        <v>31</v>
      </c>
      <c r="B47" s="1293" t="s">
        <v>38</v>
      </c>
      <c r="C47" s="1294">
        <v>5</v>
      </c>
      <c r="D47" s="1294">
        <v>199131</v>
      </c>
      <c r="E47" s="1294">
        <v>7</v>
      </c>
      <c r="F47" s="1294">
        <v>144874</v>
      </c>
    </row>
    <row r="48" spans="1:6">
      <c r="A48" s="1293" t="s">
        <v>31</v>
      </c>
      <c r="B48" s="1293" t="s">
        <v>28</v>
      </c>
      <c r="C48" s="1294">
        <v>0</v>
      </c>
      <c r="D48" s="1294">
        <v>0</v>
      </c>
      <c r="E48" s="1294">
        <v>0</v>
      </c>
      <c r="F48" s="1294">
        <v>0</v>
      </c>
    </row>
    <row r="49" spans="1:6">
      <c r="A49" s="1293" t="s">
        <v>31</v>
      </c>
      <c r="B49" s="1293" t="s">
        <v>39</v>
      </c>
      <c r="C49" s="1294">
        <v>0</v>
      </c>
      <c r="D49" s="1294">
        <v>0</v>
      </c>
      <c r="E49" s="1294">
        <v>4</v>
      </c>
      <c r="F49" s="1294">
        <v>175151</v>
      </c>
    </row>
    <row r="50" spans="1:6">
      <c r="A50" s="1293" t="s">
        <v>31</v>
      </c>
      <c r="B50" s="1293" t="s">
        <v>40</v>
      </c>
      <c r="C50" s="1294">
        <v>6</v>
      </c>
      <c r="D50" s="1294">
        <v>694405</v>
      </c>
      <c r="E50" s="1294">
        <v>27</v>
      </c>
      <c r="F50" s="1294">
        <v>895426</v>
      </c>
    </row>
    <row r="51" spans="1:6">
      <c r="A51" s="1293" t="s">
        <v>41</v>
      </c>
      <c r="B51" s="1293" t="s">
        <v>42</v>
      </c>
      <c r="C51" s="1294">
        <v>12</v>
      </c>
      <c r="D51" s="1294">
        <v>1705371</v>
      </c>
      <c r="E51" s="1294">
        <v>117</v>
      </c>
      <c r="F51" s="1294">
        <v>1591006</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118</v>
      </c>
      <c r="F54" s="1294">
        <v>1928662</v>
      </c>
    </row>
    <row r="55" spans="1:6">
      <c r="A55" s="1293" t="s">
        <v>45</v>
      </c>
      <c r="B55" s="1293" t="s">
        <v>28</v>
      </c>
      <c r="C55" s="1294">
        <v>0</v>
      </c>
      <c r="D55" s="1294">
        <v>0</v>
      </c>
      <c r="E55" s="1294">
        <v>0</v>
      </c>
      <c r="F55" s="1294">
        <v>0</v>
      </c>
    </row>
    <row r="56" spans="1:6">
      <c r="A56" s="1293" t="s">
        <v>47</v>
      </c>
      <c r="B56" s="1293" t="s">
        <v>28</v>
      </c>
      <c r="C56" s="1294">
        <v>78</v>
      </c>
      <c r="D56" s="1294">
        <v>7525553</v>
      </c>
      <c r="E56" s="1294">
        <v>269</v>
      </c>
      <c r="F56" s="1294">
        <v>1696139</v>
      </c>
    </row>
    <row r="57" spans="1:6">
      <c r="A57" s="1293" t="s">
        <v>48</v>
      </c>
      <c r="B57" s="1293" t="s">
        <v>49</v>
      </c>
      <c r="C57" s="1294">
        <v>46</v>
      </c>
      <c r="D57" s="1294">
        <v>1904522</v>
      </c>
      <c r="E57" s="1294">
        <v>203</v>
      </c>
      <c r="F57" s="1294">
        <v>7033792</v>
      </c>
    </row>
    <row r="58" spans="1:6">
      <c r="A58" s="1293" t="s">
        <v>48</v>
      </c>
      <c r="B58" s="1293" t="s">
        <v>50</v>
      </c>
      <c r="C58" s="1294">
        <v>32</v>
      </c>
      <c r="D58" s="1294">
        <v>10258120</v>
      </c>
      <c r="E58" s="1294">
        <v>64</v>
      </c>
      <c r="F58" s="1294">
        <v>3788965</v>
      </c>
    </row>
    <row r="59" spans="1:6">
      <c r="A59" s="1293" t="s">
        <v>48</v>
      </c>
      <c r="B59" s="1293" t="s">
        <v>51</v>
      </c>
      <c r="C59" s="1294">
        <v>141</v>
      </c>
      <c r="D59" s="1294">
        <v>8035770</v>
      </c>
      <c r="E59" s="1294">
        <v>372</v>
      </c>
      <c r="F59" s="1294">
        <v>10891189</v>
      </c>
    </row>
    <row r="60" spans="1:6">
      <c r="A60" s="1293" t="s">
        <v>48</v>
      </c>
      <c r="B60" s="1293" t="s">
        <v>52</v>
      </c>
      <c r="C60" s="1294">
        <v>66</v>
      </c>
      <c r="D60" s="1294">
        <v>3775093</v>
      </c>
      <c r="E60" s="1294">
        <v>129</v>
      </c>
      <c r="F60" s="1294">
        <v>3239826</v>
      </c>
    </row>
    <row r="61" spans="1:6">
      <c r="A61" s="1293" t="s">
        <v>48</v>
      </c>
      <c r="B61" s="1293" t="s">
        <v>53</v>
      </c>
      <c r="C61" s="1294">
        <v>123</v>
      </c>
      <c r="D61" s="1294">
        <v>3728912</v>
      </c>
      <c r="E61" s="1294">
        <v>430</v>
      </c>
      <c r="F61" s="1294">
        <v>6740366</v>
      </c>
    </row>
    <row r="62" spans="1:6">
      <c r="A62" s="1293" t="s">
        <v>48</v>
      </c>
      <c r="B62" s="1293" t="s">
        <v>54</v>
      </c>
      <c r="C62" s="1294">
        <v>11</v>
      </c>
      <c r="D62" s="1294">
        <v>1917364</v>
      </c>
      <c r="E62" s="1294">
        <v>31</v>
      </c>
      <c r="F62" s="1294">
        <v>793842</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57773</v>
      </c>
      <c r="E65" s="1294">
        <v>1</v>
      </c>
      <c r="F65" s="1294">
        <v>19872</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8</v>
      </c>
      <c r="F68" s="1296">
        <v>96739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114801555</v>
      </c>
      <c r="E73" s="445"/>
      <c r="F73" s="327"/>
    </row>
    <row r="74" spans="1:6">
      <c r="A74" s="1293" t="s">
        <v>63</v>
      </c>
      <c r="B74" s="1293" t="s">
        <v>749</v>
      </c>
      <c r="C74" s="1306" t="s">
        <v>743</v>
      </c>
      <c r="D74" s="1294">
        <v>7034018.8191731339</v>
      </c>
      <c r="E74" s="445"/>
      <c r="F74" s="327"/>
    </row>
    <row r="75" spans="1:6">
      <c r="A75" s="1293" t="s">
        <v>64</v>
      </c>
      <c r="B75" s="1293" t="s">
        <v>748</v>
      </c>
      <c r="C75" s="1306" t="s">
        <v>744</v>
      </c>
      <c r="D75" s="1294">
        <v>42172828</v>
      </c>
      <c r="E75" s="445"/>
      <c r="F75" s="327"/>
    </row>
    <row r="76" spans="1:6">
      <c r="A76" s="1293" t="s">
        <v>64</v>
      </c>
      <c r="B76" s="1293" t="s">
        <v>749</v>
      </c>
      <c r="C76" s="1306" t="s">
        <v>745</v>
      </c>
      <c r="D76" s="1294">
        <v>621971.81917313393</v>
      </c>
      <c r="E76" s="445"/>
      <c r="F76" s="327"/>
    </row>
    <row r="77" spans="1:6">
      <c r="A77" s="1293" t="s">
        <v>65</v>
      </c>
      <c r="B77" s="1293" t="s">
        <v>748</v>
      </c>
      <c r="C77" s="1306" t="s">
        <v>746</v>
      </c>
      <c r="D77" s="1294">
        <v>48840695</v>
      </c>
      <c r="E77" s="445"/>
      <c r="F77" s="327"/>
    </row>
    <row r="78" spans="1:6">
      <c r="A78" s="1288" t="s">
        <v>65</v>
      </c>
      <c r="B78" s="1288" t="s">
        <v>749</v>
      </c>
      <c r="C78" s="1288" t="s">
        <v>747</v>
      </c>
      <c r="D78" s="1296">
        <v>9789650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826044.36165373202</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7186.1606365255648</v>
      </c>
      <c r="C91" s="327"/>
      <c r="D91" s="327"/>
      <c r="E91" s="327"/>
      <c r="F91" s="327"/>
    </row>
    <row r="92" spans="1:6">
      <c r="A92" s="1288" t="s">
        <v>68</v>
      </c>
      <c r="B92" s="1289">
        <v>5040.9475118823902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1612</v>
      </c>
      <c r="C97" s="327"/>
      <c r="D97" s="327"/>
      <c r="E97" s="327"/>
      <c r="F97" s="327"/>
    </row>
    <row r="98" spans="1:6">
      <c r="A98" s="1293" t="s">
        <v>71</v>
      </c>
      <c r="B98" s="1294">
        <v>4</v>
      </c>
      <c r="C98" s="327"/>
      <c r="D98" s="327"/>
      <c r="E98" s="327"/>
      <c r="F98" s="327"/>
    </row>
    <row r="99" spans="1:6">
      <c r="A99" s="1293" t="s">
        <v>72</v>
      </c>
      <c r="B99" s="1294">
        <v>46</v>
      </c>
      <c r="C99" s="327"/>
      <c r="D99" s="327"/>
      <c r="E99" s="327"/>
      <c r="F99" s="327"/>
    </row>
    <row r="100" spans="1:6">
      <c r="A100" s="1293" t="s">
        <v>73</v>
      </c>
      <c r="B100" s="1294">
        <v>530</v>
      </c>
      <c r="C100" s="327"/>
      <c r="D100" s="327"/>
      <c r="E100" s="327"/>
      <c r="F100" s="327"/>
    </row>
    <row r="101" spans="1:6">
      <c r="A101" s="1293" t="s">
        <v>74</v>
      </c>
      <c r="B101" s="1294">
        <v>102</v>
      </c>
      <c r="C101" s="327"/>
      <c r="D101" s="327"/>
      <c r="E101" s="327"/>
      <c r="F101" s="327"/>
    </row>
    <row r="102" spans="1:6">
      <c r="A102" s="1293" t="s">
        <v>75</v>
      </c>
      <c r="B102" s="1294">
        <v>145</v>
      </c>
      <c r="C102" s="327"/>
      <c r="D102" s="327"/>
      <c r="E102" s="327"/>
      <c r="F102" s="327"/>
    </row>
    <row r="103" spans="1:6">
      <c r="A103" s="1293" t="s">
        <v>76</v>
      </c>
      <c r="B103" s="1294">
        <v>254</v>
      </c>
      <c r="C103" s="327"/>
      <c r="D103" s="327"/>
      <c r="E103" s="327"/>
      <c r="F103" s="327"/>
    </row>
    <row r="104" spans="1:6">
      <c r="A104" s="1293" t="s">
        <v>77</v>
      </c>
      <c r="B104" s="1294">
        <v>8045</v>
      </c>
      <c r="C104" s="327"/>
      <c r="D104" s="327"/>
      <c r="E104" s="327"/>
      <c r="F104" s="327"/>
    </row>
    <row r="105" spans="1:6">
      <c r="A105" s="1288" t="s">
        <v>78</v>
      </c>
      <c r="B105" s="1296">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17</v>
      </c>
      <c r="C123" s="1294">
        <v>43</v>
      </c>
      <c r="D123" s="327"/>
      <c r="E123" s="327"/>
      <c r="F123" s="327"/>
    </row>
    <row r="124" spans="1:6">
      <c r="A124" s="1293" t="s">
        <v>88</v>
      </c>
      <c r="B124" s="1294">
        <v>3</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92</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14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113916.59860470139</v>
      </c>
      <c r="C3" s="44" t="s">
        <v>163</v>
      </c>
      <c r="D3" s="44"/>
      <c r="E3" s="157"/>
      <c r="F3" s="44"/>
      <c r="G3" s="44"/>
      <c r="H3" s="44"/>
      <c r="I3" s="44"/>
      <c r="J3" s="44"/>
      <c r="K3" s="97"/>
    </row>
    <row r="4" spans="1:11">
      <c r="A4" s="352" t="s">
        <v>164</v>
      </c>
      <c r="B4" s="50">
        <f>IF(ISERROR('SEAP template'!B78+'SEAP template'!C78),0,'SEAP template'!B78+'SEAP template'!C78)</f>
        <v>16862.108148407955</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1101.4941176470588</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0.1979565470238438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1573.5630252100839</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6621.4285714285716</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0.23764705882352938</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1928.662</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1928.662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0.1979565470238438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381.79126989610063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48805.233</v>
      </c>
      <c r="C5" s="18">
        <f>IF(ISERROR('Eigen informatie GS &amp; warmtenet'!B57),0,'Eigen informatie GS &amp; warmtenet'!B57)</f>
        <v>0</v>
      </c>
      <c r="D5" s="31">
        <f>(SUM(HH_hh_gas_kWh,HH_rest_gas_kWh)/1000)*0.902</f>
        <v>77633.960183999996</v>
      </c>
      <c r="E5" s="18">
        <f>B32*B41</f>
        <v>3904.3685532658878</v>
      </c>
      <c r="F5" s="18">
        <f>B36*B45</f>
        <v>119032.8616520139</v>
      </c>
      <c r="G5" s="19"/>
      <c r="H5" s="18"/>
      <c r="I5" s="18"/>
      <c r="J5" s="18">
        <f>B35*B44+C35*C44</f>
        <v>2159.8097981710457</v>
      </c>
      <c r="K5" s="18"/>
      <c r="L5" s="18"/>
      <c r="M5" s="18"/>
      <c r="N5" s="18">
        <f>B34*B43+C34*C43</f>
        <v>19088.491037540571</v>
      </c>
      <c r="O5" s="18">
        <f>B52*B53*B54</f>
        <v>211.05</v>
      </c>
      <c r="P5" s="18">
        <f>B60*B61*B62/1000-B60*B61*B62/1000/B63</f>
        <v>648.26666666666665</v>
      </c>
    </row>
    <row r="6" spans="1:16">
      <c r="A6" s="17" t="s">
        <v>622</v>
      </c>
      <c r="B6" s="766">
        <f>kWh_PV_kleiner_dan_10kW</f>
        <v>7186.1606365255648</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55991.393636525565</v>
      </c>
      <c r="C8" s="22">
        <f>C5</f>
        <v>0</v>
      </c>
      <c r="D8" s="22">
        <f>D5</f>
        <v>77633.960183999996</v>
      </c>
      <c r="E8" s="22">
        <f>E5</f>
        <v>3904.3685532658878</v>
      </c>
      <c r="F8" s="22">
        <f>F5</f>
        <v>119032.8616520139</v>
      </c>
      <c r="G8" s="22"/>
      <c r="H8" s="22"/>
      <c r="I8" s="22"/>
      <c r="J8" s="22">
        <f>J5</f>
        <v>2159.8097981710457</v>
      </c>
      <c r="K8" s="22"/>
      <c r="L8" s="22">
        <f>L5</f>
        <v>0</v>
      </c>
      <c r="M8" s="22">
        <f>M5</f>
        <v>0</v>
      </c>
      <c r="N8" s="22">
        <f>N5</f>
        <v>19088.491037540571</v>
      </c>
      <c r="O8" s="22">
        <f>O5</f>
        <v>211.05</v>
      </c>
      <c r="P8" s="22">
        <f>P5</f>
        <v>648.26666666666665</v>
      </c>
    </row>
    <row r="9" spans="1:16">
      <c r="B9" s="20"/>
      <c r="C9" s="20"/>
      <c r="D9" s="258"/>
      <c r="E9" s="20"/>
      <c r="F9" s="20"/>
      <c r="G9" s="20"/>
      <c r="H9" s="20"/>
      <c r="I9" s="20"/>
      <c r="J9" s="20"/>
      <c r="K9" s="20"/>
      <c r="L9" s="20"/>
      <c r="M9" s="20"/>
      <c r="N9" s="20"/>
      <c r="O9" s="20"/>
      <c r="P9" s="20"/>
    </row>
    <row r="10" spans="1:16">
      <c r="A10" s="25" t="s">
        <v>207</v>
      </c>
      <c r="B10" s="26">
        <f ca="1">'EF ele_warmte'!B12</f>
        <v>0.1979565470238438</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11083.862947339421</v>
      </c>
      <c r="C12" s="24">
        <f ca="1">C10*C8</f>
        <v>0</v>
      </c>
      <c r="D12" s="24">
        <f>D8*D10</f>
        <v>15682.059957168</v>
      </c>
      <c r="E12" s="24">
        <f>E10*E8</f>
        <v>886.29166159135661</v>
      </c>
      <c r="F12" s="24">
        <f>F10*F8</f>
        <v>31781.774061087715</v>
      </c>
      <c r="G12" s="24"/>
      <c r="H12" s="24"/>
      <c r="I12" s="24"/>
      <c r="J12" s="24">
        <f>J10*J8</f>
        <v>764.57266855255011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12569</v>
      </c>
      <c r="C26" s="37"/>
      <c r="D26" s="228"/>
    </row>
    <row r="27" spans="1:5" s="16" customFormat="1">
      <c r="A27" s="230" t="s">
        <v>648</v>
      </c>
      <c r="B27" s="38">
        <f>SUM(HH_hh_gas_aantal,HH_rest_gas_aantal)</f>
        <v>5293</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5028.3500000000004</v>
      </c>
      <c r="C31" s="35" t="s">
        <v>104</v>
      </c>
      <c r="D31" s="174"/>
    </row>
    <row r="32" spans="1:5">
      <c r="A32" s="171" t="s">
        <v>72</v>
      </c>
      <c r="B32" s="34">
        <f>IF((B21*($B$26-($B$27-0.05*$B$27)-$B$60))&lt;0,0,B21*($B$26-($B$27-0.05*$B$27)-$B$60))</f>
        <v>184.47840521104527</v>
      </c>
      <c r="C32" s="35" t="s">
        <v>104</v>
      </c>
      <c r="D32" s="174"/>
    </row>
    <row r="33" spans="1:6">
      <c r="A33" s="171" t="s">
        <v>73</v>
      </c>
      <c r="B33" s="34">
        <f>IF((B22*($B$26-($B$27-0.05*$B$27)-$B$60))&lt;0,0,B22*($B$26-($B$27-0.05*$B$27)-$B$60))</f>
        <v>1241.7560306320022</v>
      </c>
      <c r="C33" s="35" t="s">
        <v>104</v>
      </c>
      <c r="D33" s="174"/>
    </row>
    <row r="34" spans="1:6">
      <c r="A34" s="171" t="s">
        <v>74</v>
      </c>
      <c r="B34" s="34">
        <f>IF((B24*($B$26-($B$27-0.05*$B$27)-$B$60))&lt;0,0,B24*($B$26-($B$27-0.05*$B$27)-$B$60))</f>
        <v>314.93550321377916</v>
      </c>
      <c r="C34" s="34">
        <f>B26*C24</f>
        <v>2570.3897564725689</v>
      </c>
      <c r="D34" s="233"/>
    </row>
    <row r="35" spans="1:6">
      <c r="A35" s="171" t="s">
        <v>76</v>
      </c>
      <c r="B35" s="34">
        <f>IF((B19*($B$26-($B$27-0.05*$B$27)-$B$60))&lt;0,0,B19*($B$26-($B$27-0.05*$B$27)-$B$60))</f>
        <v>117.08305367766857</v>
      </c>
      <c r="C35" s="34">
        <f>B35/2</f>
        <v>58.541526838834287</v>
      </c>
      <c r="D35" s="233"/>
    </row>
    <row r="36" spans="1:6">
      <c r="A36" s="171" t="s">
        <v>77</v>
      </c>
      <c r="B36" s="34">
        <f>IF((B18*($B$26-($B$27-0.05*$B$27)-$B$60))&lt;0,0,B18*($B$26-($B$27-0.05*$B$27)-$B$60))</f>
        <v>5648.3970072655029</v>
      </c>
      <c r="C36" s="35" t="s">
        <v>104</v>
      </c>
      <c r="D36" s="174"/>
    </row>
    <row r="37" spans="1:6">
      <c r="A37" s="171" t="s">
        <v>78</v>
      </c>
      <c r="B37" s="34">
        <f>B60</f>
        <v>34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135</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34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32487.980000000003</v>
      </c>
      <c r="C5" s="18">
        <f>IF(ISERROR('Eigen informatie GS &amp; warmtenet'!B58),0,'Eigen informatie GS &amp; warmtenet'!B58)</f>
        <v>0</v>
      </c>
      <c r="D5" s="31">
        <f>SUM(D6:D12)</f>
        <v>26717.042462000005</v>
      </c>
      <c r="E5" s="18">
        <f>SUM(E6:E12)</f>
        <v>299.62386979770304</v>
      </c>
      <c r="F5" s="18">
        <f>SUM(F6:F12)</f>
        <v>7432.8665360662189</v>
      </c>
      <c r="G5" s="19"/>
      <c r="H5" s="18"/>
      <c r="I5" s="18"/>
      <c r="J5" s="18">
        <f>SUM(J6:J12)</f>
        <v>0</v>
      </c>
      <c r="K5" s="18"/>
      <c r="L5" s="18"/>
      <c r="M5" s="18"/>
      <c r="N5" s="18">
        <f>SUM(N6:N12)</f>
        <v>4148.6665681843579</v>
      </c>
      <c r="O5" s="18">
        <f>B38*B39*B40</f>
        <v>1.5633333333333335</v>
      </c>
      <c r="P5" s="18">
        <f>B46*B47*B48/1000-B46*B47*B48/1000/B49</f>
        <v>0</v>
      </c>
      <c r="R5" s="33"/>
    </row>
    <row r="6" spans="1:18">
      <c r="A6" s="33" t="s">
        <v>53</v>
      </c>
      <c r="B6" s="38">
        <f>B26</f>
        <v>6740.366</v>
      </c>
      <c r="C6" s="34"/>
      <c r="D6" s="38">
        <f>IF(ISERROR(TER_kantoor_gas_kWh/1000),0,TER_kantoor_gas_kWh/1000)*0.902</f>
        <v>3363.4786239999999</v>
      </c>
      <c r="E6" s="34">
        <f>$C$26*'E Balans VL '!I12/100/3.6*1000000</f>
        <v>11.062306715401483</v>
      </c>
      <c r="F6" s="34">
        <f>$C$26*('E Balans VL '!L12+'E Balans VL '!N12)/100/3.6*1000000</f>
        <v>794.53055920029726</v>
      </c>
      <c r="G6" s="35"/>
      <c r="H6" s="34"/>
      <c r="I6" s="34"/>
      <c r="J6" s="34">
        <f>$C$26*('E Balans VL '!D12+'E Balans VL '!E12)/100/3.6*1000000</f>
        <v>0</v>
      </c>
      <c r="K6" s="34"/>
      <c r="L6" s="34"/>
      <c r="M6" s="34"/>
      <c r="N6" s="34">
        <f>$C$26*'E Balans VL '!Y12/100/3.6*1000000</f>
        <v>1.3618590320539263</v>
      </c>
      <c r="O6" s="34"/>
      <c r="P6" s="34"/>
      <c r="R6" s="33"/>
    </row>
    <row r="7" spans="1:18">
      <c r="A7" s="33" t="s">
        <v>52</v>
      </c>
      <c r="B7" s="38">
        <f t="shared" ref="B7:B12" si="0">B27</f>
        <v>3239.826</v>
      </c>
      <c r="C7" s="34"/>
      <c r="D7" s="38">
        <f>IF(ISERROR(TER_horeca_gas_kWh/1000),0,TER_horeca_gas_kWh/1000)*0.902</f>
        <v>3405.1338860000001</v>
      </c>
      <c r="E7" s="34">
        <f>$C$27*'E Balans VL '!I9/100/3.6*1000000</f>
        <v>168.1235255173836</v>
      </c>
      <c r="F7" s="34">
        <f>$C$27*('E Balans VL '!L9+'E Balans VL '!N9)/100/3.6*1000000</f>
        <v>739.33064402939681</v>
      </c>
      <c r="G7" s="35"/>
      <c r="H7" s="34"/>
      <c r="I7" s="34"/>
      <c r="J7" s="34">
        <f>$C$27*('E Balans VL '!D9+'E Balans VL '!E9)/100/3.6*1000000</f>
        <v>0</v>
      </c>
      <c r="K7" s="34"/>
      <c r="L7" s="34"/>
      <c r="M7" s="34"/>
      <c r="N7" s="34">
        <f>$C$27*'E Balans VL '!Y9/100/3.6*1000000</f>
        <v>0.34212414088496129</v>
      </c>
      <c r="O7" s="34"/>
      <c r="P7" s="34"/>
      <c r="R7" s="33"/>
    </row>
    <row r="8" spans="1:18">
      <c r="A8" s="6" t="s">
        <v>51</v>
      </c>
      <c r="B8" s="38">
        <f t="shared" si="0"/>
        <v>10891.189</v>
      </c>
      <c r="C8" s="34"/>
      <c r="D8" s="38">
        <f>IF(ISERROR(TER_handel_gas_kWh/1000),0,TER_handel_gas_kWh/1000)*0.902</f>
        <v>7248.264540000001</v>
      </c>
      <c r="E8" s="34">
        <f>$C$28*'E Balans VL '!I13/100/3.6*1000000</f>
        <v>58.650391114247114</v>
      </c>
      <c r="F8" s="34">
        <f>$C$28*('E Balans VL '!L13+'E Balans VL '!N13)/100/3.6*1000000</f>
        <v>2221.0370940863431</v>
      </c>
      <c r="G8" s="35"/>
      <c r="H8" s="34"/>
      <c r="I8" s="34"/>
      <c r="J8" s="34">
        <f>$C$28*('E Balans VL '!D13+'E Balans VL '!E13)/100/3.6*1000000</f>
        <v>0</v>
      </c>
      <c r="K8" s="34"/>
      <c r="L8" s="34"/>
      <c r="M8" s="34"/>
      <c r="N8" s="34">
        <f>$C$28*'E Balans VL '!Y13/100/3.6*1000000</f>
        <v>54.156131424872129</v>
      </c>
      <c r="O8" s="34"/>
      <c r="P8" s="34"/>
      <c r="R8" s="33"/>
    </row>
    <row r="9" spans="1:18">
      <c r="A9" s="33" t="s">
        <v>50</v>
      </c>
      <c r="B9" s="38">
        <f t="shared" si="0"/>
        <v>3788.9650000000001</v>
      </c>
      <c r="C9" s="34"/>
      <c r="D9" s="38">
        <f>IF(ISERROR(TER_gezond_gas_kWh/1000),0,TER_gezond_gas_kWh/1000)*0.902</f>
        <v>9252.8242400000017</v>
      </c>
      <c r="E9" s="34">
        <f>$C$29*'E Balans VL '!I10/100/3.6*1000000</f>
        <v>3.7549074029316558</v>
      </c>
      <c r="F9" s="34">
        <f>$C$29*('E Balans VL '!L10+'E Balans VL '!N10)/100/3.6*1000000</f>
        <v>1314.6616422737509</v>
      </c>
      <c r="G9" s="35"/>
      <c r="H9" s="34"/>
      <c r="I9" s="34"/>
      <c r="J9" s="34">
        <f>$C$29*('E Balans VL '!D10+'E Balans VL '!E10)/100/3.6*1000000</f>
        <v>0</v>
      </c>
      <c r="K9" s="34"/>
      <c r="L9" s="34"/>
      <c r="M9" s="34"/>
      <c r="N9" s="34">
        <f>$C$29*'E Balans VL '!Y10/100/3.6*1000000</f>
        <v>32.649183168535714</v>
      </c>
      <c r="O9" s="34"/>
      <c r="P9" s="34"/>
      <c r="R9" s="33"/>
    </row>
    <row r="10" spans="1:18">
      <c r="A10" s="33" t="s">
        <v>49</v>
      </c>
      <c r="B10" s="38">
        <f t="shared" si="0"/>
        <v>7033.7920000000004</v>
      </c>
      <c r="C10" s="34"/>
      <c r="D10" s="38">
        <f>IF(ISERROR(TER_ander_gas_kWh/1000),0,TER_ander_gas_kWh/1000)*0.902</f>
        <v>1717.8788440000001</v>
      </c>
      <c r="E10" s="34">
        <f>$C$30*'E Balans VL '!I14/100/3.6*1000000</f>
        <v>57.54344833445866</v>
      </c>
      <c r="F10" s="34">
        <f>$C$30*('E Balans VL '!L14+'E Balans VL '!N14)/100/3.6*1000000</f>
        <v>2056.3944232677532</v>
      </c>
      <c r="G10" s="35"/>
      <c r="H10" s="34"/>
      <c r="I10" s="34"/>
      <c r="J10" s="34">
        <f>$C$30*('E Balans VL '!D14+'E Balans VL '!E14)/100/3.6*1000000</f>
        <v>0</v>
      </c>
      <c r="K10" s="34"/>
      <c r="L10" s="34"/>
      <c r="M10" s="34"/>
      <c r="N10" s="34">
        <f>$C$30*'E Balans VL '!Y14/100/3.6*1000000</f>
        <v>4057.5750725087196</v>
      </c>
      <c r="O10" s="34"/>
      <c r="P10" s="34"/>
      <c r="R10" s="33"/>
    </row>
    <row r="11" spans="1:18">
      <c r="A11" s="33" t="s">
        <v>54</v>
      </c>
      <c r="B11" s="38">
        <f t="shared" si="0"/>
        <v>793.84199999999998</v>
      </c>
      <c r="C11" s="34"/>
      <c r="D11" s="38">
        <f>IF(ISERROR(TER_onderwijs_gas_kWh/1000),0,TER_onderwijs_gas_kWh/1000)*0.902</f>
        <v>1729.4623280000001</v>
      </c>
      <c r="E11" s="34">
        <f>$C$31*'E Balans VL '!I11/100/3.6*1000000</f>
        <v>0.48929071328052387</v>
      </c>
      <c r="F11" s="34">
        <f>$C$31*('E Balans VL '!L11+'E Balans VL '!N11)/100/3.6*1000000</f>
        <v>306.91217320867815</v>
      </c>
      <c r="G11" s="35"/>
      <c r="H11" s="34"/>
      <c r="I11" s="34"/>
      <c r="J11" s="34">
        <f>$C$31*('E Balans VL '!D11+'E Balans VL '!E11)/100/3.6*1000000</f>
        <v>0</v>
      </c>
      <c r="K11" s="34"/>
      <c r="L11" s="34"/>
      <c r="M11" s="34"/>
      <c r="N11" s="34">
        <f>$C$31*'E Balans VL '!Y11/100/3.6*1000000</f>
        <v>2.5821979092916374</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32487.980000000003</v>
      </c>
      <c r="C16" s="22">
        <f t="shared" ca="1" si="1"/>
        <v>0</v>
      </c>
      <c r="D16" s="22">
        <f t="shared" ca="1" si="1"/>
        <v>26717.042462000005</v>
      </c>
      <c r="E16" s="22">
        <f t="shared" si="1"/>
        <v>299.62386979770304</v>
      </c>
      <c r="F16" s="22">
        <f t="shared" ca="1" si="1"/>
        <v>7432.8665360662189</v>
      </c>
      <c r="G16" s="22">
        <f t="shared" si="1"/>
        <v>0</v>
      </c>
      <c r="H16" s="22">
        <f t="shared" si="1"/>
        <v>0</v>
      </c>
      <c r="I16" s="22">
        <f t="shared" si="1"/>
        <v>0</v>
      </c>
      <c r="J16" s="22">
        <f t="shared" si="1"/>
        <v>0</v>
      </c>
      <c r="K16" s="22">
        <f t="shared" si="1"/>
        <v>0</v>
      </c>
      <c r="L16" s="22">
        <f t="shared" ca="1" si="1"/>
        <v>0</v>
      </c>
      <c r="M16" s="22">
        <f t="shared" si="1"/>
        <v>0</v>
      </c>
      <c r="N16" s="22">
        <f t="shared" ca="1" si="1"/>
        <v>4148.6665681843579</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0.1979565470238438</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6431.2083405796975</v>
      </c>
      <c r="C20" s="24">
        <f t="shared" ref="C20:P20" ca="1" si="2">C16*C18</f>
        <v>0</v>
      </c>
      <c r="D20" s="24">
        <f t="shared" ca="1" si="2"/>
        <v>5396.8425773240015</v>
      </c>
      <c r="E20" s="24">
        <f t="shared" si="2"/>
        <v>68.014618444078593</v>
      </c>
      <c r="F20" s="24">
        <f t="shared" ca="1" si="2"/>
        <v>1984.5753651296807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6740.366</v>
      </c>
      <c r="C26" s="40">
        <f>IF(ISERROR(B26*3.6/1000000/'E Balans VL '!Z12*100),0,B26*3.6/1000000/'E Balans VL '!Z12*100)</f>
        <v>0.14322794377429551</v>
      </c>
      <c r="D26" s="236" t="s">
        <v>685</v>
      </c>
      <c r="F26" s="6"/>
    </row>
    <row r="27" spans="1:18">
      <c r="A27" s="231" t="s">
        <v>52</v>
      </c>
      <c r="B27" s="34">
        <f>IF(ISERROR(TER_horeca_ele_kWh/1000),0,TER_horeca_ele_kWh/1000)</f>
        <v>3239.826</v>
      </c>
      <c r="C27" s="40">
        <f>IF(ISERROR(B27*3.6/1000000/'E Balans VL '!Z9*100),0,B27*3.6/1000000/'E Balans VL '!Z9*100)</f>
        <v>0.25499935966580967</v>
      </c>
      <c r="D27" s="236" t="s">
        <v>685</v>
      </c>
      <c r="F27" s="6"/>
    </row>
    <row r="28" spans="1:18">
      <c r="A28" s="171" t="s">
        <v>51</v>
      </c>
      <c r="B28" s="34">
        <f>IF(ISERROR(TER_handel_ele_kWh/1000),0,TER_handel_ele_kWh/1000)</f>
        <v>10891.189</v>
      </c>
      <c r="C28" s="40">
        <f>IF(ISERROR(B28*3.6/1000000/'E Balans VL '!Z13*100),0,B28*3.6/1000000/'E Balans VL '!Z13*100)</f>
        <v>0.3050680326242361</v>
      </c>
      <c r="D28" s="236" t="s">
        <v>685</v>
      </c>
      <c r="F28" s="6"/>
    </row>
    <row r="29" spans="1:18">
      <c r="A29" s="231" t="s">
        <v>50</v>
      </c>
      <c r="B29" s="34">
        <f>IF(ISERROR(TER_gezond_ele_kWh/1000),0,TER_gezond_ele_kWh/1000)</f>
        <v>3788.9650000000001</v>
      </c>
      <c r="C29" s="40">
        <f>IF(ISERROR(B29*3.6/1000000/'E Balans VL '!Z10*100),0,B29*3.6/1000000/'E Balans VL '!Z10*100)</f>
        <v>0.48472319718721446</v>
      </c>
      <c r="D29" s="236" t="s">
        <v>685</v>
      </c>
      <c r="F29" s="6"/>
    </row>
    <row r="30" spans="1:18">
      <c r="A30" s="231" t="s">
        <v>49</v>
      </c>
      <c r="B30" s="34">
        <f>IF(ISERROR(TER_ander_ele_kWh/1000),0,TER_ander_ele_kWh/1000)</f>
        <v>7033.7920000000004</v>
      </c>
      <c r="C30" s="40">
        <f>IF(ISERROR(B30*3.6/1000000/'E Balans VL '!Z14*100),0,B30*3.6/1000000/'E Balans VL '!Z14*100)</f>
        <v>0.52606837383326521</v>
      </c>
      <c r="D30" s="236" t="s">
        <v>685</v>
      </c>
      <c r="F30" s="6"/>
    </row>
    <row r="31" spans="1:18">
      <c r="A31" s="231" t="s">
        <v>54</v>
      </c>
      <c r="B31" s="34">
        <f>IF(ISERROR(TER_onderwijs_ele_kWh/1000),0,TER_onderwijs_ele_kWh/1000)</f>
        <v>793.84199999999998</v>
      </c>
      <c r="C31" s="40">
        <f>IF(ISERROR(B31*3.6/1000000/'E Balans VL '!Z11*100),0,B31*3.6/1000000/'E Balans VL '!Z11*100)</f>
        <v>0.167620766588227</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15562.983</v>
      </c>
      <c r="C5" s="18">
        <f>IF(ISERROR('Eigen informatie GS &amp; warmtenet'!B59),0,'Eigen informatie GS &amp; warmtenet'!B59)</f>
        <v>0</v>
      </c>
      <c r="D5" s="31">
        <f>SUM(D6:D15)</f>
        <v>107648.19148600001</v>
      </c>
      <c r="E5" s="18">
        <f>SUM(E6:E15)</f>
        <v>174.20079960207116</v>
      </c>
      <c r="F5" s="18">
        <f>SUM(F6:F15)</f>
        <v>8878.441130932415</v>
      </c>
      <c r="G5" s="19"/>
      <c r="H5" s="18"/>
      <c r="I5" s="18"/>
      <c r="J5" s="18">
        <f>SUM(J6:J15)</f>
        <v>43.36992967930221</v>
      </c>
      <c r="K5" s="18"/>
      <c r="L5" s="18"/>
      <c r="M5" s="18"/>
      <c r="N5" s="18">
        <f>SUM(N6:N15)</f>
        <v>792.71068514700096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1074.8869999999999</v>
      </c>
      <c r="C8" s="34"/>
      <c r="D8" s="38">
        <f>IF( ISERROR(IND_metaal_Gas_kWH/1000),0,IND_metaal_Gas_kWH/1000)*0.902</f>
        <v>3543.0217240000002</v>
      </c>
      <c r="E8" s="34">
        <f>C30*'E Balans VL '!I18/100/3.6*1000000</f>
        <v>9.78880220108298</v>
      </c>
      <c r="F8" s="34">
        <f>C30*'E Balans VL '!L18/100/3.6*1000000+C30*'E Balans VL '!N18/100/3.6*1000000</f>
        <v>141.76943246792092</v>
      </c>
      <c r="G8" s="35"/>
      <c r="H8" s="34"/>
      <c r="I8" s="34"/>
      <c r="J8" s="41">
        <f>C30*'E Balans VL '!D18/100/3.6*1000000+C30*'E Balans VL '!E18/100/3.6*1000000</f>
        <v>17.626586120274393</v>
      </c>
      <c r="K8" s="34"/>
      <c r="L8" s="34"/>
      <c r="M8" s="34"/>
      <c r="N8" s="34">
        <f>C30*'E Balans VL '!Y18/100/3.6*1000000</f>
        <v>3.6939596212345815</v>
      </c>
      <c r="O8" s="34"/>
      <c r="P8" s="34"/>
      <c r="R8" s="33"/>
    </row>
    <row r="9" spans="1:18">
      <c r="A9" s="6" t="s">
        <v>32</v>
      </c>
      <c r="B9" s="38">
        <f t="shared" si="0"/>
        <v>9511.3809999999994</v>
      </c>
      <c r="C9" s="34"/>
      <c r="D9" s="38">
        <f>IF( ISERROR(IND_andere_gas_kWh/1000),0,IND_andere_gas_kWh/1000)*0.902</f>
        <v>2743.4817080000003</v>
      </c>
      <c r="E9" s="34">
        <f>C31*'E Balans VL '!I19/100/3.6*1000000</f>
        <v>54.977203538325654</v>
      </c>
      <c r="F9" s="34">
        <f>C31*'E Balans VL '!L19/100/3.6*1000000+C31*'E Balans VL '!N19/100/3.6*1000000</f>
        <v>7566.7612550430686</v>
      </c>
      <c r="G9" s="35"/>
      <c r="H9" s="34"/>
      <c r="I9" s="34"/>
      <c r="J9" s="41">
        <f>C31*'E Balans VL '!D19/100/3.6*1000000+C31*'E Balans VL '!E19/100/3.6*1000000</f>
        <v>0.89967099317224486</v>
      </c>
      <c r="K9" s="34"/>
      <c r="L9" s="34"/>
      <c r="M9" s="34"/>
      <c r="N9" s="34">
        <f>C31*'E Balans VL '!Y19/100/3.6*1000000</f>
        <v>720.63104940104927</v>
      </c>
      <c r="O9" s="34"/>
      <c r="P9" s="34"/>
      <c r="R9" s="33"/>
    </row>
    <row r="10" spans="1:18">
      <c r="A10" s="6" t="s">
        <v>40</v>
      </c>
      <c r="B10" s="38">
        <f t="shared" si="0"/>
        <v>895.42600000000004</v>
      </c>
      <c r="C10" s="34"/>
      <c r="D10" s="38">
        <f>IF( ISERROR(IND_voed_gas_kWh/1000),0,IND_voed_gas_kWh/1000)*0.902</f>
        <v>626.35330999999996</v>
      </c>
      <c r="E10" s="34">
        <f>C32*'E Balans VL '!I20/100/3.6*1000000</f>
        <v>8.804380149907125</v>
      </c>
      <c r="F10" s="34">
        <f>C32*'E Balans VL '!L20/100/3.6*1000000+C32*'E Balans VL '!N20/100/3.6*1000000</f>
        <v>99.448744977156977</v>
      </c>
      <c r="G10" s="35"/>
      <c r="H10" s="34"/>
      <c r="I10" s="34"/>
      <c r="J10" s="41">
        <f>C32*'E Balans VL '!D20/100/3.6*1000000+C32*'E Balans VL '!E20/100/3.6*1000000</f>
        <v>3.5292803649440221E-3</v>
      </c>
      <c r="K10" s="34"/>
      <c r="L10" s="34"/>
      <c r="M10" s="34"/>
      <c r="N10" s="34">
        <f>C32*'E Balans VL '!Y20/100/3.6*1000000</f>
        <v>13.259152796031502</v>
      </c>
      <c r="O10" s="34"/>
      <c r="P10" s="34"/>
      <c r="R10" s="33"/>
    </row>
    <row r="11" spans="1:18">
      <c r="A11" s="6" t="s">
        <v>39</v>
      </c>
      <c r="B11" s="38">
        <f t="shared" si="0"/>
        <v>175.15100000000001</v>
      </c>
      <c r="C11" s="34"/>
      <c r="D11" s="38">
        <f>IF( ISERROR(IND_textiel_gas_kWh/1000),0,IND_textiel_gas_kWh/1000)*0.902</f>
        <v>0</v>
      </c>
      <c r="E11" s="34">
        <f>C33*'E Balans VL '!I21/100/3.6*1000000</f>
        <v>0.34105966826128997</v>
      </c>
      <c r="F11" s="34">
        <f>C33*'E Balans VL '!L21/100/3.6*1000000+C33*'E Balans VL '!N21/100/3.6*1000000</f>
        <v>5.7770547386339484</v>
      </c>
      <c r="G11" s="35"/>
      <c r="H11" s="34"/>
      <c r="I11" s="34"/>
      <c r="J11" s="41">
        <f>C33*'E Balans VL '!D21/100/3.6*1000000+C33*'E Balans VL '!E21/100/3.6*1000000</f>
        <v>0</v>
      </c>
      <c r="K11" s="34"/>
      <c r="L11" s="34"/>
      <c r="M11" s="34"/>
      <c r="N11" s="34">
        <f>C33*'E Balans VL '!Y21/100/3.6*1000000</f>
        <v>1.8167765481831761</v>
      </c>
      <c r="O11" s="34"/>
      <c r="P11" s="34"/>
      <c r="R11" s="33"/>
    </row>
    <row r="12" spans="1:18">
      <c r="A12" s="6" t="s">
        <v>36</v>
      </c>
      <c r="B12" s="38">
        <f t="shared" si="0"/>
        <v>3761.2640000000001</v>
      </c>
      <c r="C12" s="34"/>
      <c r="D12" s="38">
        <f>IF( ISERROR(IND_min_gas_kWh/1000),0,IND_min_gas_kWh/1000)*0.902</f>
        <v>100555.718582</v>
      </c>
      <c r="E12" s="34">
        <f>C34*'E Balans VL '!I22/100/3.6*1000000</f>
        <v>95.354735550774592</v>
      </c>
      <c r="F12" s="34">
        <f>C34*'E Balans VL '!L22/100/3.6*1000000+C34*'E Balans VL '!N22/100/3.6*1000000</f>
        <v>1040.7548590252266</v>
      </c>
      <c r="G12" s="35"/>
      <c r="H12" s="34"/>
      <c r="I12" s="34"/>
      <c r="J12" s="41">
        <f>C34*'E Balans VL '!D22/100/3.6*1000000+C34*'E Balans VL '!E22/100/3.6*1000000</f>
        <v>24.84014328549063</v>
      </c>
      <c r="K12" s="34"/>
      <c r="L12" s="34"/>
      <c r="M12" s="34"/>
      <c r="N12" s="34">
        <f>C34*'E Balans VL '!Y22/100/3.6*1000000</f>
        <v>0</v>
      </c>
      <c r="O12" s="34"/>
      <c r="P12" s="34"/>
      <c r="R12" s="33"/>
    </row>
    <row r="13" spans="1:18">
      <c r="A13" s="6" t="s">
        <v>38</v>
      </c>
      <c r="B13" s="38">
        <f t="shared" si="0"/>
        <v>144.874</v>
      </c>
      <c r="C13" s="34"/>
      <c r="D13" s="38">
        <f>IF( ISERROR(IND_papier_gas_kWh/1000),0,IND_papier_gas_kWh/1000)*0.902</f>
        <v>179.616162</v>
      </c>
      <c r="E13" s="34">
        <f>C35*'E Balans VL '!I23/100/3.6*1000000</f>
        <v>4.9346184937195012</v>
      </c>
      <c r="F13" s="34">
        <f>C35*'E Balans VL '!L23/100/3.6*1000000+C35*'E Balans VL '!N23/100/3.6*1000000</f>
        <v>23.929784680409508</v>
      </c>
      <c r="G13" s="35"/>
      <c r="H13" s="34"/>
      <c r="I13" s="34"/>
      <c r="J13" s="41">
        <f>C35*'E Balans VL '!D23/100/3.6*1000000+C35*'E Balans VL '!E23/100/3.6*1000000</f>
        <v>0</v>
      </c>
      <c r="K13" s="34"/>
      <c r="L13" s="34"/>
      <c r="M13" s="34"/>
      <c r="N13" s="34">
        <f>C35*'E Balans VL '!Y23/100/3.6*1000000</f>
        <v>53.309746780502415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0</v>
      </c>
      <c r="C15" s="34"/>
      <c r="D15" s="38">
        <f>IF( ISERROR(IND_rest_gas_kWh/1000),0,IND_rest_gas_kWh/1000)*0.902</f>
        <v>0</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489</v>
      </c>
      <c r="B16" s="246">
        <f>'lokale energieproductie'!N37+'lokale energieproductie'!N30</f>
        <v>4635</v>
      </c>
      <c r="C16" s="246">
        <f>'lokale energieproductie'!O37+'lokale energieproductie'!O30</f>
        <v>6621.4285714285716</v>
      </c>
      <c r="D16" s="305">
        <f>('lokale energieproductie'!P30+'lokale energieproductie'!P37)*(-1)</f>
        <v>-13242.857142857143</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20197.983</v>
      </c>
      <c r="C18" s="22">
        <f>C5+C16</f>
        <v>6621.4285714285716</v>
      </c>
      <c r="D18" s="22">
        <f>MAX((D5+D16),0)</f>
        <v>94405.334343142866</v>
      </c>
      <c r="E18" s="22">
        <f>MAX((E5+E16),0)</f>
        <v>174.20079960207116</v>
      </c>
      <c r="F18" s="22">
        <f>MAX((F5+F16),0)</f>
        <v>8878.441130932415</v>
      </c>
      <c r="G18" s="22"/>
      <c r="H18" s="22"/>
      <c r="I18" s="22"/>
      <c r="J18" s="22">
        <f>MAX((J5+J16),0)</f>
        <v>43.36992967930221</v>
      </c>
      <c r="K18" s="22"/>
      <c r="L18" s="22">
        <f>MAX((L5+L16),0)</f>
        <v>0</v>
      </c>
      <c r="M18" s="22"/>
      <c r="N18" s="22">
        <f>MAX((N5+N16),0)</f>
        <v>792.71068514700096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0.1979565470238438</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3998.3229715262978</v>
      </c>
      <c r="C22" s="24">
        <f ca="1">C18*C20</f>
        <v>1573.5630252100839</v>
      </c>
      <c r="D22" s="24">
        <f>D18*D20</f>
        <v>19069.87753731486</v>
      </c>
      <c r="E22" s="24">
        <f>E18*E20</f>
        <v>39.543581509670155</v>
      </c>
      <c r="F22" s="24">
        <f>F18*F20</f>
        <v>2370.5437819589552</v>
      </c>
      <c r="G22" s="24"/>
      <c r="H22" s="24"/>
      <c r="I22" s="24"/>
      <c r="J22" s="24">
        <f>J18*J20</f>
        <v>15.352955106472981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1074.8869999999999</v>
      </c>
      <c r="C30" s="40">
        <f>IF(ISERROR(B30*3.6/1000000/'E Balans VL '!Z18*100),0,B30*3.6/1000000/'E Balans VL '!Z18*100)</f>
        <v>5.9810273842299658E-2</v>
      </c>
      <c r="D30" s="236" t="s">
        <v>685</v>
      </c>
    </row>
    <row r="31" spans="1:18">
      <c r="A31" s="6" t="s">
        <v>32</v>
      </c>
      <c r="B31" s="38">
        <f>IF( ISERROR(IND_ander_ele_kWh/1000),0,IND_ander_ele_kWh/1000)</f>
        <v>9511.3809999999994</v>
      </c>
      <c r="C31" s="40">
        <f>IF(ISERROR(B31*3.6/1000000/'E Balans VL '!Z19*100),0,B31*3.6/1000000/'E Balans VL '!Z19*100)</f>
        <v>0.4421591229242432</v>
      </c>
      <c r="D31" s="236" t="s">
        <v>685</v>
      </c>
    </row>
    <row r="32" spans="1:18">
      <c r="A32" s="171" t="s">
        <v>40</v>
      </c>
      <c r="B32" s="38">
        <f>IF( ISERROR(IND_voed_ele_kWh/1000),0,IND_voed_ele_kWh/1000)</f>
        <v>895.42600000000004</v>
      </c>
      <c r="C32" s="40">
        <f>IF(ISERROR(B32*3.6/1000000/'E Balans VL '!Z20*100),0,B32*3.6/1000000/'E Balans VL '!Z20*100)</f>
        <v>3.165150071060692E-2</v>
      </c>
      <c r="D32" s="236" t="s">
        <v>685</v>
      </c>
    </row>
    <row r="33" spans="1:5">
      <c r="A33" s="171" t="s">
        <v>39</v>
      </c>
      <c r="B33" s="38">
        <f>IF( ISERROR(IND_textiel_ele_kWh/1000),0,IND_textiel_ele_kWh/1000)</f>
        <v>175.15100000000001</v>
      </c>
      <c r="C33" s="40">
        <f>IF(ISERROR(B33*3.6/1000000/'E Balans VL '!Z21*100),0,B33*3.6/1000000/'E Balans VL '!Z21*100)</f>
        <v>2.3656800280173015E-2</v>
      </c>
      <c r="D33" s="236" t="s">
        <v>685</v>
      </c>
    </row>
    <row r="34" spans="1:5">
      <c r="A34" s="171" t="s">
        <v>36</v>
      </c>
      <c r="B34" s="38">
        <f>IF( ISERROR(IND_min_ele_kWh/1000),0,IND_min_ele_kWh/1000)</f>
        <v>3761.2640000000001</v>
      </c>
      <c r="C34" s="40">
        <f>IF(ISERROR(B34*3.6/1000000/'E Balans VL '!Z22*100),0,B34*3.6/1000000/'E Balans VL '!Z22*100)</f>
        <v>0.7559079999384789</v>
      </c>
      <c r="D34" s="236" t="s">
        <v>685</v>
      </c>
    </row>
    <row r="35" spans="1:5">
      <c r="A35" s="171" t="s">
        <v>38</v>
      </c>
      <c r="B35" s="38">
        <f>IF( ISERROR(IND_papier_ele_kWh/1000),0,IND_papier_ele_kWh/1000)</f>
        <v>144.874</v>
      </c>
      <c r="C35" s="40">
        <f>IF(ISERROR(B35*3.6/1000000/'E Balans VL '!Z22*100),0,B35*3.6/1000000/'E Balans VL '!Z22*100)</f>
        <v>2.911558869121848E-2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0</v>
      </c>
      <c r="C37" s="40">
        <f>IF(ISERROR(B37*3.6/1000000/'E Balans VL '!Z15*100),0,B37*3.6/1000000/'E Balans VL '!Z15*100)</f>
        <v>0</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1591.0060000000001</v>
      </c>
      <c r="C5" s="18">
        <f>'Eigen informatie GS &amp; warmtenet'!B60</f>
        <v>0</v>
      </c>
      <c r="D5" s="31">
        <f>IF(ISERROR(SUM(LB_lb_gas_kWh,LB_rest_gas_kWh)/1000),0,SUM(LB_lb_gas_kWh,LB_rest_gas_kWh)/1000)*0.902</f>
        <v>1538.2446420000001</v>
      </c>
      <c r="E5" s="18">
        <f>B17*'E Balans VL '!I25/3.6*1000000/100</f>
        <v>14.988342528988399</v>
      </c>
      <c r="F5" s="18">
        <f>B17*('E Balans VL '!L25/3.6*1000000+'E Balans VL '!N25/3.6*1000000)/100</f>
        <v>5191.9805865199696</v>
      </c>
      <c r="G5" s="19"/>
      <c r="H5" s="18"/>
      <c r="I5" s="18"/>
      <c r="J5" s="18">
        <f>('E Balans VL '!D25+'E Balans VL '!E25)/3.6*1000000*landbouw!B17/100</f>
        <v>196.81518085169751</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1591.0060000000001</v>
      </c>
      <c r="C8" s="22">
        <f>C5+C6</f>
        <v>0</v>
      </c>
      <c r="D8" s="22">
        <f>MAX((D5+D6),0)</f>
        <v>1538.2446420000001</v>
      </c>
      <c r="E8" s="22">
        <f>MAX((E5+E6),0)</f>
        <v>14.988342528988399</v>
      </c>
      <c r="F8" s="22">
        <f>MAX((F5+F6),0)</f>
        <v>5191.9805865199696</v>
      </c>
      <c r="G8" s="22"/>
      <c r="H8" s="22"/>
      <c r="I8" s="22"/>
      <c r="J8" s="22">
        <f>MAX((J5+J6),0)</f>
        <v>196.81518085169751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0.1979565470238438</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314.95005405421762</v>
      </c>
      <c r="C12" s="24">
        <f ca="1">C8*C10</f>
        <v>0</v>
      </c>
      <c r="D12" s="24">
        <f>D8*D10</f>
        <v>310.72541768400004</v>
      </c>
      <c r="E12" s="24">
        <f>E8*E10</f>
        <v>3.4023537540803668</v>
      </c>
      <c r="F12" s="24">
        <f>F8*F10</f>
        <v>1386.258816600832</v>
      </c>
      <c r="G12" s="24"/>
      <c r="H12" s="24"/>
      <c r="I12" s="24"/>
      <c r="J12" s="24">
        <f>J8*J10</f>
        <v>69.672574021500907</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0.21539678893683109</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341.88374138708514</v>
      </c>
      <c r="C26" s="246">
        <f>B26*'GWP N2O_CH4'!B5</f>
        <v>7179.5585691287879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98.00775372259136</v>
      </c>
      <c r="C27" s="246">
        <f>B27*'GWP N2O_CH4'!B5</f>
        <v>2058.1628281744188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5.048481303852161</v>
      </c>
      <c r="C28" s="246">
        <f>B28*'GWP N2O_CH4'!B4</f>
        <v>1565.02920419417</v>
      </c>
      <c r="D28" s="51"/>
    </row>
    <row r="29" spans="1:4">
      <c r="A29" s="42" t="s">
        <v>266</v>
      </c>
      <c r="B29" s="246">
        <f>B34*'ha_N2O bodem landbouw'!B4</f>
        <v>19.590575961906939</v>
      </c>
      <c r="C29" s="246">
        <f>B29*'GWP N2O_CH4'!B4</f>
        <v>6073.0785481911507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5.2888387931560761E-3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3.0388804864351187E-5</v>
      </c>
      <c r="C5" s="433" t="s">
        <v>204</v>
      </c>
      <c r="D5" s="418">
        <f>SUM(D6:D11)</f>
        <v>3.841470724717659E-5</v>
      </c>
      <c r="E5" s="418">
        <f>SUM(E6:E11)</f>
        <v>2.5692918145068136E-3</v>
      </c>
      <c r="F5" s="431" t="s">
        <v>204</v>
      </c>
      <c r="G5" s="418">
        <f>SUM(G6:G11)</f>
        <v>0.55243792009837178</v>
      </c>
      <c r="H5" s="418">
        <f>SUM(H6:H11)</f>
        <v>9.3391389061799945E-2</v>
      </c>
      <c r="I5" s="433" t="s">
        <v>204</v>
      </c>
      <c r="J5" s="433" t="s">
        <v>204</v>
      </c>
      <c r="K5" s="433" t="s">
        <v>204</v>
      </c>
      <c r="L5" s="433" t="s">
        <v>204</v>
      </c>
      <c r="M5" s="418">
        <f>SUM(M6:M11)</f>
        <v>2.8858921804624432E-2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1.6118518923677053E-5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1.8772940353410962E-5</v>
      </c>
      <c r="E6" s="421">
        <f>vkm_GW_PW*SUMIFS(TableVerdeelsleutelVkm[LPG],TableVerdeelsleutelVkm[Voertuigtype],"Lichte voertuigen")*SUMIFS(TableECFTransport[EnergieConsumptieFactor (PJ per km)],TableECFTransport[Index],CONCATENATE($A6,"_LPG_LPG"))</f>
        <v>1.217940129185572E-3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0.19002155860659217</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4.5795165559635649E-2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1.0552813763922678E-2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4.11734343990387E-7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6.810994699914108E-2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1.8276325834545215E-6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3.0306704542835856E-3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6.1823022159995236E-6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1.1759802574391394E-5</v>
      </c>
      <c r="E8" s="421">
        <f>vkm_NGW_PW*SUMIFS(TableVerdeelsleutelVkm[LPG],TableVerdeelsleutelVkm[Voertuigtype],"Lichte voertuigen")*SUMIFS(TableECFTransport[EnergieConsumptieFactor (PJ per km)],TableECFTransport[Index],CONCATENATE($A8,"_LPG_LPG"))</f>
        <v>7.2286284347806377E-4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0.1061724763235076</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2.7345753366324967E-2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5.9768065789768069E-3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3.6406948222788736E-8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7.72294156783757E-3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1.9506193147751881E-7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3.4364514855291574E-4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7.0668079802847322E-6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7.8819643193742301E-6</v>
      </c>
      <c r="E10" s="421">
        <f>vkm_SW_PW*SUMIFS(TableVerdeelsleutelVkm[LPG],TableVerdeelsleutelVkm[Voertuigtype],"Lichte voertuigen")*SUMIFS(TableECFTransport[EnergieConsumptieFactor (PJ per km)],TableECFTransport[Index],CONCATENATE($A10,"_LPG_LPG"))</f>
        <v>6.2848884184317781E-4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9.1617301950412428E-2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2.0245829360976467E-2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5.0039453241523804E-3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5.7303445217670229E-7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8.8793694650880911E-2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2.6180803479337674E-6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3.9510405347360639E-3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8.4413346845419959</v>
      </c>
      <c r="C14" s="22"/>
      <c r="D14" s="22">
        <f t="shared" ref="D14:M14" si="0">((D5)*10^9/3600)+D12</f>
        <v>10.670752013104609</v>
      </c>
      <c r="E14" s="22">
        <f t="shared" si="0"/>
        <v>713.69217069633703</v>
      </c>
      <c r="F14" s="22"/>
      <c r="G14" s="22">
        <f t="shared" si="0"/>
        <v>153454.97780510326</v>
      </c>
      <c r="H14" s="22">
        <f t="shared" si="0"/>
        <v>25942.052517166652</v>
      </c>
      <c r="I14" s="22"/>
      <c r="J14" s="22"/>
      <c r="K14" s="22"/>
      <c r="L14" s="22"/>
      <c r="M14" s="22">
        <f t="shared" si="0"/>
        <v>8016.3671679512308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0.1979565470238438</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1.6710174664245412</v>
      </c>
      <c r="C18" s="24"/>
      <c r="D18" s="24">
        <f t="shared" ref="D18:M18" si="1">D14*D16</f>
        <v>2.1554919066471312</v>
      </c>
      <c r="E18" s="24">
        <f t="shared" si="1"/>
        <v>162.0081227480685</v>
      </c>
      <c r="F18" s="24"/>
      <c r="G18" s="24">
        <f t="shared" si="1"/>
        <v>40972.479073962575</v>
      </c>
      <c r="H18" s="24">
        <f t="shared" si="1"/>
        <v>6459.5710767744968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5.397708056851749E-5</v>
      </c>
      <c r="C50" s="316">
        <f t="shared" ref="C50:P50" si="2">SUM(C51:C52)</f>
        <v>0</v>
      </c>
      <c r="D50" s="316">
        <f t="shared" si="2"/>
        <v>0</v>
      </c>
      <c r="E50" s="316">
        <f t="shared" si="2"/>
        <v>0</v>
      </c>
      <c r="F50" s="316">
        <f t="shared" si="2"/>
        <v>0</v>
      </c>
      <c r="G50" s="316">
        <f t="shared" si="2"/>
        <v>1.0765835138732445E-2</v>
      </c>
      <c r="H50" s="316">
        <f t="shared" si="2"/>
        <v>0</v>
      </c>
      <c r="I50" s="316">
        <f t="shared" si="2"/>
        <v>0</v>
      </c>
      <c r="J50" s="316">
        <f t="shared" si="2"/>
        <v>0</v>
      </c>
      <c r="K50" s="316">
        <f t="shared" si="2"/>
        <v>0</v>
      </c>
      <c r="L50" s="316">
        <f t="shared" si="2"/>
        <v>0</v>
      </c>
      <c r="M50" s="316">
        <f t="shared" si="2"/>
        <v>4.7583844687390899E-4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5.397708056851749E-5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1.0765835138732445E-2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4.7583844687390899E-4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14.99363349125486</v>
      </c>
      <c r="C54" s="22">
        <f t="shared" ref="C54:P54" si="3">(C50)*10^9/3600</f>
        <v>0</v>
      </c>
      <c r="D54" s="22">
        <f t="shared" si="3"/>
        <v>0</v>
      </c>
      <c r="E54" s="22">
        <f t="shared" si="3"/>
        <v>0</v>
      </c>
      <c r="F54" s="22">
        <f t="shared" si="3"/>
        <v>0</v>
      </c>
      <c r="G54" s="22">
        <f t="shared" si="3"/>
        <v>2990.5097607590124</v>
      </c>
      <c r="H54" s="22">
        <f t="shared" si="3"/>
        <v>0</v>
      </c>
      <c r="I54" s="22">
        <f t="shared" si="3"/>
        <v>0</v>
      </c>
      <c r="J54" s="22">
        <f t="shared" si="3"/>
        <v>0</v>
      </c>
      <c r="K54" s="22">
        <f t="shared" si="3"/>
        <v>0</v>
      </c>
      <c r="L54" s="22">
        <f t="shared" si="3"/>
        <v>0</v>
      </c>
      <c r="M54" s="22">
        <f t="shared" si="3"/>
        <v>132.17734635386361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0.1979565470238438</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2.9680879132698719</v>
      </c>
      <c r="C58" s="24">
        <f t="shared" ref="C58:P58" ca="1" si="4">C54*C56</f>
        <v>0</v>
      </c>
      <c r="D58" s="24">
        <f t="shared" si="4"/>
        <v>0</v>
      </c>
      <c r="E58" s="24">
        <f t="shared" si="4"/>
        <v>0</v>
      </c>
      <c r="F58" s="24">
        <f t="shared" si="4"/>
        <v>0</v>
      </c>
      <c r="G58" s="24">
        <f t="shared" si="4"/>
        <v>798.46610612265636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12227.108148407955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4635</v>
      </c>
      <c r="C8" s="544">
        <f>B48</f>
        <v>5452.9411764705883</v>
      </c>
      <c r="D8" s="967"/>
      <c r="E8" s="967">
        <f>E48</f>
        <v>0</v>
      </c>
      <c r="F8" s="968"/>
      <c r="G8" s="545"/>
      <c r="H8" s="967">
        <f>I48</f>
        <v>0</v>
      </c>
      <c r="I8" s="967">
        <f>G48+F48</f>
        <v>0</v>
      </c>
      <c r="J8" s="967">
        <f>H48+D48+C48</f>
        <v>0</v>
      </c>
      <c r="K8" s="967"/>
      <c r="L8" s="967"/>
      <c r="M8" s="967"/>
      <c r="N8" s="546"/>
      <c r="O8" s="547">
        <f>C8*$C$12+D8*$D$12+E8*$E$12+F8*$F$12+G8*$G$12+H8*$H$12+I8*$I$12+J8*$J$12</f>
        <v>1101.4941176470588</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16862.108148407955</v>
      </c>
      <c r="C10" s="556">
        <f t="shared" ref="C10:L10" si="0">SUM(C8:C9)</f>
        <v>5452.9411764705883</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1101.4941176470588</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6621.4285714285716</v>
      </c>
      <c r="C17" s="568">
        <f>B49</f>
        <v>7789.9159663865539</v>
      </c>
      <c r="D17" s="569"/>
      <c r="E17" s="569">
        <f>E49</f>
        <v>0</v>
      </c>
      <c r="F17" s="570"/>
      <c r="G17" s="571"/>
      <c r="H17" s="568">
        <f>I49</f>
        <v>0</v>
      </c>
      <c r="I17" s="569">
        <f>G49+F49</f>
        <v>0</v>
      </c>
      <c r="J17" s="569">
        <f>H49+D49+C49</f>
        <v>0</v>
      </c>
      <c r="K17" s="569"/>
      <c r="L17" s="569"/>
      <c r="M17" s="569"/>
      <c r="N17" s="974"/>
      <c r="O17" s="572">
        <f>C17*$C$22+E17*$E$22+H17*$H$22+I17*$I$22+J17*$J$22+D17*$D$22+F17*$F$22+G17*$G$22+K17*$K$22+L17*$L$22</f>
        <v>1573.5630252100839</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6621.4285714285716</v>
      </c>
      <c r="C20" s="555">
        <f>SUM(C17:C19)</f>
        <v>7789.9159663865539</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1573.5630252100839</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73006</v>
      </c>
      <c r="C28" s="775">
        <v>3740</v>
      </c>
      <c r="D28" s="628"/>
      <c r="E28" s="627"/>
      <c r="F28" s="627"/>
      <c r="G28" s="627" t="s">
        <v>959</v>
      </c>
      <c r="H28" s="627" t="s">
        <v>960</v>
      </c>
      <c r="I28" s="627"/>
      <c r="J28" s="774"/>
      <c r="K28" s="774"/>
      <c r="L28" s="627" t="s">
        <v>961</v>
      </c>
      <c r="M28" s="627">
        <v>1030</v>
      </c>
      <c r="N28" s="627">
        <v>4635</v>
      </c>
      <c r="O28" s="627">
        <v>6621.4285714285716</v>
      </c>
      <c r="P28" s="627">
        <v>13242.857142857143</v>
      </c>
      <c r="Q28" s="627">
        <v>0</v>
      </c>
      <c r="R28" s="627">
        <v>0</v>
      </c>
      <c r="S28" s="627">
        <v>0</v>
      </c>
      <c r="T28" s="627">
        <v>0</v>
      </c>
      <c r="U28" s="627">
        <v>0</v>
      </c>
      <c r="V28" s="627">
        <v>0</v>
      </c>
      <c r="W28" s="627"/>
      <c r="X28" s="627">
        <v>400</v>
      </c>
      <c r="Y28" s="627" t="s">
        <v>36</v>
      </c>
      <c r="Z28" s="629" t="s">
        <v>378</v>
      </c>
    </row>
    <row r="29" spans="1:26" s="563" customFormat="1" hidden="1">
      <c r="A29" s="583" t="s">
        <v>269</v>
      </c>
      <c r="B29" s="584"/>
      <c r="C29" s="584"/>
      <c r="D29" s="584"/>
      <c r="E29" s="584"/>
      <c r="F29" s="584"/>
      <c r="G29" s="584"/>
      <c r="H29" s="584"/>
      <c r="I29" s="584"/>
      <c r="J29" s="584"/>
      <c r="K29" s="584"/>
      <c r="L29" s="585"/>
      <c r="M29" s="585">
        <f>SUM(M28:M28)</f>
        <v>1030</v>
      </c>
      <c r="N29" s="585">
        <f>SUM(N28:N28)</f>
        <v>4635</v>
      </c>
      <c r="O29" s="585">
        <f>SUM(O28:O28)</f>
        <v>6621.4285714285716</v>
      </c>
      <c r="P29" s="585">
        <f>SUM(P28:P28)</f>
        <v>13242.857142857143</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1030</v>
      </c>
      <c r="N30" s="585">
        <f>SUMIF($Z$28:$Z$28,"industrie",N28:N28)</f>
        <v>4635</v>
      </c>
      <c r="O30" s="585">
        <f>SUMIF($Z$28:$Z$28,"industrie",O28:O28)</f>
        <v>6621.4285714285716</v>
      </c>
      <c r="P30" s="585">
        <f>SUMIF($Z$28:$Z$28,"industrie",P28:P28)</f>
        <v>13242.857142857143</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0.58823529411764697</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5452.9411764705883</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7789.9159663865539</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2021-11-11T13:38:48Z</dcterms:modified>
</cp:coreProperties>
</file>