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BF29EFDF-DDF9-4A6C-8A8E-90349E61D607}"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L20" i="18"/>
  <c r="D20" i="18"/>
  <c r="G12" i="18"/>
  <c r="F12" i="18"/>
  <c r="E12" i="18"/>
  <c r="D12" i="18"/>
  <c r="C12" i="18"/>
  <c r="L10" i="18"/>
  <c r="K10" i="18"/>
  <c r="G10" i="18"/>
  <c r="D10" i="18"/>
  <c r="B8" i="18"/>
  <c r="B6" i="18"/>
  <c r="B5" i="18"/>
  <c r="B4" i="18"/>
  <c r="J9" i="18" l="1"/>
  <c r="F20" i="18"/>
  <c r="B17" i="18"/>
  <c r="C46" i="18"/>
  <c r="B49" i="18" s="1"/>
  <c r="C8" i="18" s="1"/>
  <c r="G20" i="18"/>
  <c r="K20" i="18"/>
  <c r="B10" i="18"/>
  <c r="O9" i="18"/>
  <c r="O19" i="18"/>
  <c r="O18" i="18"/>
  <c r="B20" i="18"/>
  <c r="I50" i="18"/>
  <c r="H17" i="18" s="1"/>
  <c r="H20" i="18" s="1"/>
  <c r="E50" i="18"/>
  <c r="E17" i="18" s="1"/>
  <c r="E20" i="18" s="1"/>
  <c r="G50" i="18"/>
  <c r="C50" i="18"/>
  <c r="H50" i="18"/>
  <c r="D50" i="18"/>
  <c r="F50" i="18"/>
  <c r="B50" i="18"/>
  <c r="C17" i="18" s="1"/>
  <c r="I49" i="18"/>
  <c r="H8" i="18" s="1"/>
  <c r="H10" i="18" s="1"/>
  <c r="C49" i="18"/>
  <c r="H49" i="18"/>
  <c r="D49" i="18"/>
  <c r="N6" i="17"/>
  <c r="L6" i="17"/>
  <c r="F6" i="17"/>
  <c r="D6" i="17"/>
  <c r="C6" i="17"/>
  <c r="N16" i="16"/>
  <c r="L16" i="16"/>
  <c r="F16" i="16"/>
  <c r="D16" i="16"/>
  <c r="C16" i="16"/>
  <c r="B16" i="16"/>
  <c r="B13" i="15"/>
  <c r="F49" i="18" l="1"/>
  <c r="E49" i="18"/>
  <c r="E8" i="18" s="1"/>
  <c r="E10" i="18" s="1"/>
  <c r="G49"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<sst xmlns="http://schemas.openxmlformats.org/spreadsheetml/2006/main" count="2563" uniqueCount="962">
  <si>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</si>
  <si>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</si>
  <si>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</si>
  <si>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</si>
  <si>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</si>
  <si>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</si>
  <si>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</si>
  <si>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</si>
  <si>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</si>
  <si>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</si>
  <si>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</si>
  <si>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</si>
  <si>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</si>
  <si>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</si>
  <si>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</si>
  <si>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</si>
  <si>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</si>
  <si>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</si>
  <si>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</si>
  <si>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</si>
  <si>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</si>
  <si>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</si>
  <si>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</si>
  <si>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</si>
  <si>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</si>
  <si>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</si>
  <si>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</si>
  <si>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</si>
  <si>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</si>
  <si>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</si>
  <si>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</si>
  <si>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</si>
  <si>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</si>
  <si>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</si>
  <si>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</si>
  <si>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</si>
  <si>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</si>
  <si>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</si>
  <si>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</si>
  <si>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</si>
  <si>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</si>
  <si>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</si>
  <si>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</si>
  <si>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</si>
  <si>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</si>
  <si>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</si>
  <si>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</si>
  <si>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</si>
  <si>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</si>
  <si>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</si>
  <si>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</si>
  <si>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</si>
  <si>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</si>
  <si>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</si>
  <si>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</si>
  <si>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</si>
  <si>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</si>
  <si>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</si>
  <si>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</si>
  <si>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</si>
  <si>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</si>
  <si>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</si>
  <si>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</si>
  <si>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</si>
  <si>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</si>
  <si>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</si>
  <si>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</si>
  <si>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</si>
  <si>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</si>
  <si>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</si>
  <si>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</si>
  <si>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</si>
  <si>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</si>
  <si>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</si>
  <si>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</si>
  <si>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</si>
  <si>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</si>
  <si>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</si>
  <si>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</si>
  <si>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</si>
  <si>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</si>
  <si>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</si>
  <si>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</si>
  <si>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</si>
  <si>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</si>
  <si>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</si>
  <si>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</si>
  <si>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</si>
  <si>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</si>
  <si>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</si>
  <si>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</si>
  <si>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</si>
  <si>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</si>
  <si>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</si>
  <si>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</si>
  <si>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</si>
  <si>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</si>
  <si>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</si>
  <si>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</si>
  <si>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</si>
  <si>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</si>
  <si>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</si>
  <si>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</si>
  <si>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</si>
  <si>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</si>
  <si>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</si>
  <si>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</si>
  <si>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</si>
  <si>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</si>
  <si>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</si>
  <si>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</si>
  <si>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</si>
  <si>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</si>
  <si>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</si>
  <si>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</si>
  <si>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</si>
  <si>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</si>
  <si>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</si>
  <si>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</si>
  <si>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</si>
  <si>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</si>
  <si>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</si>
  <si>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</si>
  <si>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</si>
  <si>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</si>
  <si>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</si>
  <si>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</si>
  <si>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</si>
  <si>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</si>
  <si>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</si>
  <si>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</si>
  <si>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</si>
  <si>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</si>
  <si>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</si>
  <si>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</si>
  <si>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</si>
  <si>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</si>
  <si>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</si>
  <si>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</si>
  <si>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</si>
  <si>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</si>
  <si>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</si>
  <si>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</si>
  <si>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</si>
  <si>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</si>
  <si>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</si>
  <si>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</si>
  <si>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</si>
  <si>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</si>
  <si>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</si>
  <si>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</si>
  <si>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</si>
  <si>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</si>
  <si>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</si>
  <si>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</si>
  <si>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</si>
  <si>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</si>
  <si>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</si>
  <si>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</si>
  <si>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</si>
  <si>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</si>
  <si>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</si>
  <si>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</si>
  <si>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</si>
  <si>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</si>
  <si>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</si>
  <si>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</si>
  <si>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</si>
  <si>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</si>
  <si>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</si>
  <si>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</si>
  <si>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</si>
  <si>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</si>
  <si>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</si>
  <si>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</si>
  <si>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</si>
  <si>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</si>
  <si>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</si>
  <si>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</si>
  <si>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</si>
  <si>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</si>
  <si>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</si>
  <si>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</si>
  <si>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</si>
  <si>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</si>
  <si>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</si>
  <si>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</si>
  <si>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</si>
  <si>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</si>
  <si>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</si>
  <si>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</si>
  <si>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</si>
  <si>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</si>
  <si>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</si>
  <si>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</si>
  <si>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</si>
  <si>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</si>
  <si>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</si>
  <si>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</si>
  <si>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</si>
  <si>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</si>
  <si>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</si>
  <si>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</si>
  <si>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</si>
  <si>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</si>
  <si>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</si>
  <si>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</si>
  <si>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</si>
  <si>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</si>
  <si>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</si>
  <si>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</si>
  <si>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</si>
  <si>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</si>
  <si>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</si>
  <si>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</si>
  <si>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</si>
  <si>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</si>
  <si>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</si>
  <si>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</si>
  <si>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</si>
  <si>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</si>
  <si>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</si>
  <si>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</si>
  <si>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</si>
  <si>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</si>
  <si>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</si>
  <si>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</si>
  <si>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</si>
  <si>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</si>
  <si>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</si>
  <si>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</si>
  <si>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</si>
  <si>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</si>
  <si>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</si>
  <si>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</si>
  <si>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</si>
  <si>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</si>
  <si>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</si>
  <si>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</si>
  <si>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</si>
  <si>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</si>
  <si>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</si>
  <si>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</si>
  <si>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</si>
  <si>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</si>
  <si>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</si>
  <si>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</si>
  <si>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</si>
  <si>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</si>
  <si>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</si>
  <si>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</si>
  <si>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</si>
  <si>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</si>
  <si>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</si>
  <si>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</si>
  <si>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</si>
  <si>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</si>
  <si>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</si>
  <si>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</si>
  <si>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</si>
  <si>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</si>
  <si>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</si>
  <si>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</si>
  <si>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</si>
  <si>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</si>
  <si>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</si>
  <si>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</si>
  <si>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</si>
  <si>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</si>
  <si>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</si>
  <si>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</si>
  <si>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</si>
  <si>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</si>
  <si>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</si>
  <si>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</si>
  <si>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</si>
  <si>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</si>
  <si>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</si>
  <si>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</si>
  <si>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</si>
  <si>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</si>
  <si>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</si>
  <si>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</si>
  <si>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</si>
  <si>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</si>
  <si>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</si>
  <si>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</si>
  <si>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</si>
  <si>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</si>
  <si>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</si>
  <si>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</si>
  <si>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</si>
  <si>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</si>
  <si>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</si>
  <si>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</si>
  <si>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</si>
  <si>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</si>
  <si>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</si>
  <si>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</si>
  <si>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</si>
  <si>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</si>
  <si>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</si>
  <si>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</si>
  <si>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</si>
  <si>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</si>
  <si>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</si>
  <si>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</si>
  <si>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</si>
  <si>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</si>
  <si>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</si>
  <si>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</si>
  <si>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</si>
  <si>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</si>
  <si>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</si>
  <si>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</si>
  <si>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</si>
  <si>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</si>
  <si>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</si>
  <si>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</si>
  <si>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</si>
  <si>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</si>
  <si>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</si>
  <si>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</si>
  <si>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</si>
  <si>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</si>
  <si>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</si>
  <si>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</si>
  <si>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</si>
  <si>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</si>
  <si>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</si>
  <si>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</si>
  <si>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</si>
  <si>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</si>
  <si>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</si>
  <si>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</si>
  <si>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</si>
  <si>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</si>
  <si>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</si>
  <si>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</si>
  <si>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</si>
  <si>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</si>
  <si>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</si>
  <si>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</si>
  <si>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</si>
  <si>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</si>
  <si>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</si>
  <si>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</si>
  <si>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</si>
  <si>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</si>
  <si>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</si>
  <si>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</si>
  <si>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</si>
  <si>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</si>
  <si>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</si>
  <si>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</si>
  <si>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</si>
  <si>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</si>
  <si>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</si>
  <si>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</si>
  <si>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</si>
  <si>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</si>
  <si>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</si>
  <si>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</si>
  <si>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</si>
  <si>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</si>
  <si>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</si>
  <si>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</si>
  <si>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</si>
  <si>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</si>
  <si>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</si>
  <si>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</si>
  <si>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</si>
  <si>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</si>
  <si>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</si>
  <si>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</si>
  <si>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</si>
  <si>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</si>
  <si>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</si>
  <si>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</si>
  <si>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</si>
  <si>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</si>
  <si>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</si>
  <si>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</si>
  <si>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</si>
  <si>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</si>
  <si>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</si>
  <si>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</si>
  <si>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</si>
  <si>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</si>
  <si>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</si>
  <si>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</si>
  <si>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</si>
  <si>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</si>
  <si>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</si>
  <si>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</si>
  <si>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</si>
  <si>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</si>
  <si>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</si>
  <si>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</si>
  <si>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</si>
  <si>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</si>
  <si>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</si>
  <si>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</si>
  <si>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</si>
  <si>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</si>
  <si>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</si>
  <si>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</si>
  <si>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</si>
  <si>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</si>
  <si>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</si>
  <si>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</si>
  <si>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</si>
  <si>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</si>
  <si>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</si>
  <si>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</si>
  <si>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</si>
  <si>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</si>
  <si>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</si>
  <si>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</si>
  <si>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</si>
  <si>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</si>
  <si>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</si>
  <si>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</si>
  <si>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</si>
  <si>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</si>
  <si>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</si>
  <si>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</si>
  <si>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</si>
  <si>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</si>
  <si>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</si>
  <si>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</si>
  <si>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</si>
  <si>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</si>
  <si>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</si>
  <si>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</si>
  <si>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</si>
  <si>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</si>
  <si>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</si>
  <si>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</si>
  <si>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</si>
  <si>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</si>
  <si>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</si>
  <si>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</si>
  <si>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</si>
  <si>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</si>
  <si>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</si>
  <si>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</si>
  <si>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</si>
  <si>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</si>
  <si>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</si>
  <si>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</si>
  <si>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</si>
  <si>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</si>
  <si>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</si>
  <si>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</si>
  <si>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</si>
  <si>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</si>
  <si>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</si>
  <si>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</si>
  <si>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</si>
  <si>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</si>
  <si>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</si>
  <si>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</si>
  <si>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</si>
  <si>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</si>
  <si>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</si>
  <si>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</si>
  <si>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</si>
  <si>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</si>
  <si>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</si>
  <si>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</si>
  <si>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</si>
  <si>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</si>
  <si>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</si>
  <si>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</si>
  <si>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</si>
  <si>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</si>
  <si>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</si>
  <si>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</si>
  <si>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</si>
  <si>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</si>
  <si>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</si>
  <si>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</si>
  <si>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</si>
  <si>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</si>
  <si>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</si>
  <si>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</si>
  <si>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</si>
  <si>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</si>
  <si>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</si>
  <si>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</si>
  <si>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</si>
  <si>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</si>
  <si>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</si>
  <si>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</si>
  <si>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</si>
  <si>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</si>
  <si>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</si>
  <si>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</si>
  <si>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</si>
  <si>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</si>
  <si>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</si>
  <si>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</si>
  <si>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</si>
  <si>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</si>
  <si>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</si>
  <si>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</si>
  <si>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</si>
  <si>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</si>
  <si>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</si>
  <si>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</si>
  <si>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</si>
  <si>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</si>
  <si>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</si>
  <si>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</si>
  <si>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</si>
  <si>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</si>
  <si>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</si>
  <si>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</si>
  <si>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</si>
  <si>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</si>
  <si>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</si>
  <si>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</si>
  <si>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</si>
  <si>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</si>
  <si>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</si>
  <si>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</si>
  <si>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</si>
  <si>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</si>
  <si>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</si>
  <si>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</si>
  <si>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</si>
  <si>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</si>
  <si>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</si>
  <si>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</si>
  <si>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</si>
  <si>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</si>
  <si>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</si>
  <si>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</si>
  <si>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</si>
  <si>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</si>
  <si>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</si>
  <si>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</si>
  <si>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</si>
  <si>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</si>
  <si>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</si>
  <si>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</si>
  <si>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</si>
  <si>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</si>
  <si>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</si>
  <si>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</si>
  <si>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</si>
  <si>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</si>
  <si>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</si>
  <si>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</si>
  <si>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</si>
  <si>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</si>
  <si>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</si>
  <si>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</si>
  <si>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</si>
  <si>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</si>
  <si>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</si>
  <si>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</si>
  <si>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</si>
  <si>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</si>
  <si>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</si>
  <si>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</si>
  <si>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</si>
  <si>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</si>
  <si>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</si>
  <si>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</si>
  <si>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</si>
  <si>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</si>
  <si>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</si>
  <si>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</si>
  <si>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</si>
  <si>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</si>
  <si>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</si>
  <si>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</si>
  <si>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</si>
  <si>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</si>
  <si>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</si>
  <si>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</si>
  <si>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</si>
  <si>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</si>
  <si>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</si>
  <si>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</si>
  <si>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</si>
  <si>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</si>
  <si>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</si>
  <si>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</si>
  <si>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</si>
  <si>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</si>
  <si>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</si>
  <si>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</si>
  <si>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</si>
  <si>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</si>
  <si>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</si>
  <si>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</si>
  <si>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</si>
  <si>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</si>
  <si>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</si>
  <si>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</si>
  <si>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</si>
  <si>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</si>
  <si>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</si>
  <si>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</si>
  <si>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</si>
  <si>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</si>
  <si>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</si>
  <si>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</si>
  <si>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</si>
  <si>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</si>
  <si>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</si>
  <si>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</si>
  <si>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</si>
  <si>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</si>
  <si>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</si>
  <si>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</si>
  <si>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</si>
  <si>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</si>
  <si>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</si>
  <si>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</si>
  <si>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</si>
  <si>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</si>
  <si>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</si>
  <si>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</si>
  <si>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</si>
  <si>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</si>
  <si>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</si>
  <si>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</si>
  <si>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</si>
  <si>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</si>
  <si>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</si>
  <si>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</si>
  <si>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</si>
  <si>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</si>
  <si>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</si>
  <si>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</si>
  <si>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</si>
  <si>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</si>
  <si>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</si>
  <si>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</si>
  <si>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</si>
  <si>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</si>
  <si>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</si>
  <si>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</si>
  <si>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</si>
  <si>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</si>
  <si>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</si>
  <si>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</si>
  <si>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</si>
  <si>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</si>
  <si>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</si>
  <si>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</si>
  <si>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</si>
  <si>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</si>
  <si>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</si>
  <si>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</si>
  <si>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</si>
  <si>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</si>
  <si>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</si>
  <si>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</si>
  <si>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</si>
  <si>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</si>
  <si>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</si>
  <si>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</si>
  <si>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</si>
  <si>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</si>
  <si>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</si>
  <si>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</si>
  <si>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</si>
  <si>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</si>
  <si>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</si>
  <si>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</si>
  <si>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</si>
  <si>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</si>
  <si>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</si>
  <si>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</si>
  <si>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</si>
  <si>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</si>
  <si>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</si>
  <si>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</si>
  <si>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</si>
  <si>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</si>
  <si>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</si>
  <si>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</si>
  <si>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</si>
  <si>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</si>
  <si>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</si>
  <si>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</si>
  <si>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</si>
  <si>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</si>
  <si>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</si>
  <si>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</si>
  <si>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</si>
  <si>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</si>
  <si>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</si>
  <si>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</si>
  <si>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</si>
  <si>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</si>
  <si>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</si>
  <si>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</si>
  <si>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</si>
  <si>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</si>
  <si>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</si>
  <si>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</si>
  <si>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</si>
  <si>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</si>
  <si>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</si>
  <si>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</si>
  <si>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</si>
  <si>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</si>
  <si>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</si>
  <si>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</si>
  <si>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</si>
  <si>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</si>
  <si>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</si>
  <si>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</si>
  <si>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</si>
  <si>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</si>
  <si>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</si>
  <si>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</si>
  <si>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</si>
  <si>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</si>
  <si>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</si>
  <si>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</si>
  <si>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</si>
  <si>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</si>
  <si>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</si>
  <si>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</si>
  <si>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</si>
  <si>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</si>
  <si>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</si>
  <si>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</si>
  <si>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</si>
  <si>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</si>
  <si>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</si>
  <si>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</si>
  <si>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</si>
  <si>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</si>
  <si>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</si>
  <si>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</si>
  <si>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</si>
  <si>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</si>
  <si>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</si>
  <si>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</si>
  <si>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</si>
  <si>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</si>
  <si>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</si>
  <si>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</si>
  <si>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</si>
  <si>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</si>
  <si>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</si>
  <si>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</si>
  <si>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</si>
  <si>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</si>
  <si>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</si>
  <si>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</si>
  <si>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</si>
  <si>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</si>
  <si>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</si>
  <si>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</si>
  <si>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</si>
  <si>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</si>
  <si>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</si>
  <si>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</si>
  <si>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</si>
  <si>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</si>
  <si>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</si>
  <si>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</si>
  <si>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</si>
  <si>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</si>
  <si>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</si>
  <si>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</si>
  <si>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</si>
  <si>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</si>
  <si>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</si>
  <si>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</si>
  <si>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</si>
  <si>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</si>
  <si>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</si>
  <si>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</si>
  <si>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</si>
  <si>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</si>
  <si>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</si>
  <si>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</si>
  <si>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</si>
  <si>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</si>
  <si>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</si>
  <si>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</si>
  <si>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</si>
  <si>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</si>
  <si>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</si>
  <si>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</si>
  <si>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</si>
  <si>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</si>
  <si>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</si>
  <si>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</si>
  <si>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</si>
  <si>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</si>
  <si>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</si>
  <si>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</si>
  <si>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</si>
  <si>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</si>
  <si>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</si>
  <si>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</si>
  <si>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</si>
  <si>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</si>
  <si>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</si>
  <si>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</si>
  <si>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</si>
  <si>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</si>
  <si>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</si>
  <si>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</si>
  <si>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</si>
  <si>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</si>
  <si>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</si>
  <si>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</si>
  <si>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</si>
  <si>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</si>
  <si>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</si>
  <si>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</si>
  <si>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</si>
  <si>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</si>
  <si>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</si>
  <si>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</si>
  <si>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</si>
  <si>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</si>
  <si>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</si>
  <si>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</si>
  <si>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</si>
  <si>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</si>
  <si>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</si>
  <si>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</si>
  <si>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</si>
  <si>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</si>
  <si>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</si>
  <si>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</si>
  <si>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</si>
  <si>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</si>
  <si>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</si>
  <si>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</si>
  <si>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</si>
  <si>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</si>
  <si>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</si>
  <si>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</si>
  <si>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</si>
  <si>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</si>
  <si>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</si>
  <si>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</si>
  <si>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</si>
  <si>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</si>
  <si>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</si>
  <si>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</si>
  <si>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</si>
  <si>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</si>
  <si>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</si>
  <si>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</si>
  <si>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</si>
  <si>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</si>
  <si>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</si>
  <si>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</si>
  <si>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</si>
  <si>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</si>
  <si>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</si>
  <si>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</si>
  <si>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</si>
  <si>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</si>
  <si>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</si>
  <si>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</si>
  <si>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</si>
  <si>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</si>
  <si>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</si>
  <si>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</si>
  <si>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</si>
  <si>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</si>
  <si>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</si>
  <si>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</si>
  <si>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</si>
  <si>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</si>
  <si>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</si>
  <si>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</si>
  <si>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</si>
  <si>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</si>
  <si>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</si>
  <si>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</si>
  <si>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</si>
  <si>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</si>
  <si>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</si>
  <si>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</si>
  <si>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</si>
  <si>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</si>
  <si>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</si>
  <si>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</si>
  <si>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</si>
  <si>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</si>
  <si>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</si>
  <si>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</si>
  <si>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</si>
  <si>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</si>
  <si>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</si>
  <si>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</si>
  <si>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</si>
  <si>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</si>
  <si>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</si>
  <si>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</si>
  <si>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</si>
  <si>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</si>
  <si>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</si>
  <si>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</si>
  <si>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</si>
  <si>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</si>
  <si>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</si>
  <si>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</si>
  <si>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</si>
  <si>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</si>
  <si>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</si>
  <si>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</si>
  <si>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</si>
  <si>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</si>
  <si>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</si>
  <si>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</si>
  <si>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</si>
  <si>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</si>
  <si>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</si>
  <si>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</si>
  <si>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</si>
  <si>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</si>
  <si>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</si>
  <si>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</si>
  <si>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</si>
  <si>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</si>
  <si>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</si>
  <si>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</si>
  <si>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</si>
  <si>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</si>
  <si>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</si>
  <si>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</si>
  <si>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</si>
  <si>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</si>
  <si>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</si>
  <si>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</si>
  <si>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</si>
  <si>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</si>
  <si>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</si>
  <si>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</si>
  <si>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</si>
  <si>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</si>
  <si>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</si>
  <si>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</si>
  <si>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</si>
  <si>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</si>
  <si>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72003</t>
  </si>
  <si>
    <t>BOCHOLT</t>
  </si>
  <si>
    <t>Paarden&amp;pony's 200 - 600 kg</t>
  </si>
  <si>
    <t>Paarden&amp;pony's &lt; 200 kg</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</si>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</sst>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91995931-66AA-4B7B-B5F4-273AC9AF66D7}"/>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72003</v>
      </c>
      <c r="B6" s="384"/>
      <c r="C6" s="385"/>
    </row>
    <row r="7" spans="1:7" s="382" customFormat="1" ht="15.75" customHeight="1">
      <c r="A7" s="386" t="str">
        <f>txtMunicipality</f>
        <v>BOCHOLT</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32829.555999999997</v>
      </c>
      <c r="D10" s="674">
        <f ca="1">tertiair!C16</f>
        <v>0</v>
      </c>
      <c r="E10" s="674">
        <f ca="1">tertiair!D16</f>
        <v>27780.324572000001</v>
      </c>
      <c r="F10" s="674">
        <f>tertiair!E16</f>
        <v>173.60016570065926</v>
      </c>
      <c r="G10" s="674">
        <f ca="1">tertiair!F16</f>
        <v>4728.6862396052265</v>
      </c>
      <c r="H10" s="674">
        <f>tertiair!G16</f>
        <v>0</v>
      </c>
      <c r="I10" s="674">
        <f>tertiair!H16</f>
        <v>0</v>
      </c>
      <c r="J10" s="674">
        <f>tertiair!I16</f>
        <v>0</v>
      </c>
      <c r="K10" s="674">
        <f>tertiair!J16</f>
        <v>0</v>
      </c>
      <c r="L10" s="674">
        <f>tertiair!K16</f>
        <v>0</v>
      </c>
      <c r="M10" s="674">
        <f ca="1">tertiair!L16</f>
        <v>0</v>
      </c>
      <c r="N10" s="674">
        <f>tertiair!M16</f>
        <v>0</v>
      </c>
      <c r="O10" s="674">
        <f ca="1">tertiair!N16</f>
        <v>918.75333353610881</v>
      </c>
      <c r="P10" s="674">
        <f>tertiair!O16</f>
        <v>4.6900000000000004</v>
      </c>
      <c r="Q10" s="675">
        <f>tertiair!P16</f>
        <v>0</v>
      </c>
      <c r="R10" s="677">
        <f ca="1">SUM(C10:Q10)</f>
        <v>66435.610310841992</v>
      </c>
      <c r="S10" s="68"/>
    </row>
    <row r="11" spans="1:19" s="443" customFormat="1">
      <c r="A11" s="789" t="s">
        <v>214</v>
      </c>
      <c r="B11" s="794"/>
      <c r="C11" s="674">
        <f>huishoudens!B8</f>
        <v>25691.033332281604</v>
      </c>
      <c r="D11" s="674">
        <f>huishoudens!C8</f>
        <v>0</v>
      </c>
      <c r="E11" s="674">
        <f>huishoudens!D8</f>
        <v>28138.073106000003</v>
      </c>
      <c r="F11" s="674">
        <f>huishoudens!E8</f>
        <v>1654.9219509077157</v>
      </c>
      <c r="G11" s="674">
        <f>huishoudens!F8</f>
        <v>50453.765555124839</v>
      </c>
      <c r="H11" s="674">
        <f>huishoudens!G8</f>
        <v>0</v>
      </c>
      <c r="I11" s="674">
        <f>huishoudens!H8</f>
        <v>0</v>
      </c>
      <c r="J11" s="674">
        <f>huishoudens!I8</f>
        <v>0</v>
      </c>
      <c r="K11" s="674">
        <f>huishoudens!J8</f>
        <v>915.46599559332503</v>
      </c>
      <c r="L11" s="674">
        <f>huishoudens!K8</f>
        <v>0</v>
      </c>
      <c r="M11" s="674">
        <f>huishoudens!L8</f>
        <v>0</v>
      </c>
      <c r="N11" s="674">
        <f>huishoudens!M8</f>
        <v>0</v>
      </c>
      <c r="O11" s="674">
        <f>huishoudens!N8</f>
        <v>7697.4645191708832</v>
      </c>
      <c r="P11" s="674">
        <f>huishoudens!O8</f>
        <v>93.8</v>
      </c>
      <c r="Q11" s="675">
        <f>huishoudens!P8</f>
        <v>247.86666666666667</v>
      </c>
      <c r="R11" s="677">
        <f>SUM(C11:Q11)</f>
        <v>114892.39112574505</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30511.721000000001</v>
      </c>
      <c r="D13" s="674">
        <f>industrie!C18</f>
        <v>0</v>
      </c>
      <c r="E13" s="674">
        <f>industrie!D18</f>
        <v>40775.811999999998</v>
      </c>
      <c r="F13" s="674">
        <f>industrie!E18</f>
        <v>259.55481422871821</v>
      </c>
      <c r="G13" s="674">
        <f>industrie!F18</f>
        <v>6887.0294680632269</v>
      </c>
      <c r="H13" s="674">
        <f>industrie!G18</f>
        <v>0</v>
      </c>
      <c r="I13" s="674">
        <f>industrie!H18</f>
        <v>0</v>
      </c>
      <c r="J13" s="674">
        <f>industrie!I18</f>
        <v>0</v>
      </c>
      <c r="K13" s="674">
        <f>industrie!J18</f>
        <v>6.6641506219725226</v>
      </c>
      <c r="L13" s="674">
        <f>industrie!K18</f>
        <v>0</v>
      </c>
      <c r="M13" s="674">
        <f>industrie!L18</f>
        <v>0</v>
      </c>
      <c r="N13" s="674">
        <f>industrie!M18</f>
        <v>0</v>
      </c>
      <c r="O13" s="674">
        <f>industrie!N18</f>
        <v>750.68910843377319</v>
      </c>
      <c r="P13" s="674">
        <f>industrie!O18</f>
        <v>0</v>
      </c>
      <c r="Q13" s="675">
        <f>industrie!P18</f>
        <v>0</v>
      </c>
      <c r="R13" s="677">
        <f>SUM(C13:Q13)</f>
        <v>79191.470541347677</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89032.310332281602</v>
      </c>
      <c r="D16" s="707">
        <f t="shared" ref="D16:R16" ca="1" si="0">SUM(D9:D15)</f>
        <v>0</v>
      </c>
      <c r="E16" s="707">
        <f t="shared" ca="1" si="0"/>
        <v>96694.209678000014</v>
      </c>
      <c r="F16" s="707">
        <f t="shared" si="0"/>
        <v>2088.0769308370932</v>
      </c>
      <c r="G16" s="707">
        <f t="shared" ca="1" si="0"/>
        <v>62069.481262793292</v>
      </c>
      <c r="H16" s="707">
        <f t="shared" si="0"/>
        <v>0</v>
      </c>
      <c r="I16" s="707">
        <f t="shared" si="0"/>
        <v>0</v>
      </c>
      <c r="J16" s="707">
        <f t="shared" si="0"/>
        <v>0</v>
      </c>
      <c r="K16" s="707">
        <f t="shared" si="0"/>
        <v>922.1301462152976</v>
      </c>
      <c r="L16" s="707">
        <f t="shared" si="0"/>
        <v>0</v>
      </c>
      <c r="M16" s="707">
        <f t="shared" ca="1" si="0"/>
        <v>0</v>
      </c>
      <c r="N16" s="707">
        <f t="shared" si="0"/>
        <v>0</v>
      </c>
      <c r="O16" s="707">
        <f t="shared" ca="1" si="0"/>
        <v>9366.9069611407649</v>
      </c>
      <c r="P16" s="707">
        <f t="shared" si="0"/>
        <v>98.49</v>
      </c>
      <c r="Q16" s="707">
        <f t="shared" si="0"/>
        <v>247.86666666666667</v>
      </c>
      <c r="R16" s="707">
        <f t="shared" ca="1" si="0"/>
        <v>260519.47197793471</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5.3815739773660418</v>
      </c>
      <c r="D19" s="674">
        <f>transport!C54</f>
        <v>0</v>
      </c>
      <c r="E19" s="674">
        <f>transport!D54</f>
        <v>0</v>
      </c>
      <c r="F19" s="674">
        <f>transport!E54</f>
        <v>0</v>
      </c>
      <c r="G19" s="674">
        <f>transport!F54</f>
        <v>0</v>
      </c>
      <c r="H19" s="674">
        <f>transport!G54</f>
        <v>1073.365539910428</v>
      </c>
      <c r="I19" s="674">
        <f>transport!H54</f>
        <v>0</v>
      </c>
      <c r="J19" s="674">
        <f>transport!I54</f>
        <v>0</v>
      </c>
      <c r="K19" s="674">
        <f>transport!J54</f>
        <v>0</v>
      </c>
      <c r="L19" s="674">
        <f>transport!K54</f>
        <v>0</v>
      </c>
      <c r="M19" s="674">
        <f>transport!L54</f>
        <v>0</v>
      </c>
      <c r="N19" s="674">
        <f>transport!M54</f>
        <v>47.441613665569058</v>
      </c>
      <c r="O19" s="674">
        <f>transport!N54</f>
        <v>0</v>
      </c>
      <c r="P19" s="674">
        <f>transport!O54</f>
        <v>0</v>
      </c>
      <c r="Q19" s="675">
        <f>transport!P54</f>
        <v>0</v>
      </c>
      <c r="R19" s="677">
        <f>SUM(C19:Q19)</f>
        <v>1126.1887275533632</v>
      </c>
      <c r="S19" s="68"/>
    </row>
    <row r="20" spans="1:19" s="443" customFormat="1">
      <c r="A20" s="789" t="s">
        <v>296</v>
      </c>
      <c r="B20" s="794"/>
      <c r="C20" s="674">
        <f>transport!B14</f>
        <v>2.5556509045511544</v>
      </c>
      <c r="D20" s="674">
        <f>transport!C14</f>
        <v>0</v>
      </c>
      <c r="E20" s="674">
        <f>transport!D14</f>
        <v>3.472408588223924</v>
      </c>
      <c r="F20" s="674">
        <f>transport!E14</f>
        <v>220.03679099529921</v>
      </c>
      <c r="G20" s="674">
        <f>transport!F14</f>
        <v>0</v>
      </c>
      <c r="H20" s="674">
        <f>transport!G14</f>
        <v>47911.604984341131</v>
      </c>
      <c r="I20" s="674">
        <f>transport!H14</f>
        <v>8295.5660797959845</v>
      </c>
      <c r="J20" s="674">
        <f>transport!I14</f>
        <v>0</v>
      </c>
      <c r="K20" s="674">
        <f>transport!J14</f>
        <v>0</v>
      </c>
      <c r="L20" s="674">
        <f>transport!K14</f>
        <v>0</v>
      </c>
      <c r="M20" s="674">
        <f>transport!L14</f>
        <v>0</v>
      </c>
      <c r="N20" s="674">
        <f>transport!M14</f>
        <v>2511.8405617507497</v>
      </c>
      <c r="O20" s="674">
        <f>transport!N14</f>
        <v>0</v>
      </c>
      <c r="P20" s="674">
        <f>transport!O14</f>
        <v>0</v>
      </c>
      <c r="Q20" s="675">
        <f>transport!P14</f>
        <v>0</v>
      </c>
      <c r="R20" s="677">
        <f>SUM(C20:Q20)</f>
        <v>58945.076476375943</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7.9372248819171958</v>
      </c>
      <c r="D22" s="792">
        <f t="shared" ref="D22:R22" si="1">SUM(D18:D21)</f>
        <v>0</v>
      </c>
      <c r="E22" s="792">
        <f t="shared" si="1"/>
        <v>3.472408588223924</v>
      </c>
      <c r="F22" s="792">
        <f t="shared" si="1"/>
        <v>220.03679099529921</v>
      </c>
      <c r="G22" s="792">
        <f t="shared" si="1"/>
        <v>0</v>
      </c>
      <c r="H22" s="792">
        <f t="shared" si="1"/>
        <v>48984.970524251556</v>
      </c>
      <c r="I22" s="792">
        <f t="shared" si="1"/>
        <v>8295.5660797959845</v>
      </c>
      <c r="J22" s="792">
        <f t="shared" si="1"/>
        <v>0</v>
      </c>
      <c r="K22" s="792">
        <f t="shared" si="1"/>
        <v>0</v>
      </c>
      <c r="L22" s="792">
        <f t="shared" si="1"/>
        <v>0</v>
      </c>
      <c r="M22" s="792">
        <f t="shared" si="1"/>
        <v>0</v>
      </c>
      <c r="N22" s="792">
        <f t="shared" si="1"/>
        <v>2559.2821754163188</v>
      </c>
      <c r="O22" s="792">
        <f t="shared" si="1"/>
        <v>0</v>
      </c>
      <c r="P22" s="792">
        <f t="shared" si="1"/>
        <v>0</v>
      </c>
      <c r="Q22" s="792">
        <f t="shared" si="1"/>
        <v>0</v>
      </c>
      <c r="R22" s="792">
        <f t="shared" si="1"/>
        <v>60071.26520392931</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3500.5790000000002</v>
      </c>
      <c r="D24" s="674">
        <f>+landbouw!C8</f>
        <v>67.553571428571416</v>
      </c>
      <c r="E24" s="674">
        <f>+landbouw!D8</f>
        <v>0</v>
      </c>
      <c r="F24" s="674">
        <f>+landbouw!E8</f>
        <v>32.977799644868512</v>
      </c>
      <c r="G24" s="674">
        <f>+landbouw!F8</f>
        <v>11423.55101714229</v>
      </c>
      <c r="H24" s="674">
        <f>+landbouw!G8</f>
        <v>0</v>
      </c>
      <c r="I24" s="674">
        <f>+landbouw!H8</f>
        <v>0</v>
      </c>
      <c r="J24" s="674">
        <f>+landbouw!I8</f>
        <v>0</v>
      </c>
      <c r="K24" s="674">
        <f>+landbouw!J8</f>
        <v>433.0386491129853</v>
      </c>
      <c r="L24" s="674">
        <f>+landbouw!K8</f>
        <v>0</v>
      </c>
      <c r="M24" s="674">
        <f>+landbouw!L8</f>
        <v>0</v>
      </c>
      <c r="N24" s="674">
        <f>+landbouw!M8</f>
        <v>0</v>
      </c>
      <c r="O24" s="674">
        <f>+landbouw!N8</f>
        <v>0</v>
      </c>
      <c r="P24" s="674">
        <f>+landbouw!O8</f>
        <v>0</v>
      </c>
      <c r="Q24" s="675">
        <f>+landbouw!P8</f>
        <v>0</v>
      </c>
      <c r="R24" s="677">
        <f>SUM(C24:Q24)</f>
        <v>15457.700037328716</v>
      </c>
      <c r="S24" s="68"/>
    </row>
    <row r="25" spans="1:19" s="443" customFormat="1" ht="15" thickBot="1">
      <c r="A25" s="811" t="s">
        <v>873</v>
      </c>
      <c r="B25" s="977"/>
      <c r="C25" s="978">
        <f>IF(Onbekend_ele_kWh="---",0,Onbekend_ele_kWh)/1000+IF(REST_rest_ele_kWh="---",0,REST_rest_ele_kWh)/1000</f>
        <v>260.75799999999998</v>
      </c>
      <c r="D25" s="978"/>
      <c r="E25" s="978">
        <f>IF(onbekend_gas_kWh="---",0,onbekend_gas_kWh)/1000+IF(REST_rest_gas_kWh="---",0,REST_rest_gas_kWh)/1000</f>
        <v>490.28199999999998</v>
      </c>
      <c r="F25" s="978"/>
      <c r="G25" s="978"/>
      <c r="H25" s="978"/>
      <c r="I25" s="978"/>
      <c r="J25" s="978"/>
      <c r="K25" s="978"/>
      <c r="L25" s="978"/>
      <c r="M25" s="978"/>
      <c r="N25" s="978"/>
      <c r="O25" s="978"/>
      <c r="P25" s="978"/>
      <c r="Q25" s="979"/>
      <c r="R25" s="677">
        <f>SUM(C25:Q25)</f>
        <v>751.04</v>
      </c>
      <c r="S25" s="68"/>
    </row>
    <row r="26" spans="1:19" s="443" customFormat="1" ht="15.75" thickBot="1">
      <c r="A26" s="680" t="s">
        <v>874</v>
      </c>
      <c r="B26" s="797"/>
      <c r="C26" s="792">
        <f>SUM(C24:C25)</f>
        <v>3761.337</v>
      </c>
      <c r="D26" s="792">
        <f t="shared" ref="D26:R26" si="2">SUM(D24:D25)</f>
        <v>67.553571428571416</v>
      </c>
      <c r="E26" s="792">
        <f t="shared" si="2"/>
        <v>490.28199999999998</v>
      </c>
      <c r="F26" s="792">
        <f t="shared" si="2"/>
        <v>32.977799644868512</v>
      </c>
      <c r="G26" s="792">
        <f t="shared" si="2"/>
        <v>11423.55101714229</v>
      </c>
      <c r="H26" s="792">
        <f t="shared" si="2"/>
        <v>0</v>
      </c>
      <c r="I26" s="792">
        <f t="shared" si="2"/>
        <v>0</v>
      </c>
      <c r="J26" s="792">
        <f t="shared" si="2"/>
        <v>0</v>
      </c>
      <c r="K26" s="792">
        <f t="shared" si="2"/>
        <v>433.0386491129853</v>
      </c>
      <c r="L26" s="792">
        <f t="shared" si="2"/>
        <v>0</v>
      </c>
      <c r="M26" s="792">
        <f t="shared" si="2"/>
        <v>0</v>
      </c>
      <c r="N26" s="792">
        <f t="shared" si="2"/>
        <v>0</v>
      </c>
      <c r="O26" s="792">
        <f t="shared" si="2"/>
        <v>0</v>
      </c>
      <c r="P26" s="792">
        <f t="shared" si="2"/>
        <v>0</v>
      </c>
      <c r="Q26" s="792">
        <f t="shared" si="2"/>
        <v>0</v>
      </c>
      <c r="R26" s="792">
        <f t="shared" si="2"/>
        <v>16208.740037328716</v>
      </c>
      <c r="S26" s="68"/>
    </row>
    <row r="27" spans="1:19" s="443" customFormat="1" ht="17.25" thickTop="1" thickBot="1">
      <c r="A27" s="681" t="s">
        <v>109</v>
      </c>
      <c r="B27" s="784"/>
      <c r="C27" s="682">
        <f ca="1">C22+C16+C26</f>
        <v>92801.584557163515</v>
      </c>
      <c r="D27" s="682">
        <f t="shared" ref="D27:R27" ca="1" si="3">D22+D16+D26</f>
        <v>67.553571428571416</v>
      </c>
      <c r="E27" s="682">
        <f t="shared" ca="1" si="3"/>
        <v>97187.964086588239</v>
      </c>
      <c r="F27" s="682">
        <f t="shared" si="3"/>
        <v>2341.0915214772608</v>
      </c>
      <c r="G27" s="682">
        <f t="shared" ca="1" si="3"/>
        <v>73493.032279935578</v>
      </c>
      <c r="H27" s="682">
        <f t="shared" si="3"/>
        <v>48984.970524251556</v>
      </c>
      <c r="I27" s="682">
        <f t="shared" si="3"/>
        <v>8295.5660797959845</v>
      </c>
      <c r="J27" s="682">
        <f t="shared" si="3"/>
        <v>0</v>
      </c>
      <c r="K27" s="682">
        <f t="shared" si="3"/>
        <v>1355.1687953282828</v>
      </c>
      <c r="L27" s="682">
        <f t="shared" si="3"/>
        <v>0</v>
      </c>
      <c r="M27" s="682">
        <f t="shared" ca="1" si="3"/>
        <v>0</v>
      </c>
      <c r="N27" s="682">
        <f t="shared" si="3"/>
        <v>2559.2821754163188</v>
      </c>
      <c r="O27" s="682">
        <f t="shared" ca="1" si="3"/>
        <v>9366.9069611407649</v>
      </c>
      <c r="P27" s="682">
        <f t="shared" si="3"/>
        <v>98.49</v>
      </c>
      <c r="Q27" s="682">
        <f t="shared" si="3"/>
        <v>247.86666666666667</v>
      </c>
      <c r="R27" s="682">
        <f t="shared" ca="1" si="3"/>
        <v>336799.47721919278</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6648.9452949753604</v>
      </c>
      <c r="D40" s="674">
        <f ca="1">tertiair!C20</f>
        <v>0</v>
      </c>
      <c r="E40" s="674">
        <f ca="1">tertiair!D20</f>
        <v>5611.6255635440002</v>
      </c>
      <c r="F40" s="674">
        <f>tertiair!E20</f>
        <v>39.407237614049656</v>
      </c>
      <c r="G40" s="674">
        <f ca="1">tertiair!F20</f>
        <v>1262.5592259745956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13562.537322108006</v>
      </c>
    </row>
    <row r="41" spans="1:18">
      <c r="A41" s="802" t="s">
        <v>214</v>
      </c>
      <c r="B41" s="809"/>
      <c r="C41" s="674">
        <f ca="1">huishoudens!B12</f>
        <v>5203.1856659203359</v>
      </c>
      <c r="D41" s="674">
        <f ca="1">huishoudens!C12</f>
        <v>0</v>
      </c>
      <c r="E41" s="674">
        <f>huishoudens!D12</f>
        <v>5683.890767412001</v>
      </c>
      <c r="F41" s="674">
        <f>huishoudens!E12</f>
        <v>375.66728285605149</v>
      </c>
      <c r="G41" s="674">
        <f>huishoudens!F12</f>
        <v>13471.155403218332</v>
      </c>
      <c r="H41" s="674">
        <f>huishoudens!G12</f>
        <v>0</v>
      </c>
      <c r="I41" s="674">
        <f>huishoudens!H12</f>
        <v>0</v>
      </c>
      <c r="J41" s="674">
        <f>huishoudens!I12</f>
        <v>0</v>
      </c>
      <c r="K41" s="674">
        <f>huishoudens!J12</f>
        <v>324.07496244003704</v>
      </c>
      <c r="L41" s="674">
        <f>huishoudens!K12</f>
        <v>0</v>
      </c>
      <c r="M41" s="674">
        <f>huishoudens!L12</f>
        <v>0</v>
      </c>
      <c r="N41" s="674">
        <f>huishoudens!M12</f>
        <v>0</v>
      </c>
      <c r="O41" s="674">
        <f>huishoudens!N12</f>
        <v>0</v>
      </c>
      <c r="P41" s="674">
        <f>huishoudens!O12</f>
        <v>0</v>
      </c>
      <c r="Q41" s="749">
        <f>huishoudens!P12</f>
        <v>0</v>
      </c>
      <c r="R41" s="830">
        <f t="shared" ca="1" si="4"/>
        <v>25057.974081846758</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6179.5159150050922</v>
      </c>
      <c r="D43" s="674">
        <f ca="1">industrie!C22</f>
        <v>0</v>
      </c>
      <c r="E43" s="674">
        <f>industrie!D22</f>
        <v>8236.7140240000008</v>
      </c>
      <c r="F43" s="674">
        <f>industrie!E22</f>
        <v>58.91894282991904</v>
      </c>
      <c r="G43" s="674">
        <f>industrie!F22</f>
        <v>1838.8368679728817</v>
      </c>
      <c r="H43" s="674">
        <f>industrie!G22</f>
        <v>0</v>
      </c>
      <c r="I43" s="674">
        <f>industrie!H22</f>
        <v>0</v>
      </c>
      <c r="J43" s="674">
        <f>industrie!I22</f>
        <v>0</v>
      </c>
      <c r="K43" s="674">
        <f>industrie!J22</f>
        <v>2.3591093201782729</v>
      </c>
      <c r="L43" s="674">
        <f>industrie!K22</f>
        <v>0</v>
      </c>
      <c r="M43" s="674">
        <f>industrie!L22</f>
        <v>0</v>
      </c>
      <c r="N43" s="674">
        <f>industrie!M22</f>
        <v>0</v>
      </c>
      <c r="O43" s="674">
        <f>industrie!N22</f>
        <v>0</v>
      </c>
      <c r="P43" s="674">
        <f>industrie!O22</f>
        <v>0</v>
      </c>
      <c r="Q43" s="749">
        <f>industrie!P22</f>
        <v>0</v>
      </c>
      <c r="R43" s="829">
        <f t="shared" ca="1" si="4"/>
        <v>16316.344859128072</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18031.646875900788</v>
      </c>
      <c r="D46" s="707">
        <f t="shared" ref="D46:Q46" ca="1" si="5">SUM(D39:D45)</f>
        <v>0</v>
      </c>
      <c r="E46" s="707">
        <f t="shared" ca="1" si="5"/>
        <v>19532.230354956002</v>
      </c>
      <c r="F46" s="707">
        <f t="shared" si="5"/>
        <v>473.99346330002021</v>
      </c>
      <c r="G46" s="707">
        <f t="shared" ca="1" si="5"/>
        <v>16572.551497165809</v>
      </c>
      <c r="H46" s="707">
        <f t="shared" si="5"/>
        <v>0</v>
      </c>
      <c r="I46" s="707">
        <f t="shared" si="5"/>
        <v>0</v>
      </c>
      <c r="J46" s="707">
        <f t="shared" si="5"/>
        <v>0</v>
      </c>
      <c r="K46" s="707">
        <f t="shared" si="5"/>
        <v>326.43407176021532</v>
      </c>
      <c r="L46" s="707">
        <f t="shared" si="5"/>
        <v>0</v>
      </c>
      <c r="M46" s="707">
        <f t="shared" ca="1" si="5"/>
        <v>0</v>
      </c>
      <c r="N46" s="707">
        <f t="shared" si="5"/>
        <v>0</v>
      </c>
      <c r="O46" s="707">
        <f t="shared" ca="1" si="5"/>
        <v>0</v>
      </c>
      <c r="P46" s="707">
        <f t="shared" si="5"/>
        <v>0</v>
      </c>
      <c r="Q46" s="707">
        <f t="shared" si="5"/>
        <v>0</v>
      </c>
      <c r="R46" s="707">
        <f ca="1">SUM(R39:R45)</f>
        <v>54936.856263082838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1.0899261316957738</v>
      </c>
      <c r="D49" s="674">
        <f ca="1">transport!C58</f>
        <v>0</v>
      </c>
      <c r="E49" s="674">
        <f>transport!D58</f>
        <v>0</v>
      </c>
      <c r="F49" s="674">
        <f>transport!E58</f>
        <v>0</v>
      </c>
      <c r="G49" s="674">
        <f>transport!F58</f>
        <v>0</v>
      </c>
      <c r="H49" s="674">
        <f>transport!G58</f>
        <v>286.58859915608429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287.67852528778008</v>
      </c>
    </row>
    <row r="50" spans="1:18">
      <c r="A50" s="805" t="s">
        <v>296</v>
      </c>
      <c r="B50" s="815"/>
      <c r="C50" s="984">
        <f ca="1">transport!B18</f>
        <v>0.51759405632579747</v>
      </c>
      <c r="D50" s="984">
        <f>transport!C18</f>
        <v>0</v>
      </c>
      <c r="E50" s="984">
        <f>transport!D18</f>
        <v>0.70142653482123263</v>
      </c>
      <c r="F50" s="984">
        <f>transport!E18</f>
        <v>49.948351555932923</v>
      </c>
      <c r="G50" s="984">
        <f>transport!F18</f>
        <v>0</v>
      </c>
      <c r="H50" s="984">
        <f>transport!G18</f>
        <v>12792.398530819082</v>
      </c>
      <c r="I50" s="984">
        <f>transport!H18</f>
        <v>2065.5959538692</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14909.161856835362</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1.6075201880215713</v>
      </c>
      <c r="D52" s="707">
        <f t="shared" ref="D52:Q52" ca="1" si="6">SUM(D48:D51)</f>
        <v>0</v>
      </c>
      <c r="E52" s="707">
        <f t="shared" si="6"/>
        <v>0.70142653482123263</v>
      </c>
      <c r="F52" s="707">
        <f t="shared" si="6"/>
        <v>49.948351555932923</v>
      </c>
      <c r="G52" s="707">
        <f t="shared" si="6"/>
        <v>0</v>
      </c>
      <c r="H52" s="707">
        <f t="shared" si="6"/>
        <v>13078.987129975167</v>
      </c>
      <c r="I52" s="707">
        <f t="shared" si="6"/>
        <v>2065.5959538692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15196.840382123142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708.9696330873179</v>
      </c>
      <c r="D54" s="984">
        <f ca="1">+landbouw!C12</f>
        <v>0</v>
      </c>
      <c r="E54" s="984">
        <f>+landbouw!D12</f>
        <v>0</v>
      </c>
      <c r="F54" s="984">
        <f>+landbouw!E12</f>
        <v>7.4859605193851522</v>
      </c>
      <c r="G54" s="984">
        <f>+landbouw!F12</f>
        <v>3050.0881215769919</v>
      </c>
      <c r="H54" s="984">
        <f>+landbouw!G12</f>
        <v>0</v>
      </c>
      <c r="I54" s="984">
        <f>+landbouw!H12</f>
        <v>0</v>
      </c>
      <c r="J54" s="984">
        <f>+landbouw!I12</f>
        <v>0</v>
      </c>
      <c r="K54" s="984">
        <f>+landbouw!J12</f>
        <v>153.29568178599678</v>
      </c>
      <c r="L54" s="984">
        <f>+landbouw!K12</f>
        <v>0</v>
      </c>
      <c r="M54" s="984">
        <f>+landbouw!L12</f>
        <v>0</v>
      </c>
      <c r="N54" s="984">
        <f>+landbouw!M12</f>
        <v>0</v>
      </c>
      <c r="O54" s="984">
        <f>+landbouw!N12</f>
        <v>0</v>
      </c>
      <c r="P54" s="984">
        <f>+landbouw!O12</f>
        <v>0</v>
      </c>
      <c r="Q54" s="985">
        <f>+landbouw!P12</f>
        <v>0</v>
      </c>
      <c r="R54" s="706">
        <f ca="1">SUM(C54:Q54)</f>
        <v>3919.8393969696917</v>
      </c>
    </row>
    <row r="55" spans="1:18" ht="15" thickBot="1">
      <c r="A55" s="805" t="s">
        <v>873</v>
      </c>
      <c r="B55" s="815"/>
      <c r="C55" s="984">
        <f ca="1">C25*'EF ele_warmte'!B12</f>
        <v>52.811121698605518</v>
      </c>
      <c r="D55" s="984"/>
      <c r="E55" s="984">
        <f>E25*EF_CO2_aardgas</f>
        <v>99.036963999999998</v>
      </c>
      <c r="F55" s="984"/>
      <c r="G55" s="984"/>
      <c r="H55" s="984"/>
      <c r="I55" s="984"/>
      <c r="J55" s="984"/>
      <c r="K55" s="984"/>
      <c r="L55" s="984"/>
      <c r="M55" s="984"/>
      <c r="N55" s="984"/>
      <c r="O55" s="984"/>
      <c r="P55" s="984"/>
      <c r="Q55" s="985"/>
      <c r="R55" s="706">
        <f ca="1">SUM(C55:Q55)</f>
        <v>151.84808569860553</v>
      </c>
    </row>
    <row r="56" spans="1:18" ht="15.75" thickBot="1">
      <c r="A56" s="803" t="s">
        <v>874</v>
      </c>
      <c r="B56" s="816"/>
      <c r="C56" s="707">
        <f ca="1">SUM(C54:C55)</f>
        <v>761.78075478592336</v>
      </c>
      <c r="D56" s="707">
        <f t="shared" ref="D56:Q56" ca="1" si="7">SUM(D54:D55)</f>
        <v>0</v>
      </c>
      <c r="E56" s="707">
        <f t="shared" si="7"/>
        <v>99.036963999999998</v>
      </c>
      <c r="F56" s="707">
        <f t="shared" si="7"/>
        <v>7.4859605193851522</v>
      </c>
      <c r="G56" s="707">
        <f t="shared" si="7"/>
        <v>3050.0881215769919</v>
      </c>
      <c r="H56" s="707">
        <f t="shared" si="7"/>
        <v>0</v>
      </c>
      <c r="I56" s="707">
        <f t="shared" si="7"/>
        <v>0</v>
      </c>
      <c r="J56" s="707">
        <f t="shared" si="7"/>
        <v>0</v>
      </c>
      <c r="K56" s="707">
        <f t="shared" si="7"/>
        <v>153.29568178599678</v>
      </c>
      <c r="L56" s="707">
        <f t="shared" si="7"/>
        <v>0</v>
      </c>
      <c r="M56" s="707">
        <f t="shared" si="7"/>
        <v>0</v>
      </c>
      <c r="N56" s="707">
        <f t="shared" si="7"/>
        <v>0</v>
      </c>
      <c r="O56" s="707">
        <f t="shared" si="7"/>
        <v>0</v>
      </c>
      <c r="P56" s="707">
        <f t="shared" si="7"/>
        <v>0</v>
      </c>
      <c r="Q56" s="708">
        <f t="shared" si="7"/>
        <v>0</v>
      </c>
      <c r="R56" s="709">
        <f ca="1">SUM(R54:R55)</f>
        <v>4071.6874826682974</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18795.035150874734</v>
      </c>
      <c r="D61" s="715">
        <f t="shared" ref="D61:Q61" ca="1" si="8">D46+D52+D56</f>
        <v>0</v>
      </c>
      <c r="E61" s="715">
        <f t="shared" ca="1" si="8"/>
        <v>19631.968745490823</v>
      </c>
      <c r="F61" s="715">
        <f t="shared" si="8"/>
        <v>531.42777537533823</v>
      </c>
      <c r="G61" s="715">
        <f t="shared" ca="1" si="8"/>
        <v>19622.6396187428</v>
      </c>
      <c r="H61" s="715">
        <f t="shared" si="8"/>
        <v>13078.987129975167</v>
      </c>
      <c r="I61" s="715">
        <f t="shared" si="8"/>
        <v>2065.5959538692</v>
      </c>
      <c r="J61" s="715">
        <f t="shared" si="8"/>
        <v>0</v>
      </c>
      <c r="K61" s="715">
        <f t="shared" si="8"/>
        <v>479.72975354621212</v>
      </c>
      <c r="L61" s="715">
        <f t="shared" si="8"/>
        <v>0</v>
      </c>
      <c r="M61" s="715">
        <f t="shared" ca="1" si="8"/>
        <v>0</v>
      </c>
      <c r="N61" s="715">
        <f t="shared" si="8"/>
        <v>0</v>
      </c>
      <c r="O61" s="715">
        <f t="shared" ca="1" si="8"/>
        <v>0</v>
      </c>
      <c r="P61" s="715">
        <f t="shared" si="8"/>
        <v>0</v>
      </c>
      <c r="Q61" s="715">
        <f t="shared" si="8"/>
        <v>0</v>
      </c>
      <c r="R61" s="715">
        <f ca="1">R46+R52+R56</f>
        <v>74205.384127874277</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0.20252924818646226</v>
      </c>
      <c r="D63" s="759">
        <f t="shared" ca="1" si="9"/>
        <v>0</v>
      </c>
      <c r="E63" s="986">
        <f t="shared" ca="1" si="9"/>
        <v>0.20199999999999999</v>
      </c>
      <c r="F63" s="759">
        <f t="shared" si="9"/>
        <v>0.22700000000000001</v>
      </c>
      <c r="G63" s="759">
        <f t="shared" ca="1" si="9"/>
        <v>0.26700000000000002</v>
      </c>
      <c r="H63" s="759">
        <f t="shared" si="9"/>
        <v>0.26700000000000002</v>
      </c>
      <c r="I63" s="759">
        <f t="shared" si="9"/>
        <v>0.24899999999999997</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726</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6982.8891346534092</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47.287499999999994</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55.632352941176464</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7756.1766346534096</v>
      </c>
      <c r="C78" s="730">
        <f>SUM(C72:C77)</f>
        <v>0</v>
      </c>
      <c r="D78" s="731">
        <f t="shared" ref="D78:H78" si="10">SUM(D76:D77)</f>
        <v>0</v>
      </c>
      <c r="E78" s="731">
        <f t="shared" si="10"/>
        <v>0</v>
      </c>
      <c r="F78" s="731">
        <f t="shared" si="10"/>
        <v>0</v>
      </c>
      <c r="G78" s="731">
        <f t="shared" si="10"/>
        <v>0</v>
      </c>
      <c r="H78" s="731">
        <f t="shared" si="10"/>
        <v>0</v>
      </c>
      <c r="I78" s="731">
        <f>SUM(I76:I77)</f>
        <v>0</v>
      </c>
      <c r="J78" s="731">
        <f>SUM(J76:J77)</f>
        <v>55.632352941176464</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67.553571428571416</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79.474789915966369</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67.553571428571416</v>
      </c>
      <c r="C90" s="730">
        <f>SUM(C87:C89)</f>
        <v>0</v>
      </c>
      <c r="D90" s="730">
        <f t="shared" ref="D90:H90" si="12">SUM(D87:D89)</f>
        <v>0</v>
      </c>
      <c r="E90" s="730">
        <f t="shared" si="12"/>
        <v>0</v>
      </c>
      <c r="F90" s="730">
        <f t="shared" si="12"/>
        <v>0</v>
      </c>
      <c r="G90" s="730">
        <f t="shared" si="12"/>
        <v>0</v>
      </c>
      <c r="H90" s="730">
        <f t="shared" si="12"/>
        <v>0</v>
      </c>
      <c r="I90" s="730">
        <f>SUM(I87:I89)</f>
        <v>0</v>
      </c>
      <c r="J90" s="730">
        <f>SUM(J87:J89)</f>
        <v>79.474789915966369</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25691.033332281604</v>
      </c>
      <c r="C4" s="447">
        <f>huishoudens!C8</f>
        <v>0</v>
      </c>
      <c r="D4" s="447">
        <f>huishoudens!D8</f>
        <v>28138.073106000003</v>
      </c>
      <c r="E4" s="447">
        <f>huishoudens!E8</f>
        <v>1654.9219509077157</v>
      </c>
      <c r="F4" s="447">
        <f>huishoudens!F8</f>
        <v>50453.765555124839</v>
      </c>
      <c r="G4" s="447">
        <f>huishoudens!G8</f>
        <v>0</v>
      </c>
      <c r="H4" s="447">
        <f>huishoudens!H8</f>
        <v>0</v>
      </c>
      <c r="I4" s="447">
        <f>huishoudens!I8</f>
        <v>0</v>
      </c>
      <c r="J4" s="447">
        <f>huishoudens!J8</f>
        <v>915.46599559332503</v>
      </c>
      <c r="K4" s="447">
        <f>huishoudens!K8</f>
        <v>0</v>
      </c>
      <c r="L4" s="447">
        <f>huishoudens!L8</f>
        <v>0</v>
      </c>
      <c r="M4" s="447">
        <f>huishoudens!M8</f>
        <v>0</v>
      </c>
      <c r="N4" s="447">
        <f>huishoudens!N8</f>
        <v>7697.4645191708832</v>
      </c>
      <c r="O4" s="447">
        <f>huishoudens!O8</f>
        <v>93.8</v>
      </c>
      <c r="P4" s="448">
        <f>huishoudens!P8</f>
        <v>247.86666666666667</v>
      </c>
      <c r="Q4" s="449">
        <f>SUM(B4:P4)</f>
        <v>114892.39112574505</v>
      </c>
    </row>
    <row r="5" spans="1:17">
      <c r="A5" s="446" t="s">
        <v>149</v>
      </c>
      <c r="B5" s="447">
        <f ca="1">tertiair!B16</f>
        <v>31960.587999999996</v>
      </c>
      <c r="C5" s="447">
        <f ca="1">tertiair!C16</f>
        <v>0</v>
      </c>
      <c r="D5" s="447">
        <f ca="1">tertiair!D16</f>
        <v>27780.324572000001</v>
      </c>
      <c r="E5" s="447">
        <f>tertiair!E16</f>
        <v>173.60016570065926</v>
      </c>
      <c r="F5" s="447">
        <f ca="1">tertiair!F16</f>
        <v>4728.6862396052265</v>
      </c>
      <c r="G5" s="447">
        <f>tertiair!G16</f>
        <v>0</v>
      </c>
      <c r="H5" s="447">
        <f>tertiair!H16</f>
        <v>0</v>
      </c>
      <c r="I5" s="447">
        <f>tertiair!I16</f>
        <v>0</v>
      </c>
      <c r="J5" s="447">
        <f>tertiair!J16</f>
        <v>0</v>
      </c>
      <c r="K5" s="447">
        <f>tertiair!K16</f>
        <v>0</v>
      </c>
      <c r="L5" s="447">
        <f ca="1">tertiair!L16</f>
        <v>0</v>
      </c>
      <c r="M5" s="447">
        <f>tertiair!M16</f>
        <v>0</v>
      </c>
      <c r="N5" s="447">
        <f ca="1">tertiair!N16</f>
        <v>918.75333353610881</v>
      </c>
      <c r="O5" s="447">
        <f>tertiair!O16</f>
        <v>4.6900000000000004</v>
      </c>
      <c r="P5" s="448">
        <f>tertiair!P16</f>
        <v>0</v>
      </c>
      <c r="Q5" s="446">
        <f t="shared" ref="Q5:Q14" ca="1" si="0">SUM(B5:P5)</f>
        <v>65566.642310841999</v>
      </c>
    </row>
    <row r="6" spans="1:17">
      <c r="A6" s="446" t="s">
        <v>187</v>
      </c>
      <c r="B6" s="447">
        <f>'openbare verlichting'!B8</f>
        <v>868.96799999999996</v>
      </c>
      <c r="C6" s="447"/>
      <c r="D6" s="447"/>
      <c r="E6" s="447"/>
      <c r="F6" s="447"/>
      <c r="G6" s="447"/>
      <c r="H6" s="447"/>
      <c r="I6" s="447"/>
      <c r="J6" s="447"/>
      <c r="K6" s="447"/>
      <c r="L6" s="447"/>
      <c r="M6" s="447"/>
      <c r="N6" s="447"/>
      <c r="O6" s="447"/>
      <c r="P6" s="448"/>
      <c r="Q6" s="446">
        <f t="shared" si="0"/>
        <v>868.96799999999996</v>
      </c>
    </row>
    <row r="7" spans="1:17">
      <c r="A7" s="446" t="s">
        <v>105</v>
      </c>
      <c r="B7" s="447">
        <f>landbouw!B8</f>
        <v>3500.5790000000002</v>
      </c>
      <c r="C7" s="447">
        <f>landbouw!C8</f>
        <v>67.553571428571416</v>
      </c>
      <c r="D7" s="447">
        <f>landbouw!D8</f>
        <v>0</v>
      </c>
      <c r="E7" s="447">
        <f>landbouw!E8</f>
        <v>32.977799644868512</v>
      </c>
      <c r="F7" s="447">
        <f>landbouw!F8</f>
        <v>11423.55101714229</v>
      </c>
      <c r="G7" s="447">
        <f>landbouw!G8</f>
        <v>0</v>
      </c>
      <c r="H7" s="447">
        <f>landbouw!H8</f>
        <v>0</v>
      </c>
      <c r="I7" s="447">
        <f>landbouw!I8</f>
        <v>0</v>
      </c>
      <c r="J7" s="447">
        <f>landbouw!J8</f>
        <v>433.0386491129853</v>
      </c>
      <c r="K7" s="447">
        <f>landbouw!K8</f>
        <v>0</v>
      </c>
      <c r="L7" s="447">
        <f>landbouw!L8</f>
        <v>0</v>
      </c>
      <c r="M7" s="447">
        <f>landbouw!M8</f>
        <v>0</v>
      </c>
      <c r="N7" s="447">
        <f>landbouw!N8</f>
        <v>0</v>
      </c>
      <c r="O7" s="447">
        <f>landbouw!O8</f>
        <v>0</v>
      </c>
      <c r="P7" s="448">
        <f>landbouw!P8</f>
        <v>0</v>
      </c>
      <c r="Q7" s="446">
        <f t="shared" si="0"/>
        <v>15457.700037328716</v>
      </c>
    </row>
    <row r="8" spans="1:17">
      <c r="A8" s="446" t="s">
        <v>665</v>
      </c>
      <c r="B8" s="447">
        <f>industrie!B18</f>
        <v>30511.721000000001</v>
      </c>
      <c r="C8" s="447">
        <f>industrie!C18</f>
        <v>0</v>
      </c>
      <c r="D8" s="447">
        <f>industrie!D18</f>
        <v>40775.811999999998</v>
      </c>
      <c r="E8" s="447">
        <f>industrie!E18</f>
        <v>259.55481422871821</v>
      </c>
      <c r="F8" s="447">
        <f>industrie!F18</f>
        <v>6887.0294680632269</v>
      </c>
      <c r="G8" s="447">
        <f>industrie!G18</f>
        <v>0</v>
      </c>
      <c r="H8" s="447">
        <f>industrie!H18</f>
        <v>0</v>
      </c>
      <c r="I8" s="447">
        <f>industrie!I18</f>
        <v>0</v>
      </c>
      <c r="J8" s="447">
        <f>industrie!J18</f>
        <v>6.6641506219725226</v>
      </c>
      <c r="K8" s="447">
        <f>industrie!K18</f>
        <v>0</v>
      </c>
      <c r="L8" s="447">
        <f>industrie!L18</f>
        <v>0</v>
      </c>
      <c r="M8" s="447">
        <f>industrie!M18</f>
        <v>0</v>
      </c>
      <c r="N8" s="447">
        <f>industrie!N18</f>
        <v>750.68910843377319</v>
      </c>
      <c r="O8" s="447">
        <f>industrie!O18</f>
        <v>0</v>
      </c>
      <c r="P8" s="448">
        <f>industrie!P18</f>
        <v>0</v>
      </c>
      <c r="Q8" s="446">
        <f t="shared" si="0"/>
        <v>79191.470541347677</v>
      </c>
    </row>
    <row r="9" spans="1:17" s="452" customFormat="1">
      <c r="A9" s="450" t="s">
        <v>562</v>
      </c>
      <c r="B9" s="451">
        <f>transport!B14</f>
        <v>2.5556509045511544</v>
      </c>
      <c r="C9" s="451">
        <f>transport!C14</f>
        <v>0</v>
      </c>
      <c r="D9" s="451">
        <f>transport!D14</f>
        <v>3.472408588223924</v>
      </c>
      <c r="E9" s="451">
        <f>transport!E14</f>
        <v>220.03679099529921</v>
      </c>
      <c r="F9" s="451">
        <f>transport!F14</f>
        <v>0</v>
      </c>
      <c r="G9" s="451">
        <f>transport!G14</f>
        <v>47911.604984341131</v>
      </c>
      <c r="H9" s="451">
        <f>transport!H14</f>
        <v>8295.5660797959845</v>
      </c>
      <c r="I9" s="451">
        <f>transport!I14</f>
        <v>0</v>
      </c>
      <c r="J9" s="451">
        <f>transport!J14</f>
        <v>0</v>
      </c>
      <c r="K9" s="451">
        <f>transport!K14</f>
        <v>0</v>
      </c>
      <c r="L9" s="451">
        <f>transport!L14</f>
        <v>0</v>
      </c>
      <c r="M9" s="451">
        <f>transport!M14</f>
        <v>2511.8405617507497</v>
      </c>
      <c r="N9" s="451">
        <f>transport!N14</f>
        <v>0</v>
      </c>
      <c r="O9" s="451">
        <f>transport!O14</f>
        <v>0</v>
      </c>
      <c r="P9" s="451">
        <f>transport!P14</f>
        <v>0</v>
      </c>
      <c r="Q9" s="450">
        <f>SUM(B9:P9)</f>
        <v>58945.076476375943</v>
      </c>
    </row>
    <row r="10" spans="1:17">
      <c r="A10" s="446" t="s">
        <v>552</v>
      </c>
      <c r="B10" s="447">
        <f>transport!B54</f>
        <v>5.3815739773660418</v>
      </c>
      <c r="C10" s="447">
        <f>transport!C54</f>
        <v>0</v>
      </c>
      <c r="D10" s="447">
        <f>transport!D54</f>
        <v>0</v>
      </c>
      <c r="E10" s="447">
        <f>transport!E54</f>
        <v>0</v>
      </c>
      <c r="F10" s="447">
        <f>transport!F54</f>
        <v>0</v>
      </c>
      <c r="G10" s="447">
        <f>transport!G54</f>
        <v>1073.365539910428</v>
      </c>
      <c r="H10" s="447">
        <f>transport!H54</f>
        <v>0</v>
      </c>
      <c r="I10" s="447">
        <f>transport!I54</f>
        <v>0</v>
      </c>
      <c r="J10" s="447">
        <f>transport!J54</f>
        <v>0</v>
      </c>
      <c r="K10" s="447">
        <f>transport!K54</f>
        <v>0</v>
      </c>
      <c r="L10" s="447">
        <f>transport!L54</f>
        <v>0</v>
      </c>
      <c r="M10" s="447">
        <f>transport!M54</f>
        <v>47.441613665569058</v>
      </c>
      <c r="N10" s="447">
        <f>transport!N54</f>
        <v>0</v>
      </c>
      <c r="O10" s="447">
        <f>transport!O54</f>
        <v>0</v>
      </c>
      <c r="P10" s="448">
        <f>transport!P54</f>
        <v>0</v>
      </c>
      <c r="Q10" s="446">
        <f t="shared" si="0"/>
        <v>1126.1887275533632</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260.75799999999998</v>
      </c>
      <c r="C14" s="454"/>
      <c r="D14" s="454">
        <f>'SEAP template'!E25</f>
        <v>490.28199999999998</v>
      </c>
      <c r="E14" s="454"/>
      <c r="F14" s="454"/>
      <c r="G14" s="454"/>
      <c r="H14" s="454"/>
      <c r="I14" s="454"/>
      <c r="J14" s="454"/>
      <c r="K14" s="454"/>
      <c r="L14" s="454"/>
      <c r="M14" s="454"/>
      <c r="N14" s="454"/>
      <c r="O14" s="454"/>
      <c r="P14" s="455"/>
      <c r="Q14" s="446">
        <f t="shared" si="0"/>
        <v>751.04</v>
      </c>
    </row>
    <row r="15" spans="1:17" s="459" customFormat="1">
      <c r="A15" s="456" t="s">
        <v>556</v>
      </c>
      <c r="B15" s="457">
        <f ca="1">SUM(B4:B14)</f>
        <v>92801.584557163529</v>
      </c>
      <c r="C15" s="457">
        <f t="shared" ref="C15:Q15" ca="1" si="1">SUM(C4:C14)</f>
        <v>67.553571428571416</v>
      </c>
      <c r="D15" s="457">
        <f t="shared" ca="1" si="1"/>
        <v>97187.964086588239</v>
      </c>
      <c r="E15" s="457">
        <f t="shared" si="1"/>
        <v>2341.0915214772613</v>
      </c>
      <c r="F15" s="457">
        <f t="shared" ca="1" si="1"/>
        <v>73493.032279935578</v>
      </c>
      <c r="G15" s="457">
        <f t="shared" si="1"/>
        <v>48984.970524251556</v>
      </c>
      <c r="H15" s="457">
        <f t="shared" si="1"/>
        <v>8295.5660797959845</v>
      </c>
      <c r="I15" s="457">
        <f t="shared" si="1"/>
        <v>0</v>
      </c>
      <c r="J15" s="457">
        <f t="shared" si="1"/>
        <v>1355.1687953282828</v>
      </c>
      <c r="K15" s="457">
        <f t="shared" si="1"/>
        <v>0</v>
      </c>
      <c r="L15" s="457">
        <f t="shared" ca="1" si="1"/>
        <v>0</v>
      </c>
      <c r="M15" s="457">
        <f t="shared" si="1"/>
        <v>2559.2821754163188</v>
      </c>
      <c r="N15" s="457">
        <f t="shared" ca="1" si="1"/>
        <v>9366.9069611407649</v>
      </c>
      <c r="O15" s="457">
        <f t="shared" si="1"/>
        <v>98.49</v>
      </c>
      <c r="P15" s="457">
        <f t="shared" si="1"/>
        <v>247.86666666666667</v>
      </c>
      <c r="Q15" s="457">
        <f t="shared" ca="1" si="1"/>
        <v>336799.47721919272</v>
      </c>
    </row>
    <row r="17" spans="1:17">
      <c r="A17" s="460" t="s">
        <v>557</v>
      </c>
      <c r="B17" s="764">
        <f ca="1">huishoudens!B10</f>
        <v>0.20252924818646226</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5203.1856659203359</v>
      </c>
      <c r="C22" s="447">
        <f t="shared" ref="C22:C32" ca="1" si="3">C4*$C$17</f>
        <v>0</v>
      </c>
      <c r="D22" s="447">
        <f t="shared" ref="D22:D32" si="4">D4*$D$17</f>
        <v>5683.890767412001</v>
      </c>
      <c r="E22" s="447">
        <f t="shared" ref="E22:E32" si="5">E4*$E$17</f>
        <v>375.66728285605149</v>
      </c>
      <c r="F22" s="447">
        <f t="shared" ref="F22:F32" si="6">F4*$F$17</f>
        <v>13471.155403218332</v>
      </c>
      <c r="G22" s="447">
        <f t="shared" ref="G22:G32" si="7">G4*$G$17</f>
        <v>0</v>
      </c>
      <c r="H22" s="447">
        <f t="shared" ref="H22:H32" si="8">H4*$H$17</f>
        <v>0</v>
      </c>
      <c r="I22" s="447">
        <f t="shared" ref="I22:I32" si="9">I4*$I$17</f>
        <v>0</v>
      </c>
      <c r="J22" s="447">
        <f t="shared" ref="J22:J32" si="10">J4*$J$17</f>
        <v>324.07496244003704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25057.974081846758</v>
      </c>
    </row>
    <row r="23" spans="1:17">
      <c r="A23" s="446" t="s">
        <v>149</v>
      </c>
      <c r="B23" s="447">
        <f t="shared" ca="1" si="2"/>
        <v>6472.9538592372664</v>
      </c>
      <c r="C23" s="447">
        <f t="shared" ca="1" si="3"/>
        <v>0</v>
      </c>
      <c r="D23" s="447">
        <f t="shared" ca="1" si="4"/>
        <v>5611.6255635440002</v>
      </c>
      <c r="E23" s="447">
        <f t="shared" si="5"/>
        <v>39.407237614049656</v>
      </c>
      <c r="F23" s="447">
        <f t="shared" ca="1" si="6"/>
        <v>1262.5592259745956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13386.545886369911</v>
      </c>
    </row>
    <row r="24" spans="1:17">
      <c r="A24" s="446" t="s">
        <v>187</v>
      </c>
      <c r="B24" s="447">
        <f t="shared" ca="1" si="2"/>
        <v>175.99143573809371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175.99143573809371</v>
      </c>
    </row>
    <row r="25" spans="1:17">
      <c r="A25" s="446" t="s">
        <v>105</v>
      </c>
      <c r="B25" s="447">
        <f t="shared" ca="1" si="2"/>
        <v>708.9696330873179</v>
      </c>
      <c r="C25" s="447">
        <f t="shared" ca="1" si="3"/>
        <v>0</v>
      </c>
      <c r="D25" s="447">
        <f t="shared" si="4"/>
        <v>0</v>
      </c>
      <c r="E25" s="447">
        <f t="shared" si="5"/>
        <v>7.4859605193851522</v>
      </c>
      <c r="F25" s="447">
        <f t="shared" si="6"/>
        <v>3050.0881215769919</v>
      </c>
      <c r="G25" s="447">
        <f t="shared" si="7"/>
        <v>0</v>
      </c>
      <c r="H25" s="447">
        <f t="shared" si="8"/>
        <v>0</v>
      </c>
      <c r="I25" s="447">
        <f t="shared" si="9"/>
        <v>0</v>
      </c>
      <c r="J25" s="447">
        <f t="shared" si="10"/>
        <v>153.29568178599678</v>
      </c>
      <c r="K25" s="447">
        <f t="shared" si="11"/>
        <v>0</v>
      </c>
      <c r="L25" s="447">
        <f t="shared" si="12"/>
        <v>0</v>
      </c>
      <c r="M25" s="447">
        <f t="shared" si="13"/>
        <v>0</v>
      </c>
      <c r="N25" s="447">
        <f t="shared" si="14"/>
        <v>0</v>
      </c>
      <c r="O25" s="447">
        <f t="shared" si="15"/>
        <v>0</v>
      </c>
      <c r="P25" s="448">
        <f t="shared" si="16"/>
        <v>0</v>
      </c>
      <c r="Q25" s="446">
        <f t="shared" ca="1" si="17"/>
        <v>3919.8393969696917</v>
      </c>
    </row>
    <row r="26" spans="1:17">
      <c r="A26" s="446" t="s">
        <v>665</v>
      </c>
      <c r="B26" s="447">
        <f t="shared" ca="1" si="2"/>
        <v>6179.5159150050922</v>
      </c>
      <c r="C26" s="447">
        <f t="shared" ca="1" si="3"/>
        <v>0</v>
      </c>
      <c r="D26" s="447">
        <f t="shared" si="4"/>
        <v>8236.7140240000008</v>
      </c>
      <c r="E26" s="447">
        <f t="shared" si="5"/>
        <v>58.91894282991904</v>
      </c>
      <c r="F26" s="447">
        <f t="shared" si="6"/>
        <v>1838.8368679728817</v>
      </c>
      <c r="G26" s="447">
        <f t="shared" si="7"/>
        <v>0</v>
      </c>
      <c r="H26" s="447">
        <f t="shared" si="8"/>
        <v>0</v>
      </c>
      <c r="I26" s="447">
        <f t="shared" si="9"/>
        <v>0</v>
      </c>
      <c r="J26" s="447">
        <f t="shared" si="10"/>
        <v>2.3591093201782729</v>
      </c>
      <c r="K26" s="447">
        <f t="shared" si="11"/>
        <v>0</v>
      </c>
      <c r="L26" s="447">
        <f t="shared" si="12"/>
        <v>0</v>
      </c>
      <c r="M26" s="447">
        <f t="shared" si="13"/>
        <v>0</v>
      </c>
      <c r="N26" s="447">
        <f t="shared" si="14"/>
        <v>0</v>
      </c>
      <c r="O26" s="447">
        <f t="shared" si="15"/>
        <v>0</v>
      </c>
      <c r="P26" s="448">
        <f t="shared" si="16"/>
        <v>0</v>
      </c>
      <c r="Q26" s="446">
        <f t="shared" ca="1" si="17"/>
        <v>16316.344859128072</v>
      </c>
    </row>
    <row r="27" spans="1:17" s="452" customFormat="1">
      <c r="A27" s="450" t="s">
        <v>562</v>
      </c>
      <c r="B27" s="758">
        <f t="shared" ca="1" si="2"/>
        <v>0.51759405632579747</v>
      </c>
      <c r="C27" s="451">
        <f t="shared" ca="1" si="3"/>
        <v>0</v>
      </c>
      <c r="D27" s="451">
        <f t="shared" si="4"/>
        <v>0.70142653482123263</v>
      </c>
      <c r="E27" s="451">
        <f t="shared" si="5"/>
        <v>49.948351555932923</v>
      </c>
      <c r="F27" s="451">
        <f t="shared" si="6"/>
        <v>0</v>
      </c>
      <c r="G27" s="451">
        <f t="shared" si="7"/>
        <v>12792.398530819082</v>
      </c>
      <c r="H27" s="451">
        <f t="shared" si="8"/>
        <v>2065.5959538692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14909.161856835362</v>
      </c>
    </row>
    <row r="28" spans="1:17">
      <c r="A28" s="446" t="s">
        <v>552</v>
      </c>
      <c r="B28" s="447">
        <f t="shared" ca="1" si="2"/>
        <v>1.0899261316957738</v>
      </c>
      <c r="C28" s="447">
        <f t="shared" ca="1" si="3"/>
        <v>0</v>
      </c>
      <c r="D28" s="447">
        <f t="shared" si="4"/>
        <v>0</v>
      </c>
      <c r="E28" s="447">
        <f t="shared" si="5"/>
        <v>0</v>
      </c>
      <c r="F28" s="447">
        <f t="shared" si="6"/>
        <v>0</v>
      </c>
      <c r="G28" s="447">
        <f t="shared" si="7"/>
        <v>286.58859915608429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287.67852528778008</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52.811121698605518</v>
      </c>
      <c r="C32" s="447">
        <f t="shared" ca="1" si="3"/>
        <v>0</v>
      </c>
      <c r="D32" s="447">
        <f t="shared" si="4"/>
        <v>99.036963999999998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151.84808569860553</v>
      </c>
    </row>
    <row r="33" spans="1:17" s="459" customFormat="1">
      <c r="A33" s="456" t="s">
        <v>556</v>
      </c>
      <c r="B33" s="457">
        <f ca="1">SUM(B22:B32)</f>
        <v>18795.035150874734</v>
      </c>
      <c r="C33" s="457">
        <f t="shared" ref="C33:Q33" ca="1" si="18">SUM(C22:C32)</f>
        <v>0</v>
      </c>
      <c r="D33" s="457">
        <f t="shared" ca="1" si="18"/>
        <v>19631.968745490823</v>
      </c>
      <c r="E33" s="457">
        <f t="shared" si="18"/>
        <v>531.42777537533834</v>
      </c>
      <c r="F33" s="457">
        <f t="shared" ca="1" si="18"/>
        <v>19622.6396187428</v>
      </c>
      <c r="G33" s="457">
        <f t="shared" si="18"/>
        <v>13078.987129975167</v>
      </c>
      <c r="H33" s="457">
        <f t="shared" si="18"/>
        <v>2065.5959538692</v>
      </c>
      <c r="I33" s="457">
        <f t="shared" si="18"/>
        <v>0</v>
      </c>
      <c r="J33" s="457">
        <f t="shared" si="18"/>
        <v>479.72975354621212</v>
      </c>
      <c r="K33" s="457">
        <f t="shared" si="18"/>
        <v>0</v>
      </c>
      <c r="L33" s="457">
        <f t="shared" ca="1" si="18"/>
        <v>0</v>
      </c>
      <c r="M33" s="457">
        <f t="shared" si="18"/>
        <v>0</v>
      </c>
      <c r="N33" s="457">
        <f t="shared" ca="1" si="18"/>
        <v>0</v>
      </c>
      <c r="O33" s="457">
        <f t="shared" si="18"/>
        <v>0</v>
      </c>
      <c r="P33" s="457">
        <f t="shared" si="18"/>
        <v>0</v>
      </c>
      <c r="Q33" s="457">
        <f t="shared" ca="1" si="18"/>
        <v>74205.384127874262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726</v>
      </c>
      <c r="C5" s="1013"/>
      <c r="D5" s="1013"/>
      <c r="E5" s="1013"/>
      <c r="F5" s="1013"/>
      <c r="G5" s="1013"/>
      <c r="H5" s="1013"/>
      <c r="I5" s="1013"/>
      <c r="J5" s="1013"/>
      <c r="K5" s="1013"/>
      <c r="L5" s="1013"/>
      <c r="M5" s="1013"/>
      <c r="N5" s="1013"/>
      <c r="O5" s="1013"/>
      <c r="P5" s="1014">
        <f>'SEAP template'!Q73</f>
        <v>0</v>
      </c>
    </row>
    <row r="6" spans="1:16">
      <c r="A6" s="1015" t="s">
        <v>240</v>
      </c>
      <c r="B6" s="1013">
        <f>'SEAP template'!B74</f>
        <v>6982.8891346534092</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47.287499999999994</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55.632352941176464</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7756.1766346534096</v>
      </c>
      <c r="C10" s="1017">
        <f>SUM(C4:C9)</f>
        <v>0</v>
      </c>
      <c r="D10" s="1017">
        <f t="shared" ref="D10:H10" si="0">SUM(D8:D9)</f>
        <v>0</v>
      </c>
      <c r="E10" s="1017">
        <f t="shared" si="0"/>
        <v>0</v>
      </c>
      <c r="F10" s="1017">
        <f t="shared" si="0"/>
        <v>0</v>
      </c>
      <c r="G10" s="1017">
        <f t="shared" si="0"/>
        <v>0</v>
      </c>
      <c r="H10" s="1017">
        <f t="shared" si="0"/>
        <v>0</v>
      </c>
      <c r="I10" s="1017">
        <f>SUM(I8:I9)</f>
        <v>0</v>
      </c>
      <c r="J10" s="1017">
        <f>SUM(J8:J9)</f>
        <v>55.632352941176464</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0.20252924818646226</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67.553571428571416</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79.474789915966369</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67.553571428571416</v>
      </c>
      <c r="C20" s="1017">
        <f>SUM(C17:C19)</f>
        <v>0</v>
      </c>
      <c r="D20" s="1017">
        <f t="shared" ref="D20:H20" si="2">SUM(D17:D19)</f>
        <v>0</v>
      </c>
      <c r="E20" s="1017">
        <f t="shared" si="2"/>
        <v>0</v>
      </c>
      <c r="F20" s="1017">
        <f t="shared" si="2"/>
        <v>0</v>
      </c>
      <c r="G20" s="1017">
        <f t="shared" si="2"/>
        <v>0</v>
      </c>
      <c r="H20" s="1017">
        <f t="shared" si="2"/>
        <v>0</v>
      </c>
      <c r="I20" s="1017">
        <f>SUM(I17:I19)</f>
        <v>0</v>
      </c>
      <c r="J20" s="1017">
        <f>SUM(J17:J19)</f>
        <v>79.474789915966369</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0.20252924818646226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0.20252924818646226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0.20252924818646226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5015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3168</v>
      </c>
      <c r="C14" s="327"/>
      <c r="D14" s="327"/>
      <c r="E14" s="327"/>
      <c r="F14" s="327"/>
    </row>
    <row r="15" spans="1:6">
      <c r="A15" s="1293" t="s">
        <v>177</v>
      </c>
      <c r="B15" s="1294">
        <v>71</v>
      </c>
      <c r="C15" s="327"/>
      <c r="D15" s="327"/>
      <c r="E15" s="327"/>
      <c r="F15" s="327"/>
    </row>
    <row r="16" spans="1:6">
      <c r="A16" s="1293" t="s">
        <v>6</v>
      </c>
      <c r="B16" s="1294">
        <v>3303</v>
      </c>
      <c r="C16" s="327"/>
      <c r="D16" s="327"/>
      <c r="E16" s="327"/>
      <c r="F16" s="327"/>
    </row>
    <row r="17" spans="1:6">
      <c r="A17" s="1293" t="s">
        <v>7</v>
      </c>
      <c r="B17" s="1294">
        <v>382</v>
      </c>
      <c r="C17" s="327"/>
      <c r="D17" s="327"/>
      <c r="E17" s="327"/>
      <c r="F17" s="327"/>
    </row>
    <row r="18" spans="1:6">
      <c r="A18" s="1293" t="s">
        <v>8</v>
      </c>
      <c r="B18" s="1294">
        <v>1746</v>
      </c>
      <c r="C18" s="327"/>
      <c r="D18" s="327"/>
      <c r="E18" s="327"/>
      <c r="F18" s="327"/>
    </row>
    <row r="19" spans="1:6">
      <c r="A19" s="1293" t="s">
        <v>9</v>
      </c>
      <c r="B19" s="1294">
        <v>1750</v>
      </c>
      <c r="C19" s="327"/>
      <c r="D19" s="327"/>
      <c r="E19" s="327"/>
      <c r="F19" s="327"/>
    </row>
    <row r="20" spans="1:6">
      <c r="A20" s="1293" t="s">
        <v>10</v>
      </c>
      <c r="B20" s="1294">
        <v>1135</v>
      </c>
      <c r="C20" s="327"/>
      <c r="D20" s="327"/>
      <c r="E20" s="327"/>
      <c r="F20" s="327"/>
    </row>
    <row r="21" spans="1:6">
      <c r="A21" s="1293" t="s">
        <v>11</v>
      </c>
      <c r="B21" s="1294">
        <v>12983</v>
      </c>
      <c r="C21" s="327"/>
      <c r="D21" s="327"/>
      <c r="E21" s="327"/>
      <c r="F21" s="327"/>
    </row>
    <row r="22" spans="1:6">
      <c r="A22" s="1293" t="s">
        <v>12</v>
      </c>
      <c r="B22" s="1294">
        <v>25467</v>
      </c>
      <c r="C22" s="327"/>
      <c r="D22" s="327"/>
      <c r="E22" s="327"/>
      <c r="F22" s="327"/>
    </row>
    <row r="23" spans="1:6">
      <c r="A23" s="1293" t="s">
        <v>13</v>
      </c>
      <c r="B23" s="1294">
        <v>655</v>
      </c>
      <c r="C23" s="327"/>
      <c r="D23" s="327"/>
      <c r="E23" s="327"/>
      <c r="F23" s="327"/>
    </row>
    <row r="24" spans="1:6">
      <c r="A24" s="1293" t="s">
        <v>14</v>
      </c>
      <c r="B24" s="1294">
        <v>115</v>
      </c>
      <c r="C24" s="327"/>
      <c r="D24" s="327"/>
      <c r="E24" s="327"/>
      <c r="F24" s="327"/>
    </row>
    <row r="25" spans="1:6">
      <c r="A25" s="1293" t="s">
        <v>15</v>
      </c>
      <c r="B25" s="1294">
        <v>3179</v>
      </c>
      <c r="C25" s="327"/>
      <c r="D25" s="327"/>
      <c r="E25" s="327"/>
      <c r="F25" s="327"/>
    </row>
    <row r="26" spans="1:6">
      <c r="A26" s="1293" t="s">
        <v>16</v>
      </c>
      <c r="B26" s="1294">
        <v>23</v>
      </c>
      <c r="C26" s="327"/>
      <c r="D26" s="327"/>
      <c r="E26" s="327"/>
      <c r="F26" s="327"/>
    </row>
    <row r="27" spans="1:6">
      <c r="A27" s="1293" t="s">
        <v>17</v>
      </c>
      <c r="B27" s="1294">
        <v>10</v>
      </c>
      <c r="C27" s="327"/>
      <c r="D27" s="327"/>
      <c r="E27" s="327"/>
      <c r="F27" s="327"/>
    </row>
    <row r="28" spans="1:6">
      <c r="A28" s="1293" t="s">
        <v>18</v>
      </c>
      <c r="B28" s="1295">
        <v>157632</v>
      </c>
      <c r="C28" s="327"/>
      <c r="D28" s="327"/>
      <c r="E28" s="327"/>
      <c r="F28" s="327"/>
    </row>
    <row r="29" spans="1:6">
      <c r="A29" s="1293" t="s">
        <v>955</v>
      </c>
      <c r="B29" s="1295">
        <v>381</v>
      </c>
      <c r="C29" s="327"/>
      <c r="D29" s="327"/>
      <c r="E29" s="327"/>
      <c r="F29" s="327"/>
    </row>
    <row r="30" spans="1:6">
      <c r="A30" s="1288" t="s">
        <v>956</v>
      </c>
      <c r="B30" s="1296">
        <v>54</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8</v>
      </c>
      <c r="F36" s="1294">
        <v>27655</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1916</v>
      </c>
      <c r="D39" s="1294">
        <v>31195203</v>
      </c>
      <c r="E39" s="1294">
        <v>5002</v>
      </c>
      <c r="F39" s="1294">
        <v>21495154</v>
      </c>
    </row>
    <row r="40" spans="1:6">
      <c r="A40" s="1293" t="s">
        <v>29</v>
      </c>
      <c r="B40" s="1293" t="s">
        <v>28</v>
      </c>
      <c r="C40" s="1294">
        <v>0</v>
      </c>
      <c r="D40" s="1294">
        <v>0</v>
      </c>
      <c r="E40" s="1294">
        <v>0</v>
      </c>
      <c r="F40" s="1294">
        <v>0</v>
      </c>
    </row>
    <row r="41" spans="1:6">
      <c r="A41" s="1293" t="s">
        <v>31</v>
      </c>
      <c r="B41" s="1293" t="s">
        <v>32</v>
      </c>
      <c r="C41" s="1294">
        <v>19</v>
      </c>
      <c r="D41" s="1294">
        <v>571445</v>
      </c>
      <c r="E41" s="1294">
        <v>87</v>
      </c>
      <c r="F41" s="1294">
        <v>5393290</v>
      </c>
    </row>
    <row r="42" spans="1:6">
      <c r="A42" s="1293" t="s">
        <v>31</v>
      </c>
      <c r="B42" s="1293" t="s">
        <v>33</v>
      </c>
      <c r="C42" s="1294">
        <v>0</v>
      </c>
      <c r="D42" s="1294">
        <v>0</v>
      </c>
      <c r="E42" s="1294">
        <v>0</v>
      </c>
      <c r="F42" s="1294">
        <v>0</v>
      </c>
    </row>
    <row r="43" spans="1:6">
      <c r="A43" s="1293" t="s">
        <v>31</v>
      </c>
      <c r="B43" s="1293" t="s">
        <v>34</v>
      </c>
      <c r="C43" s="1294">
        <v>0</v>
      </c>
      <c r="D43" s="1294">
        <v>0</v>
      </c>
      <c r="E43" s="1294">
        <v>3</v>
      </c>
      <c r="F43" s="1294">
        <v>1775574</v>
      </c>
    </row>
    <row r="44" spans="1:6">
      <c r="A44" s="1293" t="s">
        <v>31</v>
      </c>
      <c r="B44" s="1293" t="s">
        <v>35</v>
      </c>
      <c r="C44" s="1294">
        <v>6</v>
      </c>
      <c r="D44" s="1294">
        <v>152284</v>
      </c>
      <c r="E44" s="1294">
        <v>12</v>
      </c>
      <c r="F44" s="1294">
        <v>352561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4</v>
      </c>
      <c r="D47" s="1294">
        <v>813661</v>
      </c>
      <c r="E47" s="1294">
        <v>0</v>
      </c>
      <c r="F47" s="1294">
        <v>0</v>
      </c>
    </row>
    <row r="48" spans="1:6">
      <c r="A48" s="1293" t="s">
        <v>31</v>
      </c>
      <c r="B48" s="1293" t="s">
        <v>28</v>
      </c>
      <c r="C48" s="1294">
        <v>2</v>
      </c>
      <c r="D48" s="1294">
        <v>105946</v>
      </c>
      <c r="E48" s="1294">
        <v>1</v>
      </c>
      <c r="F48" s="1294">
        <v>56185</v>
      </c>
    </row>
    <row r="49" spans="1:6">
      <c r="A49" s="1293" t="s">
        <v>31</v>
      </c>
      <c r="B49" s="1293" t="s">
        <v>39</v>
      </c>
      <c r="C49" s="1294">
        <v>0</v>
      </c>
      <c r="D49" s="1294">
        <v>0</v>
      </c>
      <c r="E49" s="1294">
        <v>6</v>
      </c>
      <c r="F49" s="1294">
        <v>106157</v>
      </c>
    </row>
    <row r="50" spans="1:6">
      <c r="A50" s="1293" t="s">
        <v>31</v>
      </c>
      <c r="B50" s="1293" t="s">
        <v>40</v>
      </c>
      <c r="C50" s="1294">
        <v>8</v>
      </c>
      <c r="D50" s="1294">
        <v>43562664</v>
      </c>
      <c r="E50" s="1294">
        <v>12</v>
      </c>
      <c r="F50" s="1294">
        <v>22827954</v>
      </c>
    </row>
    <row r="51" spans="1:6">
      <c r="A51" s="1293" t="s">
        <v>41</v>
      </c>
      <c r="B51" s="1293" t="s">
        <v>42</v>
      </c>
      <c r="C51" s="1294">
        <v>0</v>
      </c>
      <c r="D51" s="1294">
        <v>0</v>
      </c>
      <c r="E51" s="1294">
        <v>122</v>
      </c>
      <c r="F51" s="1294">
        <v>3500579</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79</v>
      </c>
      <c r="F54" s="1294">
        <v>868968</v>
      </c>
    </row>
    <row r="55" spans="1:6">
      <c r="A55" s="1293" t="s">
        <v>45</v>
      </c>
      <c r="B55" s="1293" t="s">
        <v>28</v>
      </c>
      <c r="C55" s="1294">
        <v>0</v>
      </c>
      <c r="D55" s="1294">
        <v>0</v>
      </c>
      <c r="E55" s="1294">
        <v>0</v>
      </c>
      <c r="F55" s="1294">
        <v>0</v>
      </c>
    </row>
    <row r="56" spans="1:6">
      <c r="A56" s="1293" t="s">
        <v>47</v>
      </c>
      <c r="B56" s="1293" t="s">
        <v>28</v>
      </c>
      <c r="C56" s="1294">
        <v>12</v>
      </c>
      <c r="D56" s="1294">
        <v>490282</v>
      </c>
      <c r="E56" s="1294">
        <v>47</v>
      </c>
      <c r="F56" s="1294">
        <v>260758</v>
      </c>
    </row>
    <row r="57" spans="1:6">
      <c r="A57" s="1293" t="s">
        <v>48</v>
      </c>
      <c r="B57" s="1293" t="s">
        <v>49</v>
      </c>
      <c r="C57" s="1294">
        <v>12</v>
      </c>
      <c r="D57" s="1294">
        <v>4136495</v>
      </c>
      <c r="E57" s="1294">
        <v>54</v>
      </c>
      <c r="F57" s="1294">
        <v>1545423</v>
      </c>
    </row>
    <row r="58" spans="1:6">
      <c r="A58" s="1293" t="s">
        <v>48</v>
      </c>
      <c r="B58" s="1293" t="s">
        <v>50</v>
      </c>
      <c r="C58" s="1294">
        <v>8</v>
      </c>
      <c r="D58" s="1294">
        <v>1304377</v>
      </c>
      <c r="E58" s="1294">
        <v>17</v>
      </c>
      <c r="F58" s="1294">
        <v>542178</v>
      </c>
    </row>
    <row r="59" spans="1:6">
      <c r="A59" s="1293" t="s">
        <v>48</v>
      </c>
      <c r="B59" s="1293" t="s">
        <v>51</v>
      </c>
      <c r="C59" s="1294">
        <v>41</v>
      </c>
      <c r="D59" s="1294">
        <v>1100006</v>
      </c>
      <c r="E59" s="1294">
        <v>113</v>
      </c>
      <c r="F59" s="1294">
        <v>3362626</v>
      </c>
    </row>
    <row r="60" spans="1:6">
      <c r="A60" s="1293" t="s">
        <v>48</v>
      </c>
      <c r="B60" s="1293" t="s">
        <v>52</v>
      </c>
      <c r="C60" s="1294">
        <v>24</v>
      </c>
      <c r="D60" s="1294">
        <v>939337</v>
      </c>
      <c r="E60" s="1294">
        <v>59</v>
      </c>
      <c r="F60" s="1294">
        <v>1970764</v>
      </c>
    </row>
    <row r="61" spans="1:6">
      <c r="A61" s="1293" t="s">
        <v>48</v>
      </c>
      <c r="B61" s="1293" t="s">
        <v>53</v>
      </c>
      <c r="C61" s="1294">
        <v>39</v>
      </c>
      <c r="D61" s="1294">
        <v>22713544</v>
      </c>
      <c r="E61" s="1294">
        <v>180</v>
      </c>
      <c r="F61" s="1294">
        <v>24313962</v>
      </c>
    </row>
    <row r="62" spans="1:6">
      <c r="A62" s="1293" t="s">
        <v>48</v>
      </c>
      <c r="B62" s="1293" t="s">
        <v>54</v>
      </c>
      <c r="C62" s="1294">
        <v>7</v>
      </c>
      <c r="D62" s="1294">
        <v>604827</v>
      </c>
      <c r="E62" s="1294">
        <v>15</v>
      </c>
      <c r="F62" s="1294">
        <v>225635</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4</v>
      </c>
      <c r="F68" s="1296">
        <v>60459</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42573475</v>
      </c>
      <c r="E73" s="445"/>
      <c r="F73" s="327"/>
    </row>
    <row r="74" spans="1:6">
      <c r="A74" s="1293" t="s">
        <v>63</v>
      </c>
      <c r="B74" s="1293" t="s">
        <v>749</v>
      </c>
      <c r="C74" s="1306" t="s">
        <v>743</v>
      </c>
      <c r="D74" s="1294">
        <v>5111090.4523829902</v>
      </c>
      <c r="E74" s="445"/>
      <c r="F74" s="327"/>
    </row>
    <row r="75" spans="1:6">
      <c r="A75" s="1293" t="s">
        <v>64</v>
      </c>
      <c r="B75" s="1293" t="s">
        <v>748</v>
      </c>
      <c r="C75" s="1306" t="s">
        <v>744</v>
      </c>
      <c r="D75" s="1294">
        <v>19863296</v>
      </c>
      <c r="E75" s="445"/>
      <c r="F75" s="327"/>
    </row>
    <row r="76" spans="1:6">
      <c r="A76" s="1293" t="s">
        <v>64</v>
      </c>
      <c r="B76" s="1293" t="s">
        <v>749</v>
      </c>
      <c r="C76" s="1306" t="s">
        <v>745</v>
      </c>
      <c r="D76" s="1294">
        <v>202634.45238299013</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296487.09523401974</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726</v>
      </c>
      <c r="C89" s="327"/>
      <c r="D89" s="327"/>
      <c r="E89" s="327"/>
      <c r="F89" s="327"/>
    </row>
    <row r="90" spans="1:6">
      <c r="A90" s="1293" t="s">
        <v>550</v>
      </c>
      <c r="B90" s="1294">
        <v>0</v>
      </c>
      <c r="C90" s="327"/>
      <c r="D90" s="327"/>
      <c r="E90" s="327"/>
      <c r="F90" s="327"/>
    </row>
    <row r="91" spans="1:6">
      <c r="A91" s="1293" t="s">
        <v>67</v>
      </c>
      <c r="B91" s="1294">
        <v>4195.8793322816055</v>
      </c>
      <c r="C91" s="327"/>
      <c r="D91" s="327"/>
      <c r="E91" s="327"/>
      <c r="F91" s="327"/>
    </row>
    <row r="92" spans="1:6">
      <c r="A92" s="1288" t="s">
        <v>68</v>
      </c>
      <c r="B92" s="1289">
        <v>2787.0098023718042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538</v>
      </c>
      <c r="C97" s="327"/>
      <c r="D97" s="327"/>
      <c r="E97" s="327"/>
      <c r="F97" s="327"/>
    </row>
    <row r="98" spans="1:6">
      <c r="A98" s="1293" t="s">
        <v>71</v>
      </c>
      <c r="B98" s="1294">
        <v>6</v>
      </c>
      <c r="C98" s="327"/>
      <c r="D98" s="327"/>
      <c r="E98" s="327"/>
      <c r="F98" s="327"/>
    </row>
    <row r="99" spans="1:6">
      <c r="A99" s="1293" t="s">
        <v>72</v>
      </c>
      <c r="B99" s="1294">
        <v>56</v>
      </c>
      <c r="C99" s="327"/>
      <c r="D99" s="327"/>
      <c r="E99" s="327"/>
      <c r="F99" s="327"/>
    </row>
    <row r="100" spans="1:6">
      <c r="A100" s="1293" t="s">
        <v>73</v>
      </c>
      <c r="B100" s="1294">
        <v>172</v>
      </c>
      <c r="C100" s="327"/>
      <c r="D100" s="327"/>
      <c r="E100" s="327"/>
      <c r="F100" s="327"/>
    </row>
    <row r="101" spans="1:6">
      <c r="A101" s="1293" t="s">
        <v>74</v>
      </c>
      <c r="B101" s="1294">
        <v>69</v>
      </c>
      <c r="C101" s="327"/>
      <c r="D101" s="327"/>
      <c r="E101" s="327"/>
      <c r="F101" s="327"/>
    </row>
    <row r="102" spans="1:6">
      <c r="A102" s="1293" t="s">
        <v>75</v>
      </c>
      <c r="B102" s="1294">
        <v>50</v>
      </c>
      <c r="C102" s="327"/>
      <c r="D102" s="327"/>
      <c r="E102" s="327"/>
      <c r="F102" s="327"/>
    </row>
    <row r="103" spans="1:6">
      <c r="A103" s="1293" t="s">
        <v>76</v>
      </c>
      <c r="B103" s="1294">
        <v>73</v>
      </c>
      <c r="C103" s="327"/>
      <c r="D103" s="327"/>
      <c r="E103" s="327"/>
      <c r="F103" s="327"/>
    </row>
    <row r="104" spans="1:6">
      <c r="A104" s="1293" t="s">
        <v>77</v>
      </c>
      <c r="B104" s="1294">
        <v>3316</v>
      </c>
      <c r="C104" s="327"/>
      <c r="D104" s="327"/>
      <c r="E104" s="327"/>
      <c r="F104" s="327"/>
    </row>
    <row r="105" spans="1:6">
      <c r="A105" s="1288" t="s">
        <v>78</v>
      </c>
      <c r="B105" s="1296">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7</v>
      </c>
      <c r="C123" s="1294">
        <v>9</v>
      </c>
      <c r="D123" s="327"/>
      <c r="E123" s="327"/>
      <c r="F123" s="327"/>
    </row>
    <row r="124" spans="1:6">
      <c r="A124" s="1293" t="s">
        <v>88</v>
      </c>
      <c r="B124" s="1294">
        <v>0</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50</v>
      </c>
      <c r="C129" s="327"/>
      <c r="D129" s="327"/>
      <c r="E129" s="327"/>
      <c r="F129" s="327"/>
    </row>
    <row r="130" spans="1:6">
      <c r="A130" s="1293" t="s">
        <v>284</v>
      </c>
      <c r="B130" s="1294">
        <v>3</v>
      </c>
      <c r="C130" s="327"/>
      <c r="D130" s="327"/>
      <c r="E130" s="327"/>
      <c r="F130" s="327"/>
    </row>
    <row r="131" spans="1:6">
      <c r="A131" s="1293" t="s">
        <v>285</v>
      </c>
      <c r="B131" s="1294">
        <v>0</v>
      </c>
      <c r="C131" s="327"/>
      <c r="D131" s="327"/>
      <c r="E131" s="327"/>
      <c r="F131" s="327"/>
    </row>
    <row r="132" spans="1:6">
      <c r="A132" s="1288" t="s">
        <v>286</v>
      </c>
      <c r="B132" s="1289">
        <v>6</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92801.584557163515</v>
      </c>
      <c r="C3" s="44" t="s">
        <v>163</v>
      </c>
      <c r="D3" s="44"/>
      <c r="E3" s="157"/>
      <c r="F3" s="44"/>
      <c r="G3" s="44"/>
      <c r="H3" s="44"/>
      <c r="I3" s="44"/>
      <c r="J3" s="44"/>
      <c r="K3" s="97"/>
    </row>
    <row r="4" spans="1:11">
      <c r="A4" s="352" t="s">
        <v>164</v>
      </c>
      <c r="B4" s="50">
        <f>IF(ISERROR('SEAP template'!B78+'SEAP template'!C78),0,'SEAP template'!B78+'SEAP template'!C78)</f>
        <v>7756.1766346534096</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0.20252924818646226</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67.553571428571416</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868.96799999999996</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868.96799999999996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0.20252924818646226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175.99143573809371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21495.153999999999</v>
      </c>
      <c r="C5" s="18">
        <f>IF(ISERROR('Eigen informatie GS &amp; warmtenet'!B57),0,'Eigen informatie GS &amp; warmtenet'!B57)</f>
        <v>0</v>
      </c>
      <c r="D5" s="31">
        <f>(SUM(HH_hh_gas_kWh,HH_rest_gas_kWh)/1000)*0.902</f>
        <v>28138.073106000003</v>
      </c>
      <c r="E5" s="18">
        <f>B32*B41</f>
        <v>1654.9219509077157</v>
      </c>
      <c r="F5" s="18">
        <f>B36*B45</f>
        <v>50453.765555124839</v>
      </c>
      <c r="G5" s="19"/>
      <c r="H5" s="18"/>
      <c r="I5" s="18"/>
      <c r="J5" s="18">
        <f>B35*B44+C35*C44</f>
        <v>915.46599559332503</v>
      </c>
      <c r="K5" s="18"/>
      <c r="L5" s="18"/>
      <c r="M5" s="18"/>
      <c r="N5" s="18">
        <f>B34*B43+C34*C43</f>
        <v>7697.4645191708832</v>
      </c>
      <c r="O5" s="18">
        <f>B52*B53*B54</f>
        <v>93.8</v>
      </c>
      <c r="P5" s="18">
        <f>B60*B61*B62/1000-B60*B61*B62/1000/B63</f>
        <v>247.86666666666667</v>
      </c>
    </row>
    <row r="6" spans="1:16">
      <c r="A6" s="17" t="s">
        <v>622</v>
      </c>
      <c r="B6" s="766">
        <f>kWh_PV_kleiner_dan_10kW</f>
        <v>4195.8793322816055</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25691.033332281604</v>
      </c>
      <c r="C8" s="22">
        <f>C5</f>
        <v>0</v>
      </c>
      <c r="D8" s="22">
        <f>D5</f>
        <v>28138.073106000003</v>
      </c>
      <c r="E8" s="22">
        <f>E5</f>
        <v>1654.9219509077157</v>
      </c>
      <c r="F8" s="22">
        <f>F5</f>
        <v>50453.765555124839</v>
      </c>
      <c r="G8" s="22"/>
      <c r="H8" s="22"/>
      <c r="I8" s="22"/>
      <c r="J8" s="22">
        <f>J5</f>
        <v>915.46599559332503</v>
      </c>
      <c r="K8" s="22"/>
      <c r="L8" s="22">
        <f>L5</f>
        <v>0</v>
      </c>
      <c r="M8" s="22">
        <f>M5</f>
        <v>0</v>
      </c>
      <c r="N8" s="22">
        <f>N5</f>
        <v>7697.4645191708832</v>
      </c>
      <c r="O8" s="22">
        <f>O5</f>
        <v>93.8</v>
      </c>
      <c r="P8" s="22">
        <f>P5</f>
        <v>247.86666666666667</v>
      </c>
    </row>
    <row r="9" spans="1:16">
      <c r="B9" s="20"/>
      <c r="C9" s="20"/>
      <c r="D9" s="258"/>
      <c r="E9" s="20"/>
      <c r="F9" s="20"/>
      <c r="G9" s="20"/>
      <c r="H9" s="20"/>
      <c r="I9" s="20"/>
      <c r="J9" s="20"/>
      <c r="K9" s="20"/>
      <c r="L9" s="20"/>
      <c r="M9" s="20"/>
      <c r="N9" s="20"/>
      <c r="O9" s="20"/>
      <c r="P9" s="20"/>
    </row>
    <row r="10" spans="1:16">
      <c r="A10" s="25" t="s">
        <v>207</v>
      </c>
      <c r="B10" s="26">
        <f ca="1">'EF ele_warmte'!B12</f>
        <v>0.20252924818646226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5203.1856659203359</v>
      </c>
      <c r="C12" s="24">
        <f ca="1">C10*C8</f>
        <v>0</v>
      </c>
      <c r="D12" s="24">
        <f>D8*D10</f>
        <v>5683.890767412001</v>
      </c>
      <c r="E12" s="24">
        <f>E10*E8</f>
        <v>375.66728285605149</v>
      </c>
      <c r="F12" s="24">
        <f>F10*F8</f>
        <v>13471.155403218332</v>
      </c>
      <c r="G12" s="24"/>
      <c r="H12" s="24"/>
      <c r="I12" s="24"/>
      <c r="J12" s="24">
        <f>J10*J8</f>
        <v>324.07496244003704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5015</v>
      </c>
      <c r="C26" s="37"/>
      <c r="D26" s="228"/>
    </row>
    <row r="27" spans="1:5" s="16" customFormat="1">
      <c r="A27" s="230" t="s">
        <v>648</v>
      </c>
      <c r="B27" s="38">
        <f>SUM(HH_hh_gas_aantal,HH_rest_gas_aantal)</f>
        <v>1916</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1820.2</v>
      </c>
      <c r="C31" s="35" t="s">
        <v>104</v>
      </c>
      <c r="D31" s="174"/>
    </row>
    <row r="32" spans="1:5">
      <c r="A32" s="171" t="s">
        <v>72</v>
      </c>
      <c r="B32" s="34">
        <f>IF((B21*($B$26-($B$27-0.05*$B$27)-$B$60))&lt;0,0,B21*($B$26-($B$27-0.05*$B$27)-$B$60))</f>
        <v>78.193786802435696</v>
      </c>
      <c r="C32" s="35" t="s">
        <v>104</v>
      </c>
      <c r="D32" s="174"/>
    </row>
    <row r="33" spans="1:6">
      <c r="A33" s="171" t="s">
        <v>73</v>
      </c>
      <c r="B33" s="34">
        <f>IF((B22*($B$26-($B$27-0.05*$B$27)-$B$60))&lt;0,0,B22*($B$26-($B$27-0.05*$B$27)-$B$60))</f>
        <v>526.33589394269143</v>
      </c>
      <c r="C33" s="35" t="s">
        <v>104</v>
      </c>
      <c r="D33" s="174"/>
    </row>
    <row r="34" spans="1:6">
      <c r="A34" s="171" t="s">
        <v>74</v>
      </c>
      <c r="B34" s="34">
        <f>IF((B24*($B$26-($B$27-0.05*$B$27)-$B$60))&lt;0,0,B24*($B$26-($B$27-0.05*$B$27)-$B$60))</f>
        <v>133.48987685926514</v>
      </c>
      <c r="C34" s="34">
        <f>B26*C24</f>
        <v>1025.5791732603973</v>
      </c>
      <c r="D34" s="233"/>
    </row>
    <row r="35" spans="1:6">
      <c r="A35" s="171" t="s">
        <v>76</v>
      </c>
      <c r="B35" s="34">
        <f>IF((B19*($B$26-($B$27-0.05*$B$27)-$B$60))&lt;0,0,B19*($B$26-($B$27-0.05*$B$27)-$B$60))</f>
        <v>49.627311809076737</v>
      </c>
      <c r="C35" s="34">
        <f>B35/2</f>
        <v>24.813655904538368</v>
      </c>
      <c r="D35" s="233"/>
    </row>
    <row r="36" spans="1:6">
      <c r="A36" s="171" t="s">
        <v>77</v>
      </c>
      <c r="B36" s="34">
        <f>IF((B18*($B$26-($B$27-0.05*$B$27)-$B$60))&lt;0,0,B18*($B$26-($B$27-0.05*$B$27)-$B$60))</f>
        <v>2394.1531305865306</v>
      </c>
      <c r="C36" s="35" t="s">
        <v>104</v>
      </c>
      <c r="D36" s="174"/>
    </row>
    <row r="37" spans="1:6">
      <c r="A37" s="171" t="s">
        <v>78</v>
      </c>
      <c r="B37" s="34">
        <f>B60</f>
        <v>13</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60</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13</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31960.587999999996</v>
      </c>
      <c r="C5" s="18">
        <f>IF(ISERROR('Eigen informatie GS &amp; warmtenet'!B58),0,'Eigen informatie GS &amp; warmtenet'!B58)</f>
        <v>0</v>
      </c>
      <c r="D5" s="31">
        <f>SUM(D6:D12)</f>
        <v>27780.324572000001</v>
      </c>
      <c r="E5" s="18">
        <f>SUM(E6:E12)</f>
        <v>173.60016570065926</v>
      </c>
      <c r="F5" s="18">
        <f>SUM(F6:F12)</f>
        <v>4728.6862396052265</v>
      </c>
      <c r="G5" s="19"/>
      <c r="H5" s="18"/>
      <c r="I5" s="18"/>
      <c r="J5" s="18">
        <f>SUM(J6:J12)</f>
        <v>0</v>
      </c>
      <c r="K5" s="18"/>
      <c r="L5" s="18"/>
      <c r="M5" s="18"/>
      <c r="N5" s="18">
        <f>SUM(N6:N12)</f>
        <v>918.75333353610881</v>
      </c>
      <c r="O5" s="18">
        <f>B38*B39*B40</f>
        <v>4.6900000000000004</v>
      </c>
      <c r="P5" s="18">
        <f>B46*B47*B48/1000-B46*B47*B48/1000/B49</f>
        <v>0</v>
      </c>
      <c r="R5" s="33"/>
    </row>
    <row r="6" spans="1:18">
      <c r="A6" s="33" t="s">
        <v>53</v>
      </c>
      <c r="B6" s="38">
        <f>B26</f>
        <v>24313.962</v>
      </c>
      <c r="C6" s="34"/>
      <c r="D6" s="38">
        <f>IF(ISERROR(TER_kantoor_gas_kWh/1000),0,TER_kantoor_gas_kWh/1000)*0.902</f>
        <v>20487.616688000002</v>
      </c>
      <c r="E6" s="34">
        <f>$C$26*'E Balans VL '!I12/100/3.6*1000000</f>
        <v>39.904139494890401</v>
      </c>
      <c r="F6" s="34">
        <f>$C$26*('E Balans VL '!L12+'E Balans VL '!N12)/100/3.6*1000000</f>
        <v>2866.0440433404906</v>
      </c>
      <c r="G6" s="35"/>
      <c r="H6" s="34"/>
      <c r="I6" s="34"/>
      <c r="J6" s="34">
        <f>$C$26*('E Balans VL '!D12+'E Balans VL '!E12)/100/3.6*1000000</f>
        <v>0</v>
      </c>
      <c r="K6" s="34"/>
      <c r="L6" s="34"/>
      <c r="M6" s="34"/>
      <c r="N6" s="34">
        <f>$C$26*'E Balans VL '!Y12/100/3.6*1000000</f>
        <v>4.9125208860640415</v>
      </c>
      <c r="O6" s="34"/>
      <c r="P6" s="34"/>
      <c r="R6" s="33"/>
    </row>
    <row r="7" spans="1:18">
      <c r="A7" s="33" t="s">
        <v>52</v>
      </c>
      <c r="B7" s="38">
        <f t="shared" ref="B7:B12" si="0">B27</f>
        <v>1970.7639999999999</v>
      </c>
      <c r="C7" s="34"/>
      <c r="D7" s="38">
        <f>IF(ISERROR(TER_horeca_gas_kWh/1000),0,TER_horeca_gas_kWh/1000)*0.902</f>
        <v>847.28197399999999</v>
      </c>
      <c r="E7" s="34">
        <f>$C$27*'E Balans VL '!I9/100/3.6*1000000</f>
        <v>102.26839084652723</v>
      </c>
      <c r="F7" s="34">
        <f>$C$27*('E Balans VL '!L9+'E Balans VL '!N9)/100/3.6*1000000</f>
        <v>449.72977479344564</v>
      </c>
      <c r="G7" s="35"/>
      <c r="H7" s="34"/>
      <c r="I7" s="34"/>
      <c r="J7" s="34">
        <f>$C$27*('E Balans VL '!D9+'E Balans VL '!E9)/100/3.6*1000000</f>
        <v>0</v>
      </c>
      <c r="K7" s="34"/>
      <c r="L7" s="34"/>
      <c r="M7" s="34"/>
      <c r="N7" s="34">
        <f>$C$27*'E Balans VL '!Y9/100/3.6*1000000</f>
        <v>0.20811177525799524</v>
      </c>
      <c r="O7" s="34"/>
      <c r="P7" s="34"/>
      <c r="R7" s="33"/>
    </row>
    <row r="8" spans="1:18">
      <c r="A8" s="6" t="s">
        <v>51</v>
      </c>
      <c r="B8" s="38">
        <f t="shared" si="0"/>
        <v>3362.6260000000002</v>
      </c>
      <c r="C8" s="34"/>
      <c r="D8" s="38">
        <f>IF(ISERROR(TER_handel_gas_kWh/1000),0,TER_handel_gas_kWh/1000)*0.902</f>
        <v>992.20541200000014</v>
      </c>
      <c r="E8" s="34">
        <f>$C$28*'E Balans VL '!I13/100/3.6*1000000</f>
        <v>18.108154221815113</v>
      </c>
      <c r="F8" s="34">
        <f>$C$28*('E Balans VL '!L13+'E Balans VL '!N13)/100/3.6*1000000</f>
        <v>685.7393696445065</v>
      </c>
      <c r="G8" s="35"/>
      <c r="H8" s="34"/>
      <c r="I8" s="34"/>
      <c r="J8" s="34">
        <f>$C$28*('E Balans VL '!D13+'E Balans VL '!E13)/100/3.6*1000000</f>
        <v>0</v>
      </c>
      <c r="K8" s="34"/>
      <c r="L8" s="34"/>
      <c r="M8" s="34"/>
      <c r="N8" s="34">
        <f>$C$28*'E Balans VL '!Y13/100/3.6*1000000</f>
        <v>16.720563346085726</v>
      </c>
      <c r="O8" s="34"/>
      <c r="P8" s="34"/>
      <c r="R8" s="33"/>
    </row>
    <row r="9" spans="1:18">
      <c r="A9" s="33" t="s">
        <v>50</v>
      </c>
      <c r="B9" s="38">
        <f t="shared" si="0"/>
        <v>542.178</v>
      </c>
      <c r="C9" s="34"/>
      <c r="D9" s="38">
        <f>IF(ISERROR(TER_gezond_gas_kWh/1000),0,TER_gezond_gas_kWh/1000)*0.902</f>
        <v>1176.5480540000001</v>
      </c>
      <c r="E9" s="34">
        <f>$C$29*'E Balans VL '!I10/100/3.6*1000000</f>
        <v>0.53730456362269896</v>
      </c>
      <c r="F9" s="34">
        <f>$C$29*('E Balans VL '!L10+'E Balans VL '!N10)/100/3.6*1000000</f>
        <v>188.12013831869592</v>
      </c>
      <c r="G9" s="35"/>
      <c r="H9" s="34"/>
      <c r="I9" s="34"/>
      <c r="J9" s="34">
        <f>$C$29*('E Balans VL '!D10+'E Balans VL '!E10)/100/3.6*1000000</f>
        <v>0</v>
      </c>
      <c r="K9" s="34"/>
      <c r="L9" s="34"/>
      <c r="M9" s="34"/>
      <c r="N9" s="34">
        <f>$C$29*'E Balans VL '!Y10/100/3.6*1000000</f>
        <v>4.671900857345042</v>
      </c>
      <c r="O9" s="34"/>
      <c r="P9" s="34"/>
      <c r="R9" s="33"/>
    </row>
    <row r="10" spans="1:18">
      <c r="A10" s="33" t="s">
        <v>49</v>
      </c>
      <c r="B10" s="38">
        <f t="shared" si="0"/>
        <v>1545.423</v>
      </c>
      <c r="C10" s="34"/>
      <c r="D10" s="38">
        <f>IF(ISERROR(TER_ander_gas_kWh/1000),0,TER_ander_gas_kWh/1000)*0.902</f>
        <v>3731.1184899999998</v>
      </c>
      <c r="E10" s="34">
        <f>$C$30*'E Balans VL '!I14/100/3.6*1000000</f>
        <v>12.64310468028968</v>
      </c>
      <c r="F10" s="34">
        <f>$C$30*('E Balans VL '!L14+'E Balans VL '!N14)/100/3.6*1000000</f>
        <v>451.81876842387737</v>
      </c>
      <c r="G10" s="35"/>
      <c r="H10" s="34"/>
      <c r="I10" s="34"/>
      <c r="J10" s="34">
        <f>$C$30*('E Balans VL '!D14+'E Balans VL '!E14)/100/3.6*1000000</f>
        <v>0</v>
      </c>
      <c r="K10" s="34"/>
      <c r="L10" s="34"/>
      <c r="M10" s="34"/>
      <c r="N10" s="34">
        <f>$C$30*'E Balans VL '!Y14/100/3.6*1000000</f>
        <v>891.50629436890415</v>
      </c>
      <c r="O10" s="34"/>
      <c r="P10" s="34"/>
      <c r="R10" s="33"/>
    </row>
    <row r="11" spans="1:18">
      <c r="A11" s="33" t="s">
        <v>54</v>
      </c>
      <c r="B11" s="38">
        <f t="shared" si="0"/>
        <v>225.63499999999999</v>
      </c>
      <c r="C11" s="34"/>
      <c r="D11" s="38">
        <f>IF(ISERROR(TER_onderwijs_gas_kWh/1000),0,TER_onderwijs_gas_kWh/1000)*0.902</f>
        <v>545.55395399999998</v>
      </c>
      <c r="E11" s="34">
        <f>$C$31*'E Balans VL '!I11/100/3.6*1000000</f>
        <v>0.13907189351413884</v>
      </c>
      <c r="F11" s="34">
        <f>$C$31*('E Balans VL '!L11+'E Balans VL '!N11)/100/3.6*1000000</f>
        <v>87.234145084210823</v>
      </c>
      <c r="G11" s="35"/>
      <c r="H11" s="34"/>
      <c r="I11" s="34"/>
      <c r="J11" s="34">
        <f>$C$31*('E Balans VL '!D11+'E Balans VL '!E11)/100/3.6*1000000</f>
        <v>0</v>
      </c>
      <c r="K11" s="34"/>
      <c r="L11" s="34"/>
      <c r="M11" s="34"/>
      <c r="N11" s="34">
        <f>$C$31*'E Balans VL '!Y11/100/3.6*1000000</f>
        <v>0.73394230245189651</v>
      </c>
      <c r="O11" s="34"/>
      <c r="P11" s="34"/>
      <c r="R11" s="33"/>
    </row>
    <row r="12" spans="1:18">
      <c r="A12" s="33" t="s">
        <v>249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31960.587999999996</v>
      </c>
      <c r="C16" s="22">
        <f t="shared" ca="1" si="1"/>
        <v>0</v>
      </c>
      <c r="D16" s="22">
        <f t="shared" ca="1" si="1"/>
        <v>27780.324572000001</v>
      </c>
      <c r="E16" s="22">
        <f t="shared" si="1"/>
        <v>173.60016570065926</v>
      </c>
      <c r="F16" s="22">
        <f t="shared" ca="1" si="1"/>
        <v>4728.6862396052265</v>
      </c>
      <c r="G16" s="22">
        <f t="shared" si="1"/>
        <v>0</v>
      </c>
      <c r="H16" s="22">
        <f t="shared" si="1"/>
        <v>0</v>
      </c>
      <c r="I16" s="22">
        <f t="shared" si="1"/>
        <v>0</v>
      </c>
      <c r="J16" s="22">
        <f t="shared" si="1"/>
        <v>0</v>
      </c>
      <c r="K16" s="22">
        <f t="shared" si="1"/>
        <v>0</v>
      </c>
      <c r="L16" s="22">
        <f t="shared" ca="1" si="1"/>
        <v>0</v>
      </c>
      <c r="M16" s="22">
        <f t="shared" si="1"/>
        <v>0</v>
      </c>
      <c r="N16" s="22">
        <f t="shared" ca="1" si="1"/>
        <v>918.75333353610881</v>
      </c>
      <c r="O16" s="22">
        <f>O5</f>
        <v>4.6900000000000004</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0.20252924818646226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6472.9538592372664</v>
      </c>
      <c r="C20" s="24">
        <f t="shared" ref="C20:P20" ca="1" si="2">C16*C18</f>
        <v>0</v>
      </c>
      <c r="D20" s="24">
        <f t="shared" ca="1" si="2"/>
        <v>5611.6255635440002</v>
      </c>
      <c r="E20" s="24">
        <f t="shared" si="2"/>
        <v>39.407237614049656</v>
      </c>
      <c r="F20" s="24">
        <f t="shared" ca="1" si="2"/>
        <v>1262.5592259745956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24313.962</v>
      </c>
      <c r="C26" s="40">
        <f>IF(ISERROR(B26*3.6/1000000/'E Balans VL '!Z12*100),0,B26*3.6/1000000/'E Balans VL '!Z12*100)</f>
        <v>0.51665425620305439</v>
      </c>
      <c r="D26" s="236" t="s">
        <v>685</v>
      </c>
      <c r="F26" s="6"/>
    </row>
    <row r="27" spans="1:18">
      <c r="A27" s="231" t="s">
        <v>52</v>
      </c>
      <c r="B27" s="34">
        <f>IF(ISERROR(TER_horeca_ele_kWh/1000),0,TER_horeca_ele_kWh/1000)</f>
        <v>1970.7639999999999</v>
      </c>
      <c r="C27" s="40">
        <f>IF(ISERROR(B27*3.6/1000000/'E Balans VL '!Z9*100),0,B27*3.6/1000000/'E Balans VL '!Z9*100)</f>
        <v>0.15511436665192194</v>
      </c>
      <c r="D27" s="236" t="s">
        <v>685</v>
      </c>
      <c r="F27" s="6"/>
    </row>
    <row r="28" spans="1:18">
      <c r="A28" s="171" t="s">
        <v>51</v>
      </c>
      <c r="B28" s="34">
        <f>IF(ISERROR(TER_handel_ele_kWh/1000),0,TER_handel_ele_kWh/1000)</f>
        <v>3362.6260000000002</v>
      </c>
      <c r="C28" s="40">
        <f>IF(ISERROR(B28*3.6/1000000/'E Balans VL '!Z13*100),0,B28*3.6/1000000/'E Balans VL '!Z13*100)</f>
        <v>9.4188953866387273E-2</v>
      </c>
      <c r="D28" s="236" t="s">
        <v>685</v>
      </c>
      <c r="F28" s="6"/>
    </row>
    <row r="29" spans="1:18">
      <c r="A29" s="231" t="s">
        <v>50</v>
      </c>
      <c r="B29" s="34">
        <f>IF(ISERROR(TER_gezond_ele_kWh/1000),0,TER_gezond_ele_kWh/1000)</f>
        <v>542.178</v>
      </c>
      <c r="C29" s="40">
        <f>IF(ISERROR(B29*3.6/1000000/'E Balans VL '!Z10*100),0,B29*3.6/1000000/'E Balans VL '!Z10*100)</f>
        <v>6.9360961002429306E-2</v>
      </c>
      <c r="D29" s="236" t="s">
        <v>685</v>
      </c>
      <c r="F29" s="6"/>
    </row>
    <row r="30" spans="1:18">
      <c r="A30" s="231" t="s">
        <v>49</v>
      </c>
      <c r="B30" s="34">
        <f>IF(ISERROR(TER_ander_ele_kWh/1000),0,TER_ander_ele_kWh/1000)</f>
        <v>1545.423</v>
      </c>
      <c r="C30" s="40">
        <f>IF(ISERROR(B30*3.6/1000000/'E Balans VL '!Z14*100),0,B30*3.6/1000000/'E Balans VL '!Z14*100)</f>
        <v>0.11558461843832264</v>
      </c>
      <c r="D30" s="236" t="s">
        <v>685</v>
      </c>
      <c r="F30" s="6"/>
    </row>
    <row r="31" spans="1:18">
      <c r="A31" s="231" t="s">
        <v>54</v>
      </c>
      <c r="B31" s="34">
        <f>IF(ISERROR(TER_onderwijs_ele_kWh/1000),0,TER_onderwijs_ele_kWh/1000)</f>
        <v>225.63499999999999</v>
      </c>
      <c r="C31" s="40">
        <f>IF(ISERROR(B31*3.6/1000000/'E Balans VL '!Z11*100),0,B31*3.6/1000000/'E Balans VL '!Z11*100)</f>
        <v>4.7643122522031588E-2</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3</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30511.721000000001</v>
      </c>
      <c r="C5" s="18">
        <f>IF(ISERROR('Eigen informatie GS &amp; warmtenet'!B59),0,'Eigen informatie GS &amp; warmtenet'!B59)</f>
        <v>0</v>
      </c>
      <c r="D5" s="31">
        <f>SUM(D6:D15)</f>
        <v>40775.811999999998</v>
      </c>
      <c r="E5" s="18">
        <f>SUM(E6:E15)</f>
        <v>259.55481422871821</v>
      </c>
      <c r="F5" s="18">
        <f>SUM(F6:F15)</f>
        <v>6887.0294680632269</v>
      </c>
      <c r="G5" s="19"/>
      <c r="H5" s="18"/>
      <c r="I5" s="18"/>
      <c r="J5" s="18">
        <f>SUM(J6:J15)</f>
        <v>6.6641506219725226</v>
      </c>
      <c r="K5" s="18"/>
      <c r="L5" s="18"/>
      <c r="M5" s="18"/>
      <c r="N5" s="18">
        <f>SUM(N6:N15)</f>
        <v>750.68910843377319</v>
      </c>
      <c r="O5" s="18">
        <f>B43*B44*B45</f>
        <v>0</v>
      </c>
      <c r="P5" s="18">
        <f>B51*B52*B53/1000-B51*B52*B53/1000/B54</f>
        <v>0</v>
      </c>
      <c r="R5" s="33"/>
    </row>
    <row r="6" spans="1:18">
      <c r="A6" s="6" t="s">
        <v>34</v>
      </c>
      <c r="B6" s="38">
        <f>IF( ISERROR(IND_ijzer_ele_kWh/1000),0,IND_ijzer_ele_kWh/1000)</f>
        <v>1775.5740000000001</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352.56099999999998</v>
      </c>
      <c r="C8" s="34"/>
      <c r="D8" s="38">
        <f>IF( ISERROR(IND_metaal_Gas_kWH/1000),0,IND_metaal_Gas_kWH/1000)*0.902</f>
        <v>137.36016799999999</v>
      </c>
      <c r="E8" s="34">
        <f>C30*'E Balans VL '!I18/100/3.6*1000000</f>
        <v>3.2107094911521079</v>
      </c>
      <c r="F8" s="34">
        <f>C30*'E Balans VL '!L18/100/3.6*1000000+C30*'E Balans VL '!N18/100/3.6*1000000</f>
        <v>46.500118505780293</v>
      </c>
      <c r="G8" s="35"/>
      <c r="H8" s="34"/>
      <c r="I8" s="34"/>
      <c r="J8" s="41">
        <f>C30*'E Balans VL '!D18/100/3.6*1000000+C30*'E Balans VL '!E18/100/3.6*1000000</f>
        <v>5.7814884998609708</v>
      </c>
      <c r="K8" s="34"/>
      <c r="L8" s="34"/>
      <c r="M8" s="34"/>
      <c r="N8" s="34">
        <f>C30*'E Balans VL '!Y18/100/3.6*1000000</f>
        <v>1.2116121025020166</v>
      </c>
      <c r="O8" s="34"/>
      <c r="P8" s="34"/>
      <c r="R8" s="33"/>
    </row>
    <row r="9" spans="1:18">
      <c r="A9" s="6" t="s">
        <v>32</v>
      </c>
      <c r="B9" s="38">
        <f t="shared" si="0"/>
        <v>5393.29</v>
      </c>
      <c r="C9" s="34"/>
      <c r="D9" s="38">
        <f>IF( ISERROR(IND_andere_gas_kWh/1000),0,IND_andere_gas_kWh/1000)*0.902</f>
        <v>515.44339000000002</v>
      </c>
      <c r="E9" s="34">
        <f>C31*'E Balans VL '!I19/100/3.6*1000000</f>
        <v>31.174022160527105</v>
      </c>
      <c r="F9" s="34">
        <f>C31*'E Balans VL '!L19/100/3.6*1000000+C31*'E Balans VL '!N19/100/3.6*1000000</f>
        <v>4290.6217098454199</v>
      </c>
      <c r="G9" s="35"/>
      <c r="H9" s="34"/>
      <c r="I9" s="34"/>
      <c r="J9" s="41">
        <f>C31*'E Balans VL '!D19/100/3.6*1000000+C31*'E Balans VL '!E19/100/3.6*1000000</f>
        <v>0.51014532703147286</v>
      </c>
      <c r="K9" s="34"/>
      <c r="L9" s="34"/>
      <c r="M9" s="34"/>
      <c r="N9" s="34">
        <f>C31*'E Balans VL '!Y19/100/3.6*1000000</f>
        <v>408.623335814661</v>
      </c>
      <c r="O9" s="34"/>
      <c r="P9" s="34"/>
      <c r="R9" s="33"/>
    </row>
    <row r="10" spans="1:18">
      <c r="A10" s="6" t="s">
        <v>40</v>
      </c>
      <c r="B10" s="38">
        <f t="shared" si="0"/>
        <v>22827.954000000002</v>
      </c>
      <c r="C10" s="34"/>
      <c r="D10" s="38">
        <f>IF( ISERROR(IND_voed_gas_kWh/1000),0,IND_voed_gas_kWh/1000)*0.902</f>
        <v>39293.522927999999</v>
      </c>
      <c r="E10" s="34">
        <f>C32*'E Balans VL '!I20/100/3.6*1000000</f>
        <v>224.45850920186925</v>
      </c>
      <c r="F10" s="34">
        <f>C32*'E Balans VL '!L20/100/3.6*1000000+C32*'E Balans VL '!N20/100/3.6*1000000</f>
        <v>2535.3422568657497</v>
      </c>
      <c r="G10" s="35"/>
      <c r="H10" s="34"/>
      <c r="I10" s="34"/>
      <c r="J10" s="41">
        <f>C32*'E Balans VL '!D20/100/3.6*1000000+C32*'E Balans VL '!E20/100/3.6*1000000</f>
        <v>8.9975329981534333E-2</v>
      </c>
      <c r="K10" s="34"/>
      <c r="L10" s="34"/>
      <c r="M10" s="34"/>
      <c r="N10" s="34">
        <f>C32*'E Balans VL '!Y20/100/3.6*1000000</f>
        <v>338.02830173211254</v>
      </c>
      <c r="O10" s="34"/>
      <c r="P10" s="34"/>
      <c r="R10" s="33"/>
    </row>
    <row r="11" spans="1:18">
      <c r="A11" s="6" t="s">
        <v>39</v>
      </c>
      <c r="B11" s="38">
        <f t="shared" si="0"/>
        <v>106.157</v>
      </c>
      <c r="C11" s="34"/>
      <c r="D11" s="38">
        <f>IF( ISERROR(IND_textiel_gas_kWh/1000),0,IND_textiel_gas_kWh/1000)*0.902</f>
        <v>0</v>
      </c>
      <c r="E11" s="34">
        <f>C33*'E Balans VL '!I21/100/3.6*1000000</f>
        <v>0.20671232938215453</v>
      </c>
      <c r="F11" s="34">
        <f>C33*'E Balans VL '!L21/100/3.6*1000000+C33*'E Balans VL '!N21/100/3.6*1000000</f>
        <v>3.5014062145757876</v>
      </c>
      <c r="G11" s="35"/>
      <c r="H11" s="34"/>
      <c r="I11" s="34"/>
      <c r="J11" s="41">
        <f>C33*'E Balans VL '!D21/100/3.6*1000000+C33*'E Balans VL '!E21/100/3.6*1000000</f>
        <v>0</v>
      </c>
      <c r="K11" s="34"/>
      <c r="L11" s="34"/>
      <c r="M11" s="34"/>
      <c r="N11" s="34">
        <f>C33*'E Balans VL '!Y21/100/3.6*1000000</f>
        <v>1.1011273017309713</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733.92222199999992</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56.185000000000002</v>
      </c>
      <c r="C15" s="34"/>
      <c r="D15" s="38">
        <f>IF( ISERROR(IND_rest_gas_kWh/1000),0,IND_rest_gas_kWh/1000)*0.902</f>
        <v>95.563292000000004</v>
      </c>
      <c r="E15" s="34">
        <f>C37*'E Balans VL '!I15/100/3.6*1000000</f>
        <v>0.50486104578758362</v>
      </c>
      <c r="F15" s="34">
        <f>C37*'E Balans VL '!L15/100/3.6*1000000+C37*'E Balans VL '!N15/100/3.6*1000000</f>
        <v>11.063976631701681</v>
      </c>
      <c r="G15" s="35"/>
      <c r="H15" s="34"/>
      <c r="I15" s="34"/>
      <c r="J15" s="41">
        <f>C37*'E Balans VL '!D15/100/3.6*1000000+C37*'E Balans VL '!E15/100/3.6*1000000</f>
        <v>0.28254146509854433</v>
      </c>
      <c r="K15" s="34"/>
      <c r="L15" s="34"/>
      <c r="M15" s="34"/>
      <c r="N15" s="34">
        <f>C37*'E Balans VL '!Y15/100/3.6*1000000</f>
        <v>1.7247314827666012</v>
      </c>
      <c r="O15" s="34"/>
      <c r="P15" s="34"/>
      <c r="R15" s="33"/>
    </row>
    <row r="16" spans="1:18">
      <c r="A16" s="17" t="s">
        <v>489</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30511.721000000001</v>
      </c>
      <c r="C18" s="22">
        <f>C5+C16</f>
        <v>0</v>
      </c>
      <c r="D18" s="22">
        <f>MAX((D5+D16),0)</f>
        <v>40775.811999999998</v>
      </c>
      <c r="E18" s="22">
        <f>MAX((E5+E16),0)</f>
        <v>259.55481422871821</v>
      </c>
      <c r="F18" s="22">
        <f>MAX((F5+F16),0)</f>
        <v>6887.0294680632269</v>
      </c>
      <c r="G18" s="22"/>
      <c r="H18" s="22"/>
      <c r="I18" s="22"/>
      <c r="J18" s="22">
        <f>MAX((J5+J16),0)</f>
        <v>6.6641506219725226</v>
      </c>
      <c r="K18" s="22"/>
      <c r="L18" s="22">
        <f>MAX((L5+L16),0)</f>
        <v>0</v>
      </c>
      <c r="M18" s="22"/>
      <c r="N18" s="22">
        <f>MAX((N5+N16),0)</f>
        <v>750.68910843377319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0.20252924818646226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6179.5159150050922</v>
      </c>
      <c r="C22" s="24">
        <f ca="1">C18*C20</f>
        <v>0</v>
      </c>
      <c r="D22" s="24">
        <f>D18*D20</f>
        <v>8236.7140240000008</v>
      </c>
      <c r="E22" s="24">
        <f>E18*E20</f>
        <v>58.91894282991904</v>
      </c>
      <c r="F22" s="24">
        <f>F18*F20</f>
        <v>1838.8368679728817</v>
      </c>
      <c r="G22" s="24"/>
      <c r="H22" s="24"/>
      <c r="I22" s="24"/>
      <c r="J22" s="24">
        <f>J18*J20</f>
        <v>2.3591093201782729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352.56099999999998</v>
      </c>
      <c r="C30" s="40">
        <f>IF(ISERROR(B30*3.6/1000000/'E Balans VL '!Z18*100),0,B30*3.6/1000000/'E Balans VL '!Z18*100)</f>
        <v>1.9617662094820205E-2</v>
      </c>
      <c r="D30" s="236" t="s">
        <v>685</v>
      </c>
    </row>
    <row r="31" spans="1:18">
      <c r="A31" s="6" t="s">
        <v>32</v>
      </c>
      <c r="B31" s="38">
        <f>IF( ISERROR(IND_ander_ele_kWh/1000),0,IND_ander_ele_kWh/1000)</f>
        <v>5393.29</v>
      </c>
      <c r="C31" s="40">
        <f>IF(ISERROR(B31*3.6/1000000/'E Balans VL '!Z19*100),0,B31*3.6/1000000/'E Balans VL '!Z19*100)</f>
        <v>0.25071988768782288</v>
      </c>
      <c r="D31" s="236" t="s">
        <v>685</v>
      </c>
    </row>
    <row r="32" spans="1:18">
      <c r="A32" s="171" t="s">
        <v>40</v>
      </c>
      <c r="B32" s="38">
        <f>IF( ISERROR(IND_voed_ele_kWh/1000),0,IND_voed_ele_kWh/1000)</f>
        <v>22827.954000000002</v>
      </c>
      <c r="C32" s="40">
        <f>IF(ISERROR(B32*3.6/1000000/'E Balans VL '!Z20*100),0,B32*3.6/1000000/'E Balans VL '!Z20*100)</f>
        <v>0.8069220708944147</v>
      </c>
      <c r="D32" s="236" t="s">
        <v>685</v>
      </c>
    </row>
    <row r="33" spans="1:5">
      <c r="A33" s="171" t="s">
        <v>39</v>
      </c>
      <c r="B33" s="38">
        <f>IF( ISERROR(IND_textiel_ele_kWh/1000),0,IND_textiel_ele_kWh/1000)</f>
        <v>106.157</v>
      </c>
      <c r="C33" s="40">
        <f>IF(ISERROR(B33*3.6/1000000/'E Balans VL '!Z21*100),0,B33*3.6/1000000/'E Balans VL '!Z21*100)</f>
        <v>1.4338113669589815E-2</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56.185000000000002</v>
      </c>
      <c r="C37" s="40">
        <f>IF(ISERROR(B37*3.6/1000000/'E Balans VL '!Z15*100),0,B37*3.6/1000000/'E Balans VL '!Z15*100)</f>
        <v>4.2427974779550901E-4</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3500.5790000000002</v>
      </c>
      <c r="C5" s="18">
        <f>'Eigen informatie GS &amp; warmtenet'!B60</f>
        <v>0</v>
      </c>
      <c r="D5" s="31">
        <f>IF(ISERROR(SUM(LB_lb_gas_kWh,LB_rest_gas_kWh)/1000),0,SUM(LB_lb_gas_kWh,LB_rest_gas_kWh)/1000)*0.902</f>
        <v>0</v>
      </c>
      <c r="E5" s="18">
        <f>B17*'E Balans VL '!I25/3.6*1000000/100</f>
        <v>32.977799644868512</v>
      </c>
      <c r="F5" s="18">
        <f>B17*('E Balans VL '!L25/3.6*1000000+'E Balans VL '!N25/3.6*1000000)/100</f>
        <v>11423.55101714229</v>
      </c>
      <c r="G5" s="19"/>
      <c r="H5" s="18"/>
      <c r="I5" s="18"/>
      <c r="J5" s="18">
        <f>('E Balans VL '!D25+'E Balans VL '!E25)/3.6*1000000*landbouw!B17/100</f>
        <v>433.0386491129853</v>
      </c>
      <c r="K5" s="18"/>
      <c r="L5" s="18">
        <f>L6*(-1)</f>
        <v>0</v>
      </c>
      <c r="M5" s="18"/>
      <c r="N5" s="18">
        <f>N6*(-1)</f>
        <v>135.10714285714283</v>
      </c>
      <c r="O5" s="18"/>
      <c r="P5" s="18"/>
      <c r="R5" s="33"/>
    </row>
    <row r="6" spans="1:18">
      <c r="A6" s="17" t="s">
        <v>489</v>
      </c>
      <c r="B6" s="18" t="s">
        <v>204</v>
      </c>
      <c r="C6" s="18">
        <f>'lokale energieproductie'!O40+'lokale energieproductie'!O33</f>
        <v>67.553571428571416</v>
      </c>
      <c r="D6" s="305">
        <f>('lokale energieproductie'!P33+'lokale energieproductie'!P40)*(-1)</f>
        <v>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-135.10714285714283</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3500.5790000000002</v>
      </c>
      <c r="C8" s="22">
        <f>C5+C6</f>
        <v>67.553571428571416</v>
      </c>
      <c r="D8" s="22">
        <f>MAX((D5+D6),0)</f>
        <v>0</v>
      </c>
      <c r="E8" s="22">
        <f>MAX((E5+E6),0)</f>
        <v>32.977799644868512</v>
      </c>
      <c r="F8" s="22">
        <f>MAX((F5+F6),0)</f>
        <v>11423.55101714229</v>
      </c>
      <c r="G8" s="22"/>
      <c r="H8" s="22"/>
      <c r="I8" s="22"/>
      <c r="J8" s="22">
        <f>MAX((J5+J6),0)</f>
        <v>433.0386491129853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0.20252924818646226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708.9696330873179</v>
      </c>
      <c r="C12" s="24">
        <f ca="1">C8*C10</f>
        <v>0</v>
      </c>
      <c r="D12" s="24">
        <f>D8*D10</f>
        <v>0</v>
      </c>
      <c r="E12" s="24">
        <f>E8*E10</f>
        <v>7.4859605193851522</v>
      </c>
      <c r="F12" s="24">
        <f>F8*F10</f>
        <v>3050.0881215769919</v>
      </c>
      <c r="G12" s="24"/>
      <c r="H12" s="24"/>
      <c r="I12" s="24"/>
      <c r="J12" s="24">
        <f>J8*J10</f>
        <v>153.29568178599678</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0.47392245913573117</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689.83450412025945</v>
      </c>
      <c r="C26" s="246">
        <f>B26*'GWP N2O_CH4'!B5</f>
        <v>14486.524586525449</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308.03187883327763</v>
      </c>
      <c r="C27" s="246">
        <f>B27*'GWP N2O_CH4'!B5</f>
        <v>6468.6694554988298</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9.3007802313603172</v>
      </c>
      <c r="C28" s="246">
        <f>B28*'GWP N2O_CH4'!B4</f>
        <v>2883.2418717216983</v>
      </c>
      <c r="D28" s="51"/>
    </row>
    <row r="29" spans="1:4">
      <c r="A29" s="42" t="s">
        <v>266</v>
      </c>
      <c r="B29" s="246">
        <f>B34*'ha_N2O bodem landbouw'!B4</f>
        <v>17.472675857916997</v>
      </c>
      <c r="C29" s="246">
        <f>B29*'GWP N2O_CH4'!B4</f>
        <v>5416.5295159542693</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4.7170724371392025E-3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9.2003432563841557E-6</v>
      </c>
      <c r="C5" s="433" t="s">
        <v>204</v>
      </c>
      <c r="D5" s="418">
        <f>SUM(D6:D11)</f>
        <v>1.2500670917606126E-5</v>
      </c>
      <c r="E5" s="418">
        <f>SUM(E6:E11)</f>
        <v>7.9213244758307713E-4</v>
      </c>
      <c r="F5" s="431" t="s">
        <v>204</v>
      </c>
      <c r="G5" s="418">
        <f>SUM(G6:G11)</f>
        <v>0.17248177794362807</v>
      </c>
      <c r="H5" s="418">
        <f>SUM(H6:H11)</f>
        <v>2.9864037887265545E-2</v>
      </c>
      <c r="I5" s="433" t="s">
        <v>204</v>
      </c>
      <c r="J5" s="433" t="s">
        <v>204</v>
      </c>
      <c r="K5" s="433" t="s">
        <v>204</v>
      </c>
      <c r="L5" s="433" t="s">
        <v>204</v>
      </c>
      <c r="M5" s="418">
        <f>SUM(M6:M11)</f>
        <v>9.0426260223026977E-3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5.9774570338719893E-6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6.9618334595941033E-6</v>
      </c>
      <c r="E6" s="421">
        <f>vkm_GW_PW*SUMIFS(TableVerdeelsleutelVkm[LPG],TableVerdeelsleutelVkm[Voertuigtype],"Lichte voertuigen")*SUMIFS(TableECFTransport[EnergieConsumptieFactor (PJ per km)],TableECFTransport[Index],CONCATENATE($A6,"_LPG_LPG"))</f>
        <v>4.5166586499092911E-4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7.0468366694151352E-2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1.6982865224029496E-2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3.913448323570338E-3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2.9917626446367956E-7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4.9490356618144979E-2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1.328002623805397E-6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2.2021594228587727E-3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2.9118488064839879E-6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5.5388374580120232E-6</v>
      </c>
      <c r="E8" s="421">
        <f>vkm_NGW_PW*SUMIFS(TableVerdeelsleutelVkm[LPG],TableVerdeelsleutelVkm[Voertuigtype],"Lichte voertuigen")*SUMIFS(TableECFTransport[EnergieConsumptieFactor (PJ per km)],TableECFTransport[Index],CONCATENATE($A8,"_LPG_LPG"))</f>
        <v>3.4046658259214802E-4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5.0006969517596089E-2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1.2879781110678877E-2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2.8150608778942611E-3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1.1861151564500553E-8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2.5160851137356393E-3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6.3549933368786146E-8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1.1195739797932507E-4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2.5556509045511544</v>
      </c>
      <c r="C14" s="22"/>
      <c r="D14" s="22">
        <f t="shared" ref="D14:M14" si="0">((D5)*10^9/3600)+D12</f>
        <v>3.472408588223924</v>
      </c>
      <c r="E14" s="22">
        <f t="shared" si="0"/>
        <v>220.03679099529921</v>
      </c>
      <c r="F14" s="22"/>
      <c r="G14" s="22">
        <f t="shared" si="0"/>
        <v>47911.604984341131</v>
      </c>
      <c r="H14" s="22">
        <f t="shared" si="0"/>
        <v>8295.5660797959845</v>
      </c>
      <c r="I14" s="22"/>
      <c r="J14" s="22"/>
      <c r="K14" s="22"/>
      <c r="L14" s="22"/>
      <c r="M14" s="22">
        <f t="shared" si="0"/>
        <v>2511.8405617507497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0.20252924818646226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0.51759405632579747</v>
      </c>
      <c r="C18" s="24"/>
      <c r="D18" s="24">
        <f t="shared" ref="D18:M18" si="1">D14*D16</f>
        <v>0.70142653482123263</v>
      </c>
      <c r="E18" s="24">
        <f t="shared" si="1"/>
        <v>49.948351555932923</v>
      </c>
      <c r="F18" s="24"/>
      <c r="G18" s="24">
        <f t="shared" si="1"/>
        <v>12792.398530819082</v>
      </c>
      <c r="H18" s="24">
        <f t="shared" si="1"/>
        <v>2065.5959538692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1.9373666318517749E-5</v>
      </c>
      <c r="C50" s="316">
        <f t="shared" ref="C50:P50" si="2">SUM(C51:C52)</f>
        <v>0</v>
      </c>
      <c r="D50" s="316">
        <f t="shared" si="2"/>
        <v>0</v>
      </c>
      <c r="E50" s="316">
        <f t="shared" si="2"/>
        <v>0</v>
      </c>
      <c r="F50" s="316">
        <f t="shared" si="2"/>
        <v>0</v>
      </c>
      <c r="G50" s="316">
        <f t="shared" si="2"/>
        <v>3.8641159436775411E-3</v>
      </c>
      <c r="H50" s="316">
        <f t="shared" si="2"/>
        <v>0</v>
      </c>
      <c r="I50" s="316">
        <f t="shared" si="2"/>
        <v>0</v>
      </c>
      <c r="J50" s="316">
        <f t="shared" si="2"/>
        <v>0</v>
      </c>
      <c r="K50" s="316">
        <f t="shared" si="2"/>
        <v>0</v>
      </c>
      <c r="L50" s="316">
        <f t="shared" si="2"/>
        <v>0</v>
      </c>
      <c r="M50" s="316">
        <f t="shared" si="2"/>
        <v>1.7078980919604862E-4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1.9373666318517749E-5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3.8641159436775411E-3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1.7078980919604862E-4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5.3815739773660418</v>
      </c>
      <c r="C54" s="22">
        <f t="shared" ref="C54:P54" si="3">(C50)*10^9/3600</f>
        <v>0</v>
      </c>
      <c r="D54" s="22">
        <f t="shared" si="3"/>
        <v>0</v>
      </c>
      <c r="E54" s="22">
        <f t="shared" si="3"/>
        <v>0</v>
      </c>
      <c r="F54" s="22">
        <f t="shared" si="3"/>
        <v>0</v>
      </c>
      <c r="G54" s="22">
        <f t="shared" si="3"/>
        <v>1073.365539910428</v>
      </c>
      <c r="H54" s="22">
        <f t="shared" si="3"/>
        <v>0</v>
      </c>
      <c r="I54" s="22">
        <f t="shared" si="3"/>
        <v>0</v>
      </c>
      <c r="J54" s="22">
        <f t="shared" si="3"/>
        <v>0</v>
      </c>
      <c r="K54" s="22">
        <f t="shared" si="3"/>
        <v>0</v>
      </c>
      <c r="L54" s="22">
        <f t="shared" si="3"/>
        <v>0</v>
      </c>
      <c r="M54" s="22">
        <f t="shared" si="3"/>
        <v>47.441613665569058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0.20252924818646226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1.0899261316957738</v>
      </c>
      <c r="C58" s="24">
        <f t="shared" ref="C58:P58" ca="1" si="4">C54*C56</f>
        <v>0</v>
      </c>
      <c r="D58" s="24">
        <f t="shared" si="4"/>
        <v>0</v>
      </c>
      <c r="E58" s="24">
        <f t="shared" si="4"/>
        <v>0</v>
      </c>
      <c r="F58" s="24">
        <f t="shared" si="4"/>
        <v>0</v>
      </c>
      <c r="G58" s="24">
        <f t="shared" si="4"/>
        <v>286.58859915608429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726</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6982.8891346534092</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N30</f>
        <v>47.287499999999994</v>
      </c>
      <c r="C8" s="544">
        <f>B49</f>
        <v>0</v>
      </c>
      <c r="D8" s="967"/>
      <c r="E8" s="967">
        <f>E49</f>
        <v>0</v>
      </c>
      <c r="F8" s="968"/>
      <c r="G8" s="545"/>
      <c r="H8" s="967">
        <f>I49</f>
        <v>0</v>
      </c>
      <c r="I8" s="967">
        <f>G49+F49</f>
        <v>0</v>
      </c>
      <c r="J8" s="967">
        <f>H49+D49+C49</f>
        <v>55.632352941176464</v>
      </c>
      <c r="K8" s="967"/>
      <c r="L8" s="967"/>
      <c r="M8" s="967"/>
      <c r="N8" s="546"/>
      <c r="O8" s="547">
        <f>C8*$C$12+D8*$D$12+E8*$E$12+F8*$F$12+G8*$G$12+H8*$H$12+I8*$I$12+J8*$J$12</f>
        <v>0</v>
      </c>
      <c r="P8" s="1241"/>
      <c r="Q8" s="1242"/>
      <c r="S8" s="1004"/>
      <c r="T8" s="1262"/>
      <c r="U8" s="1262"/>
    </row>
    <row r="9" spans="1:21" s="532" customFormat="1" ht="17.45" customHeight="1" thickBot="1">
      <c r="A9" s="548" t="s">
        <v>237</v>
      </c>
      <c r="B9" s="969">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7756.1766346534096</v>
      </c>
      <c r="C10" s="556">
        <f t="shared" ref="C10:L10" si="0">SUM(C8:C9)</f>
        <v>0</v>
      </c>
      <c r="D10" s="556">
        <f t="shared" si="0"/>
        <v>0</v>
      </c>
      <c r="E10" s="556">
        <f t="shared" si="0"/>
        <v>0</v>
      </c>
      <c r="F10" s="556">
        <f t="shared" si="0"/>
        <v>0</v>
      </c>
      <c r="G10" s="556">
        <f t="shared" si="0"/>
        <v>0</v>
      </c>
      <c r="H10" s="556">
        <f t="shared" si="0"/>
        <v>0</v>
      </c>
      <c r="I10" s="556">
        <f t="shared" si="0"/>
        <v>0</v>
      </c>
      <c r="J10" s="556">
        <f t="shared" si="0"/>
        <v>55.632352941176464</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O30</f>
        <v>67.553571428571416</v>
      </c>
      <c r="C17" s="568">
        <f>B50</f>
        <v>0</v>
      </c>
      <c r="D17" s="569"/>
      <c r="E17" s="569">
        <f>E50</f>
        <v>0</v>
      </c>
      <c r="F17" s="570"/>
      <c r="G17" s="571"/>
      <c r="H17" s="568">
        <f>I50</f>
        <v>0</v>
      </c>
      <c r="I17" s="569">
        <f>G50+F50</f>
        <v>0</v>
      </c>
      <c r="J17" s="569">
        <f>H50+D50+C50</f>
        <v>79.474789915966369</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67.553571428571416</v>
      </c>
      <c r="C20" s="555">
        <f>SUM(C17:C19)</f>
        <v>0</v>
      </c>
      <c r="D20" s="555">
        <f t="shared" ref="D20:L20" si="1">SUM(D17:D19)</f>
        <v>0</v>
      </c>
      <c r="E20" s="555">
        <f t="shared" si="1"/>
        <v>0</v>
      </c>
      <c r="F20" s="555">
        <f t="shared" si="1"/>
        <v>0</v>
      </c>
      <c r="G20" s="555">
        <f t="shared" si="1"/>
        <v>0</v>
      </c>
      <c r="H20" s="555">
        <f t="shared" si="1"/>
        <v>0</v>
      </c>
      <c r="I20" s="555">
        <f t="shared" si="1"/>
        <v>0</v>
      </c>
      <c r="J20" s="555">
        <f t="shared" si="1"/>
        <v>79.474789915966369</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72003</v>
      </c>
      <c r="C28" s="775">
        <v>3950</v>
      </c>
      <c r="D28" s="628"/>
      <c r="E28" s="627"/>
      <c r="F28" s="627"/>
      <c r="G28" s="627" t="s">
        <v>959</v>
      </c>
      <c r="H28" s="627" t="s">
        <v>960</v>
      </c>
      <c r="I28" s="627"/>
      <c r="J28" s="774"/>
      <c r="K28" s="774"/>
      <c r="L28" s="627" t="s">
        <v>961</v>
      </c>
      <c r="M28" s="627">
        <v>9.6999999999999993</v>
      </c>
      <c r="N28" s="627">
        <v>3.6374999999999993</v>
      </c>
      <c r="O28" s="627">
        <v>5.1964285714285703</v>
      </c>
      <c r="P28" s="627">
        <v>0</v>
      </c>
      <c r="Q28" s="627">
        <v>10.392857142857142</v>
      </c>
      <c r="R28" s="627">
        <v>0</v>
      </c>
      <c r="S28" s="627">
        <v>0</v>
      </c>
      <c r="T28" s="627">
        <v>0</v>
      </c>
      <c r="U28" s="627">
        <v>0</v>
      </c>
      <c r="V28" s="627">
        <v>0</v>
      </c>
      <c r="W28" s="627"/>
      <c r="X28" s="627">
        <v>10</v>
      </c>
      <c r="Y28" s="627" t="s">
        <v>105</v>
      </c>
      <c r="Z28" s="629" t="s">
        <v>105</v>
      </c>
    </row>
    <row r="29" spans="1:26" s="581" customFormat="1" ht="25.5" hidden="1">
      <c r="A29" s="580"/>
      <c r="B29" s="775">
        <v>72003</v>
      </c>
      <c r="C29" s="775">
        <v>3950</v>
      </c>
      <c r="D29" s="628"/>
      <c r="E29" s="627"/>
      <c r="F29" s="627"/>
      <c r="G29" s="627" t="s">
        <v>959</v>
      </c>
      <c r="H29" s="627" t="s">
        <v>960</v>
      </c>
      <c r="I29" s="627"/>
      <c r="J29" s="774"/>
      <c r="K29" s="774"/>
      <c r="L29" s="627" t="s">
        <v>961</v>
      </c>
      <c r="M29" s="627">
        <v>9.6999999999999993</v>
      </c>
      <c r="N29" s="627">
        <v>43.649999999999991</v>
      </c>
      <c r="O29" s="627">
        <v>62.357142857142847</v>
      </c>
      <c r="P29" s="627">
        <v>0</v>
      </c>
      <c r="Q29" s="627">
        <v>124.71428571428569</v>
      </c>
      <c r="R29" s="627">
        <v>0</v>
      </c>
      <c r="S29" s="627">
        <v>0</v>
      </c>
      <c r="T29" s="627">
        <v>0</v>
      </c>
      <c r="U29" s="627">
        <v>0</v>
      </c>
      <c r="V29" s="627">
        <v>0</v>
      </c>
      <c r="W29" s="627"/>
      <c r="X29" s="627">
        <v>10</v>
      </c>
      <c r="Y29" s="627" t="s">
        <v>105</v>
      </c>
      <c r="Z29" s="629" t="s">
        <v>105</v>
      </c>
    </row>
    <row r="30" spans="1:26" s="563" customFormat="1" hidden="1">
      <c r="A30" s="583" t="s">
        <v>269</v>
      </c>
      <c r="B30" s="584"/>
      <c r="C30" s="584"/>
      <c r="D30" s="584"/>
      <c r="E30" s="584"/>
      <c r="F30" s="584"/>
      <c r="G30" s="584"/>
      <c r="H30" s="584"/>
      <c r="I30" s="584"/>
      <c r="J30" s="584"/>
      <c r="K30" s="584"/>
      <c r="L30" s="585"/>
      <c r="M30" s="585">
        <f>SUM(M28:M29)</f>
        <v>19.399999999999999</v>
      </c>
      <c r="N30" s="585">
        <f>SUM(N28:N29)</f>
        <v>47.287499999999994</v>
      </c>
      <c r="O30" s="585">
        <f>SUM(O28:O29)</f>
        <v>67.553571428571416</v>
      </c>
      <c r="P30" s="585">
        <f>SUM(P28:P29)</f>
        <v>0</v>
      </c>
      <c r="Q30" s="585">
        <f>SUM(Q28:Q29)</f>
        <v>135.10714285714283</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0</v>
      </c>
      <c r="N32" s="585">
        <f ca="1">SUMIF($Z$28:AD29,"tertiair",N28:N29)</f>
        <v>0</v>
      </c>
      <c r="O32" s="585">
        <f ca="1">SUMIF($Z$28:AE29,"tertiair",O28:O29)</f>
        <v>0</v>
      </c>
      <c r="P32" s="585">
        <f ca="1">SUMIF($Z$28:AF29,"tertiair",P28:P29)</f>
        <v>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19.399999999999999</v>
      </c>
      <c r="N33" s="590">
        <f>SUMIF($Z$28:$Z$29,"landbouw",N28:N29)</f>
        <v>47.287499999999994</v>
      </c>
      <c r="O33" s="590">
        <f>SUMIF($Z$28:$Z$29,"landbouw",O28:O29)</f>
        <v>67.553571428571416</v>
      </c>
      <c r="P33" s="590">
        <f>SUMIF($Z$28:$Z$29,"landbouw",P28:P29)</f>
        <v>0</v>
      </c>
      <c r="Q33" s="590">
        <f>SUMIF($Z$28:$Z$29,"landbouw",Q28:Q29)</f>
        <v>135.10714285714283</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535</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0.58823529411764708</v>
      </c>
      <c r="C46" s="610">
        <f>IF(ISERROR(N30/(O30+N30)),0,N30/(N30+O30))</f>
        <v>0.41176470588235298</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535</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0</v>
      </c>
      <c r="C49" s="619">
        <f t="shared" si="2"/>
        <v>55.632352941176464</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0</v>
      </c>
      <c r="C50" s="622">
        <f t="shared" si="3"/>
        <v>79.474789915966369</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2021-11-11T13:38:20Z</dcterms:modified>
</cp:coreProperties>
</file>