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C1A623D-57C0-4F28-9356-2E721E2EAEEB}"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<sst xmlns="http://schemas.openxmlformats.org/spreadsheetml/2006/main" count="2553" uniqueCount="959">
  <si>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</si>
  <si>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</si>
  <si>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</si>
  <si>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</si>
  <si>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</si>
  <si>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</si>
  <si>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</si>
  <si>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</si>
  <si>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</si>
  <si>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</si>
  <si>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</si>
  <si>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</si>
  <si>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</si>
  <si>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</si>
  <si>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</si>
  <si>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</si>
  <si>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</si>
  <si>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</si>
  <si>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</si>
  <si>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</si>
  <si>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</si>
  <si>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</si>
  <si>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</si>
  <si>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</si>
  <si>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</si>
  <si>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</si>
  <si>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</si>
  <si>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</si>
  <si>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</si>
  <si>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</si>
  <si>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</si>
  <si>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</si>
  <si>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</si>
  <si>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</si>
  <si>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</si>
  <si>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</si>
  <si>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</si>
  <si>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</si>
  <si>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</si>
  <si>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</si>
  <si>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</si>
  <si>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</si>
  <si>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</si>
  <si>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</si>
  <si>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</si>
  <si>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</si>
  <si>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</si>
  <si>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</si>
  <si>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</si>
  <si>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</si>
  <si>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</si>
  <si>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</si>
  <si>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</si>
  <si>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</si>
  <si>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</si>
  <si>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</si>
  <si>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</si>
  <si>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</si>
  <si>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</si>
  <si>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</si>
  <si>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</si>
  <si>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</si>
  <si>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</si>
  <si>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</si>
  <si>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</si>
  <si>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</si>
  <si>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</si>
  <si>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</si>
  <si>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</si>
  <si>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</si>
  <si>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</si>
  <si>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</si>
  <si>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</si>
  <si>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</si>
  <si>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</si>
  <si>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</si>
  <si>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</si>
  <si>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</si>
  <si>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</si>
  <si>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</si>
  <si>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</si>
  <si>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</si>
  <si>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</si>
  <si>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</si>
  <si>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</si>
  <si>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</si>
  <si>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</si>
  <si>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</si>
  <si>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</si>
  <si>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</si>
  <si>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</si>
  <si>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</si>
  <si>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</si>
  <si>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</si>
  <si>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</si>
  <si>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</si>
  <si>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</si>
  <si>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</si>
  <si>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</si>
  <si>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</si>
  <si>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</si>
  <si>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</si>
  <si>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</si>
  <si>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</si>
  <si>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</si>
  <si>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</si>
  <si>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</si>
  <si>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</si>
  <si>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</si>
  <si>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</si>
  <si>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</si>
  <si>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</si>
  <si>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</si>
  <si>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</si>
  <si>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</si>
  <si>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</si>
  <si>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</si>
  <si>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</si>
  <si>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</si>
  <si>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</si>
  <si>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</si>
  <si>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</si>
  <si>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</si>
  <si>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</si>
  <si>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</si>
  <si>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</si>
  <si>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</si>
  <si>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</si>
  <si>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</si>
  <si>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</si>
  <si>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</si>
  <si>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</si>
  <si>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</si>
  <si>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</si>
  <si>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</si>
  <si>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</si>
  <si>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</si>
  <si>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</si>
  <si>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</si>
  <si>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</si>
  <si>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</si>
  <si>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</si>
  <si>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</si>
  <si>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</si>
  <si>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</si>
  <si>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</si>
  <si>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</si>
  <si>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</si>
  <si>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</si>
  <si>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</si>
  <si>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</si>
  <si>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</si>
  <si>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</si>
  <si>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</si>
  <si>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</si>
  <si>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</si>
  <si>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</si>
  <si>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</si>
  <si>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</si>
  <si>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</si>
  <si>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</si>
  <si>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</si>
  <si>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</si>
  <si>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</si>
  <si>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</si>
  <si>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</si>
  <si>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</si>
  <si>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</si>
  <si>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</si>
  <si>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</si>
  <si>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</si>
  <si>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</si>
  <si>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</si>
  <si>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</si>
  <si>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</si>
  <si>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</si>
  <si>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</si>
  <si>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</si>
  <si>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</si>
  <si>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</si>
  <si>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</si>
  <si>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</si>
  <si>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</si>
  <si>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</si>
  <si>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</si>
  <si>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</si>
  <si>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</si>
  <si>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</si>
  <si>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</si>
  <si>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</si>
  <si>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</si>
  <si>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</si>
  <si>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</si>
  <si>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</si>
  <si>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</si>
  <si>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</si>
  <si>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</si>
  <si>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</si>
  <si>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</si>
  <si>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</si>
  <si>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</si>
  <si>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</si>
  <si>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</si>
  <si>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</si>
  <si>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</si>
  <si>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</si>
  <si>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</si>
  <si>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</si>
  <si>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</si>
  <si>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</si>
  <si>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</si>
  <si>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</si>
  <si>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</si>
  <si>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</si>
  <si>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</si>
  <si>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</si>
  <si>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</si>
  <si>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</si>
  <si>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</si>
  <si>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</si>
  <si>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</si>
  <si>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</si>
  <si>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</si>
  <si>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</si>
  <si>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</si>
  <si>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</si>
  <si>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</si>
  <si>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</si>
  <si>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</si>
  <si>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</si>
  <si>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</si>
  <si>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</si>
  <si>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</si>
  <si>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</si>
  <si>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</si>
  <si>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</si>
  <si>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</si>
  <si>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</si>
  <si>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</si>
  <si>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</si>
  <si>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</si>
  <si>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</si>
  <si>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</si>
  <si>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</si>
  <si>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</si>
  <si>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</si>
  <si>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</si>
  <si>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</si>
  <si>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</si>
  <si>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</si>
  <si>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</si>
  <si>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</si>
  <si>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</si>
  <si>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</si>
  <si>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</si>
  <si>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</si>
  <si>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</si>
  <si>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</si>
  <si>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</si>
  <si>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</si>
  <si>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</si>
  <si>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</si>
  <si>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</si>
  <si>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</si>
  <si>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</si>
  <si>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</si>
  <si>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</si>
  <si>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</si>
  <si>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</si>
  <si>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</si>
  <si>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</si>
  <si>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</si>
  <si>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</si>
  <si>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</si>
  <si>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</si>
  <si>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</si>
  <si>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</si>
  <si>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</si>
  <si>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</si>
  <si>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</si>
  <si>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</si>
  <si>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</si>
  <si>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</si>
  <si>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</si>
  <si>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</si>
  <si>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</si>
  <si>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</si>
  <si>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</si>
  <si>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</si>
  <si>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</si>
  <si>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</si>
  <si>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</si>
  <si>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</si>
  <si>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</si>
  <si>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</si>
  <si>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</si>
  <si>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</si>
  <si>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</si>
  <si>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</si>
  <si>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</si>
  <si>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</si>
  <si>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</si>
  <si>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</si>
  <si>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</si>
  <si>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</si>
  <si>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</si>
  <si>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</si>
  <si>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</si>
  <si>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</si>
  <si>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</si>
  <si>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</si>
  <si>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</si>
  <si>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</si>
  <si>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</si>
  <si>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</si>
  <si>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</si>
  <si>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</si>
  <si>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</si>
  <si>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</si>
  <si>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</si>
  <si>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</si>
  <si>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</si>
  <si>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</si>
  <si>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</si>
  <si>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</si>
  <si>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</si>
  <si>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</si>
  <si>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</si>
  <si>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</si>
  <si>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</si>
  <si>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</si>
  <si>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</si>
  <si>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</si>
  <si>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</si>
  <si>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</si>
  <si>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</si>
  <si>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</si>
  <si>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</si>
  <si>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</si>
  <si>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</si>
  <si>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</si>
  <si>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</si>
  <si>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</si>
  <si>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</si>
  <si>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</si>
  <si>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</si>
  <si>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</si>
  <si>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</si>
  <si>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</si>
  <si>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</si>
  <si>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</si>
  <si>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</si>
  <si>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</si>
  <si>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</si>
  <si>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</si>
  <si>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</si>
  <si>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</si>
  <si>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</si>
  <si>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</si>
  <si>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</si>
  <si>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</si>
  <si>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</si>
  <si>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</si>
  <si>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</si>
  <si>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</si>
  <si>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</si>
  <si>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</si>
  <si>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</si>
  <si>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</si>
  <si>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</si>
  <si>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</si>
  <si>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</si>
  <si>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</si>
  <si>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</si>
  <si>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</si>
  <si>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</si>
  <si>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</si>
  <si>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</si>
  <si>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</si>
  <si>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</si>
  <si>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</si>
  <si>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</si>
  <si>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</si>
  <si>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</si>
  <si>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</si>
  <si>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</si>
  <si>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</si>
  <si>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</si>
  <si>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</si>
  <si>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</si>
  <si>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</si>
  <si>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</si>
  <si>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</si>
  <si>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</si>
  <si>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</si>
  <si>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</si>
  <si>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</si>
  <si>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</si>
  <si>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</si>
  <si>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</si>
  <si>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</si>
  <si>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</si>
  <si>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</si>
  <si>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</si>
  <si>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</si>
  <si>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</si>
  <si>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</si>
  <si>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</si>
  <si>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</si>
  <si>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</si>
  <si>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</si>
  <si>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</si>
  <si>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</si>
  <si>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</si>
  <si>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</si>
  <si>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</si>
  <si>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</si>
  <si>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</si>
  <si>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</si>
  <si>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</si>
  <si>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</si>
  <si>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</si>
  <si>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</si>
  <si>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</si>
  <si>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</si>
  <si>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</si>
  <si>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</si>
  <si>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</si>
  <si>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</si>
  <si>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</si>
  <si>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</si>
  <si>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</si>
  <si>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</si>
  <si>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</si>
  <si>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</si>
  <si>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</si>
  <si>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</si>
  <si>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</si>
  <si>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</si>
  <si>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</si>
  <si>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</si>
  <si>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</si>
  <si>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</si>
  <si>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</si>
  <si>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</si>
  <si>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</si>
  <si>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</si>
  <si>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</si>
  <si>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</si>
  <si>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</si>
  <si>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</si>
  <si>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</si>
  <si>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</si>
  <si>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</si>
  <si>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</si>
  <si>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</si>
  <si>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</si>
  <si>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</si>
  <si>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</si>
  <si>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</si>
  <si>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</si>
  <si>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</si>
  <si>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</si>
  <si>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</si>
  <si>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</si>
  <si>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</si>
  <si>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</si>
  <si>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</si>
  <si>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</si>
  <si>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</si>
  <si>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</si>
  <si>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</si>
  <si>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</si>
  <si>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</si>
  <si>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</si>
  <si>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</si>
  <si>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</si>
  <si>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</si>
  <si>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</si>
  <si>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</si>
  <si>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</si>
  <si>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</si>
  <si>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</si>
  <si>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</si>
  <si>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</si>
  <si>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</si>
  <si>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</si>
  <si>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</si>
  <si>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</si>
  <si>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</si>
  <si>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</si>
  <si>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</si>
  <si>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</si>
  <si>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</si>
  <si>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</si>
  <si>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</si>
  <si>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</si>
  <si>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</si>
  <si>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</si>
  <si>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</si>
  <si>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</si>
  <si>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</si>
  <si>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</si>
  <si>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</si>
  <si>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</si>
  <si>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</si>
  <si>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</si>
  <si>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</si>
  <si>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</si>
  <si>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</si>
  <si>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</si>
  <si>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</si>
  <si>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</si>
  <si>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</si>
  <si>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</si>
  <si>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</si>
  <si>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</si>
  <si>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</si>
  <si>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</si>
  <si>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</si>
  <si>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</si>
  <si>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</si>
  <si>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</si>
  <si>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</si>
  <si>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</si>
  <si>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</si>
  <si>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</si>
  <si>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</si>
  <si>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</si>
  <si>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</si>
  <si>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</si>
  <si>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</si>
  <si>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</si>
  <si>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</si>
  <si>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</si>
  <si>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</si>
  <si>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</si>
  <si>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</si>
  <si>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</si>
  <si>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</si>
  <si>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</si>
  <si>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</si>
  <si>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</si>
  <si>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</si>
  <si>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</si>
  <si>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</si>
  <si>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</si>
  <si>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</si>
  <si>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</si>
  <si>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</si>
  <si>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</si>
  <si>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</si>
  <si>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</si>
  <si>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</si>
  <si>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</si>
  <si>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</si>
  <si>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</si>
  <si>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</si>
  <si>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</si>
  <si>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</si>
  <si>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</si>
  <si>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</si>
  <si>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</si>
  <si>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</si>
  <si>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</si>
  <si>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</si>
  <si>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</si>
  <si>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</si>
  <si>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</si>
  <si>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</si>
  <si>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</si>
  <si>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</si>
  <si>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</si>
  <si>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</si>
  <si>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</si>
  <si>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</si>
  <si>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</si>
  <si>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</si>
  <si>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</si>
  <si>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</si>
  <si>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</si>
  <si>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</si>
  <si>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</si>
  <si>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</si>
  <si>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</si>
  <si>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</si>
  <si>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</si>
  <si>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</si>
  <si>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</si>
  <si>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</si>
  <si>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</si>
  <si>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</si>
  <si>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</si>
  <si>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</si>
  <si>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</si>
  <si>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</si>
  <si>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</si>
  <si>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</si>
  <si>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</si>
  <si>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</si>
  <si>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</si>
  <si>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</si>
  <si>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</si>
  <si>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</si>
  <si>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</si>
  <si>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</si>
  <si>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</si>
  <si>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</si>
  <si>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</si>
  <si>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</si>
  <si>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</si>
  <si>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</si>
  <si>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</si>
  <si>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</si>
  <si>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</si>
  <si>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</si>
  <si>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</si>
  <si>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</si>
  <si>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</si>
  <si>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</si>
  <si>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</si>
  <si>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</si>
  <si>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</si>
  <si>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</si>
  <si>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</si>
  <si>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</si>
  <si>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</si>
  <si>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</si>
  <si>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</si>
  <si>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</si>
  <si>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</si>
  <si>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</si>
  <si>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</si>
  <si>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</si>
  <si>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</si>
  <si>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</si>
  <si>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</si>
  <si>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</si>
  <si>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</si>
  <si>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</si>
  <si>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</si>
  <si>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</si>
  <si>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</si>
  <si>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</si>
  <si>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</si>
  <si>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</si>
  <si>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</si>
  <si>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</si>
  <si>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</si>
  <si>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</si>
  <si>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</si>
  <si>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</si>
  <si>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</si>
  <si>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</si>
  <si>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</si>
  <si>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</si>
  <si>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</si>
  <si>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</si>
  <si>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</si>
  <si>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</si>
  <si>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</si>
  <si>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</si>
  <si>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</si>
  <si>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</si>
  <si>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</si>
  <si>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</si>
  <si>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</si>
  <si>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</si>
  <si>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</si>
  <si>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</si>
  <si>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</si>
  <si>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</si>
  <si>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</si>
  <si>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</si>
  <si>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</si>
  <si>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</si>
  <si>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</si>
  <si>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</si>
  <si>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</si>
  <si>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</si>
  <si>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</si>
  <si>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</si>
  <si>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</si>
  <si>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</si>
  <si>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</si>
  <si>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</si>
  <si>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</si>
  <si>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</si>
  <si>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</si>
  <si>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</si>
  <si>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</si>
  <si>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</si>
  <si>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</si>
  <si>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</si>
  <si>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</si>
  <si>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</si>
  <si>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</si>
  <si>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</si>
  <si>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</si>
  <si>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</si>
  <si>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</si>
  <si>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</si>
  <si>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</si>
  <si>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</si>
  <si>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</si>
  <si>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</si>
  <si>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</si>
  <si>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</si>
  <si>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</si>
  <si>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</si>
  <si>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</si>
  <si>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</si>
  <si>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</si>
  <si>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</si>
  <si>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</si>
  <si>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</si>
  <si>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</si>
  <si>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</si>
  <si>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</si>
  <si>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</si>
  <si>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</si>
  <si>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</si>
  <si>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</si>
  <si>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</si>
  <si>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</si>
  <si>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</si>
  <si>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</si>
  <si>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</si>
  <si>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</si>
  <si>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</si>
  <si>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</si>
  <si>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</si>
  <si>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</si>
  <si>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</si>
  <si>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</si>
  <si>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</si>
  <si>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</si>
  <si>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</si>
  <si>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</si>
  <si>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</si>
  <si>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</si>
  <si>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</si>
  <si>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</si>
  <si>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</si>
  <si>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</si>
  <si>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</si>
  <si>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</si>
  <si>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</si>
  <si>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</si>
  <si>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</si>
  <si>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</si>
  <si>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</si>
  <si>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</si>
  <si>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</si>
  <si>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</si>
  <si>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</si>
  <si>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</si>
  <si>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</si>
  <si>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</si>
  <si>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</si>
  <si>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</si>
  <si>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</si>
  <si>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</si>
  <si>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</si>
  <si>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</si>
  <si>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</si>
  <si>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</si>
  <si>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</si>
  <si>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</si>
  <si>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</si>
  <si>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</si>
  <si>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</si>
  <si>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</si>
  <si>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</si>
  <si>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</si>
  <si>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</si>
  <si>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</si>
  <si>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</si>
  <si>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</si>
  <si>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</si>
  <si>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</si>
  <si>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</si>
  <si>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</si>
  <si>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</si>
  <si>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</si>
  <si>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</si>
  <si>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</si>
  <si>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</si>
  <si>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</si>
  <si>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</si>
  <si>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</si>
  <si>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</si>
  <si>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</si>
  <si>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</si>
  <si>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</si>
  <si>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</si>
  <si>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</si>
  <si>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</si>
  <si>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</si>
  <si>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</si>
  <si>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</si>
  <si>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</si>
  <si>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</si>
  <si>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</si>
  <si>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</si>
  <si>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</si>
  <si>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</si>
  <si>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</si>
  <si>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</si>
  <si>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</si>
  <si>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</si>
  <si>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</si>
  <si>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</si>
  <si>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</si>
  <si>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</si>
  <si>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</si>
  <si>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</si>
  <si>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</si>
  <si>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</si>
  <si>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</si>
  <si>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</si>
  <si>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</si>
  <si>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</si>
  <si>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</si>
  <si>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</si>
  <si>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</si>
  <si>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</si>
  <si>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</si>
  <si>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</si>
  <si>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</si>
  <si>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</si>
  <si>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</si>
  <si>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</si>
  <si>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</si>
  <si>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</si>
  <si>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</si>
  <si>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</si>
  <si>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</si>
  <si>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</si>
  <si>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</si>
  <si>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</si>
  <si>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</si>
  <si>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</si>
  <si>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</si>
  <si>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</si>
  <si>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</si>
  <si>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</si>
  <si>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</si>
  <si>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</si>
  <si>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</si>
  <si>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</si>
  <si>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</si>
  <si>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</si>
  <si>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</si>
  <si>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</si>
  <si>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</si>
  <si>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</si>
  <si>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</si>
  <si>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</si>
  <si>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</si>
  <si>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</si>
  <si>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</si>
  <si>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</si>
  <si>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</si>
  <si>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</si>
  <si>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</si>
  <si>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</si>
  <si>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</si>
  <si>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</si>
  <si>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</si>
  <si>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</si>
  <si>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</si>
  <si>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</si>
  <si>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</si>
  <si>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</si>
  <si>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</si>
  <si>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</si>
  <si>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</si>
  <si>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</si>
  <si>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</si>
  <si>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</si>
  <si>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</si>
  <si>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</si>
  <si>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</si>
  <si>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</si>
  <si>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</si>
  <si>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</si>
  <si>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</si>
  <si>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</si>
  <si>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</si>
  <si>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</si>
  <si>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</si>
  <si>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</si>
  <si>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</si>
  <si>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</si>
  <si>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</si>
  <si>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</si>
  <si>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</si>
  <si>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</si>
  <si>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</si>
  <si>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</si>
  <si>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</si>
  <si>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</si>
  <si>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</si>
  <si>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</si>
  <si>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</si>
  <si>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</si>
  <si>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</si>
  <si>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</si>
  <si>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</si>
  <si>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</si>
  <si>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</si>
  <si>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</si>
  <si>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</si>
  <si>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</si>
  <si>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</si>
  <si>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</si>
  <si>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</si>
  <si>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</si>
  <si>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</si>
  <si>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</si>
  <si>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</si>
  <si>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</si>
  <si>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</si>
  <si>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</si>
  <si>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</si>
  <si>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</si>
  <si>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</si>
  <si>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</si>
  <si>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</si>
  <si>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</si>
  <si>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</si>
  <si>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</si>
  <si>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</si>
  <si>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</si>
  <si>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</si>
  <si>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</si>
  <si>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</si>
  <si>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</si>
  <si>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</si>
  <si>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</si>
  <si>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</si>
  <si>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</si>
  <si>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</si>
  <si>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</si>
  <si>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</si>
  <si>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</si>
  <si>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</si>
  <si>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</si>
  <si>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</si>
  <si>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</si>
  <si>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</si>
  <si>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</si>
  <si>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71067</t>
  </si>
  <si>
    <t>ZUTENDAAL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</si>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</sst>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9D7931E-9015-4548-A0D0-B4B9CC300941}"/>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71067</v>
      </c>
      <c r="B6" s="384"/>
      <c r="C6" s="385"/>
    </row>
    <row r="7" spans="1:7" s="382" customFormat="1" ht="15.75" customHeight="1">
      <c r="A7" s="386" t="str">
        <f>txtMunicipality</f>
        <v>ZUTENDAAL</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12664.833000000001</v>
      </c>
      <c r="D10" s="674">
        <f ca="1">tertiair!C16</f>
        <v>0</v>
      </c>
      <c r="E10" s="674">
        <f ca="1">tertiair!D16</f>
        <v>4138.4616899999992</v>
      </c>
      <c r="F10" s="674">
        <f>tertiair!E16</f>
        <v>161.46577009525447</v>
      </c>
      <c r="G10" s="674">
        <f ca="1">tertiair!F16</f>
        <v>2394.2948144479192</v>
      </c>
      <c r="H10" s="674">
        <f>tertiair!G16</f>
        <v>0</v>
      </c>
      <c r="I10" s="674">
        <f>tertiair!H16</f>
        <v>0</v>
      </c>
      <c r="J10" s="674">
        <f>tertiair!I16</f>
        <v>0</v>
      </c>
      <c r="K10" s="674">
        <f>tertiair!J16</f>
        <v>0</v>
      </c>
      <c r="L10" s="674">
        <f>tertiair!K16</f>
        <v>0</v>
      </c>
      <c r="M10" s="674">
        <f ca="1">tertiair!L16</f>
        <v>0</v>
      </c>
      <c r="N10" s="674">
        <f>tertiair!M16</f>
        <v>0</v>
      </c>
      <c r="O10" s="674">
        <f ca="1">tertiair!N16</f>
        <v>521.70697729360529</v>
      </c>
      <c r="P10" s="674">
        <f>tertiair!O16</f>
        <v>0</v>
      </c>
      <c r="Q10" s="675">
        <f>tertiair!P16</f>
        <v>0</v>
      </c>
      <c r="R10" s="677">
        <f ca="1">SUM(C10:Q10)</f>
        <v>19880.762251836779</v>
      </c>
      <c r="S10" s="68"/>
    </row>
    <row r="11" spans="1:19" s="443" customFormat="1">
      <c r="A11" s="789" t="s">
        <v>214</v>
      </c>
      <c r="B11" s="794"/>
      <c r="C11" s="674">
        <f>huishoudens!B8</f>
        <v>14704.410962048974</v>
      </c>
      <c r="D11" s="674">
        <f>huishoudens!C8</f>
        <v>0</v>
      </c>
      <c r="E11" s="674">
        <f>huishoudens!D8</f>
        <v>14410.660484</v>
      </c>
      <c r="F11" s="674">
        <f>huishoudens!E8</f>
        <v>1025.5751784523959</v>
      </c>
      <c r="G11" s="674">
        <f>huishoudens!F8</f>
        <v>31266.809642842149</v>
      </c>
      <c r="H11" s="674">
        <f>huishoudens!G8</f>
        <v>0</v>
      </c>
      <c r="I11" s="674">
        <f>huishoudens!H8</f>
        <v>0</v>
      </c>
      <c r="J11" s="674">
        <f>huishoudens!I8</f>
        <v>0</v>
      </c>
      <c r="K11" s="674">
        <f>huishoudens!J8</f>
        <v>567.32536617980963</v>
      </c>
      <c r="L11" s="674">
        <f>huishoudens!K8</f>
        <v>0</v>
      </c>
      <c r="M11" s="674">
        <f>huishoudens!L8</f>
        <v>0</v>
      </c>
      <c r="N11" s="674">
        <f>huishoudens!M8</f>
        <v>0</v>
      </c>
      <c r="O11" s="674">
        <f>huishoudens!N8</f>
        <v>4425.4585094546019</v>
      </c>
      <c r="P11" s="674">
        <f>huishoudens!O8</f>
        <v>42.21</v>
      </c>
      <c r="Q11" s="675">
        <f>huishoudens!P8</f>
        <v>209.73333333333335</v>
      </c>
      <c r="R11" s="677">
        <f>SUM(C11:Q11)</f>
        <v>66652.183476311271</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3707.7069999999999</v>
      </c>
      <c r="D13" s="674">
        <f>industrie!C18</f>
        <v>0</v>
      </c>
      <c r="E13" s="674">
        <f>industrie!D18</f>
        <v>2169.975676</v>
      </c>
      <c r="F13" s="674">
        <f>industrie!E18</f>
        <v>50.507767865496675</v>
      </c>
      <c r="G13" s="674">
        <f>industrie!F18</f>
        <v>1479.7673405005921</v>
      </c>
      <c r="H13" s="674">
        <f>industrie!G18</f>
        <v>0</v>
      </c>
      <c r="I13" s="674">
        <f>industrie!H18</f>
        <v>0</v>
      </c>
      <c r="J13" s="674">
        <f>industrie!I18</f>
        <v>0</v>
      </c>
      <c r="K13" s="674">
        <f>industrie!J18</f>
        <v>25.820913105945834</v>
      </c>
      <c r="L13" s="674">
        <f>industrie!K18</f>
        <v>0</v>
      </c>
      <c r="M13" s="674">
        <f>industrie!L18</f>
        <v>0</v>
      </c>
      <c r="N13" s="674">
        <f>industrie!M18</f>
        <v>0</v>
      </c>
      <c r="O13" s="674">
        <f>industrie!N18</f>
        <v>98.424597369460116</v>
      </c>
      <c r="P13" s="674">
        <f>industrie!O18</f>
        <v>0</v>
      </c>
      <c r="Q13" s="675">
        <f>industrie!P18</f>
        <v>0</v>
      </c>
      <c r="R13" s="677">
        <f>SUM(C13:Q13)</f>
        <v>7532.2032948414962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31076.950962048973</v>
      </c>
      <c r="D16" s="707">
        <f t="shared" ref="D16:R16" ca="1" si="0">SUM(D9:D15)</f>
        <v>0</v>
      </c>
      <c r="E16" s="707">
        <f t="shared" ca="1" si="0"/>
        <v>20719.097849999998</v>
      </c>
      <c r="F16" s="707">
        <f t="shared" si="0"/>
        <v>1237.5487164131468</v>
      </c>
      <c r="G16" s="707">
        <f t="shared" ca="1" si="0"/>
        <v>35140.871797790656</v>
      </c>
      <c r="H16" s="707">
        <f t="shared" si="0"/>
        <v>0</v>
      </c>
      <c r="I16" s="707">
        <f t="shared" si="0"/>
        <v>0</v>
      </c>
      <c r="J16" s="707">
        <f t="shared" si="0"/>
        <v>0</v>
      </c>
      <c r="K16" s="707">
        <f t="shared" si="0"/>
        <v>593.14627928575544</v>
      </c>
      <c r="L16" s="707">
        <f t="shared" si="0"/>
        <v>0</v>
      </c>
      <c r="M16" s="707">
        <f t="shared" ca="1" si="0"/>
        <v>0</v>
      </c>
      <c r="N16" s="707">
        <f t="shared" si="0"/>
        <v>0</v>
      </c>
      <c r="O16" s="707">
        <f t="shared" ca="1" si="0"/>
        <v>5045.5900841176681</v>
      </c>
      <c r="P16" s="707">
        <f t="shared" si="0"/>
        <v>42.21</v>
      </c>
      <c r="Q16" s="707">
        <f t="shared" si="0"/>
        <v>209.73333333333335</v>
      </c>
      <c r="R16" s="707">
        <f t="shared" ca="1" si="0"/>
        <v>94065.149022989543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6.1271663136046879</v>
      </c>
      <c r="D19" s="674">
        <f>transport!C54</f>
        <v>0</v>
      </c>
      <c r="E19" s="674">
        <f>transport!D54</f>
        <v>0</v>
      </c>
      <c r="F19" s="674">
        <f>transport!E54</f>
        <v>0</v>
      </c>
      <c r="G19" s="674">
        <f>transport!F54</f>
        <v>0</v>
      </c>
      <c r="H19" s="674">
        <f>transport!G54</f>
        <v>1222.07540135724</v>
      </c>
      <c r="I19" s="674">
        <f>transport!H54</f>
        <v>0</v>
      </c>
      <c r="J19" s="674">
        <f>transport!I54</f>
        <v>0</v>
      </c>
      <c r="K19" s="674">
        <f>transport!J54</f>
        <v>0</v>
      </c>
      <c r="L19" s="674">
        <f>transport!K54</f>
        <v>0</v>
      </c>
      <c r="M19" s="674">
        <f>transport!L54</f>
        <v>0</v>
      </c>
      <c r="N19" s="674">
        <f>transport!M54</f>
        <v>54.014431156625001</v>
      </c>
      <c r="O19" s="674">
        <f>transport!N54</f>
        <v>0</v>
      </c>
      <c r="P19" s="674">
        <f>transport!O54</f>
        <v>0</v>
      </c>
      <c r="Q19" s="675">
        <f>transport!P54</f>
        <v>0</v>
      </c>
      <c r="R19" s="677">
        <f>SUM(C19:Q19)</f>
        <v>1282.2169988274698</v>
      </c>
      <c r="S19" s="68"/>
    </row>
    <row r="20" spans="1:19" s="443" customFormat="1">
      <c r="A20" s="789" t="s">
        <v>296</v>
      </c>
      <c r="B20" s="794"/>
      <c r="C20" s="674">
        <f>transport!B14</f>
        <v>3.5267203038204404</v>
      </c>
      <c r="D20" s="674">
        <f>transport!C14</f>
        <v>0</v>
      </c>
      <c r="E20" s="674">
        <f>transport!D14</f>
        <v>4.3217377823303353</v>
      </c>
      <c r="F20" s="674">
        <f>transport!E14</f>
        <v>289.68530917369645</v>
      </c>
      <c r="G20" s="674">
        <f>transport!F14</f>
        <v>0</v>
      </c>
      <c r="H20" s="674">
        <f>transport!G14</f>
        <v>60066.46008047989</v>
      </c>
      <c r="I20" s="674">
        <f>transport!H14</f>
        <v>10543.441789159373</v>
      </c>
      <c r="J20" s="674">
        <f>transport!I14</f>
        <v>0</v>
      </c>
      <c r="K20" s="674">
        <f>transport!J14</f>
        <v>0</v>
      </c>
      <c r="L20" s="674">
        <f>transport!K14</f>
        <v>0</v>
      </c>
      <c r="M20" s="674">
        <f>transport!L14</f>
        <v>0</v>
      </c>
      <c r="N20" s="674">
        <f>transport!M14</f>
        <v>3155.6439286334744</v>
      </c>
      <c r="O20" s="674">
        <f>transport!N14</f>
        <v>0</v>
      </c>
      <c r="P20" s="674">
        <f>transport!O14</f>
        <v>0</v>
      </c>
      <c r="Q20" s="675">
        <f>transport!P14</f>
        <v>0</v>
      </c>
      <c r="R20" s="677">
        <f>SUM(C20:Q20)</f>
        <v>74063.079565532593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9.6538866174251279</v>
      </c>
      <c r="D22" s="792">
        <f t="shared" ref="D22:R22" si="1">SUM(D18:D21)</f>
        <v>0</v>
      </c>
      <c r="E22" s="792">
        <f t="shared" si="1"/>
        <v>4.3217377823303353</v>
      </c>
      <c r="F22" s="792">
        <f t="shared" si="1"/>
        <v>289.68530917369645</v>
      </c>
      <c r="G22" s="792">
        <f t="shared" si="1"/>
        <v>0</v>
      </c>
      <c r="H22" s="792">
        <f t="shared" si="1"/>
        <v>61288.535481837127</v>
      </c>
      <c r="I22" s="792">
        <f t="shared" si="1"/>
        <v>10543.441789159373</v>
      </c>
      <c r="J22" s="792">
        <f t="shared" si="1"/>
        <v>0</v>
      </c>
      <c r="K22" s="792">
        <f t="shared" si="1"/>
        <v>0</v>
      </c>
      <c r="L22" s="792">
        <f t="shared" si="1"/>
        <v>0</v>
      </c>
      <c r="M22" s="792">
        <f t="shared" si="1"/>
        <v>0</v>
      </c>
      <c r="N22" s="792">
        <f t="shared" si="1"/>
        <v>3209.6583597900994</v>
      </c>
      <c r="O22" s="792">
        <f t="shared" si="1"/>
        <v>0</v>
      </c>
      <c r="P22" s="792">
        <f t="shared" si="1"/>
        <v>0</v>
      </c>
      <c r="Q22" s="792">
        <f t="shared" si="1"/>
        <v>0</v>
      </c>
      <c r="R22" s="792">
        <f t="shared" si="1"/>
        <v>75345.296564360062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177.81100000000001</v>
      </c>
      <c r="D24" s="674">
        <f>+landbouw!C8</f>
        <v>0</v>
      </c>
      <c r="E24" s="674">
        <f>+landbouw!D8</f>
        <v>79.698014000000001</v>
      </c>
      <c r="F24" s="674">
        <f>+landbouw!E8</f>
        <v>1.6750987572780718</v>
      </c>
      <c r="G24" s="674">
        <f>+landbouw!F8</f>
        <v>580.25630328842396</v>
      </c>
      <c r="H24" s="674">
        <f>+landbouw!G8</f>
        <v>0</v>
      </c>
      <c r="I24" s="674">
        <f>+landbouw!H8</f>
        <v>0</v>
      </c>
      <c r="J24" s="674">
        <f>+landbouw!I8</f>
        <v>0</v>
      </c>
      <c r="K24" s="674">
        <f>+landbouw!J8</f>
        <v>21.996085572537869</v>
      </c>
      <c r="L24" s="674">
        <f>+landbouw!K8</f>
        <v>0</v>
      </c>
      <c r="M24" s="674">
        <f>+landbouw!L8</f>
        <v>0</v>
      </c>
      <c r="N24" s="674">
        <f>+landbouw!M8</f>
        <v>0</v>
      </c>
      <c r="O24" s="674">
        <f>+landbouw!N8</f>
        <v>0</v>
      </c>
      <c r="P24" s="674">
        <f>+landbouw!O8</f>
        <v>0</v>
      </c>
      <c r="Q24" s="675">
        <f>+landbouw!P8</f>
        <v>0</v>
      </c>
      <c r="R24" s="677">
        <f>SUM(C24:Q24)</f>
        <v>861.43650161823984</v>
      </c>
      <c r="S24" s="68"/>
    </row>
    <row r="25" spans="1:19" s="443" customFormat="1" ht="15" thickBot="1">
      <c r="A25" s="811" t="s">
        <v>873</v>
      </c>
      <c r="B25" s="977"/>
      <c r="C25" s="978">
        <f>IF(Onbekend_ele_kWh="---",0,Onbekend_ele_kWh)/1000+IF(REST_rest_ele_kWh="---",0,REST_rest_ele_kWh)/1000</f>
        <v>622.03800000000001</v>
      </c>
      <c r="D25" s="978"/>
      <c r="E25" s="978">
        <f>IF(onbekend_gas_kWh="---",0,onbekend_gas_kWh)/1000+IF(REST_rest_gas_kWh="---",0,REST_rest_gas_kWh)/1000</f>
        <v>435.75799999999998</v>
      </c>
      <c r="F25" s="978"/>
      <c r="G25" s="978"/>
      <c r="H25" s="978"/>
      <c r="I25" s="978"/>
      <c r="J25" s="978"/>
      <c r="K25" s="978"/>
      <c r="L25" s="978"/>
      <c r="M25" s="978"/>
      <c r="N25" s="978"/>
      <c r="O25" s="978"/>
      <c r="P25" s="978"/>
      <c r="Q25" s="979"/>
      <c r="R25" s="677">
        <f>SUM(C25:Q25)</f>
        <v>1057.796</v>
      </c>
      <c r="S25" s="68"/>
    </row>
    <row r="26" spans="1:19" s="443" customFormat="1" ht="15.75" thickBot="1">
      <c r="A26" s="680" t="s">
        <v>874</v>
      </c>
      <c r="B26" s="797"/>
      <c r="C26" s="792">
        <f>SUM(C24:C25)</f>
        <v>799.84900000000005</v>
      </c>
      <c r="D26" s="792">
        <f t="shared" ref="D26:R26" si="2">SUM(D24:D25)</f>
        <v>0</v>
      </c>
      <c r="E26" s="792">
        <f t="shared" si="2"/>
        <v>515.45601399999998</v>
      </c>
      <c r="F26" s="792">
        <f t="shared" si="2"/>
        <v>1.6750987572780718</v>
      </c>
      <c r="G26" s="792">
        <f t="shared" si="2"/>
        <v>580.25630328842396</v>
      </c>
      <c r="H26" s="792">
        <f t="shared" si="2"/>
        <v>0</v>
      </c>
      <c r="I26" s="792">
        <f t="shared" si="2"/>
        <v>0</v>
      </c>
      <c r="J26" s="792">
        <f t="shared" si="2"/>
        <v>0</v>
      </c>
      <c r="K26" s="792">
        <f t="shared" si="2"/>
        <v>21.996085572537869</v>
      </c>
      <c r="L26" s="792">
        <f t="shared" si="2"/>
        <v>0</v>
      </c>
      <c r="M26" s="792">
        <f t="shared" si="2"/>
        <v>0</v>
      </c>
      <c r="N26" s="792">
        <f t="shared" si="2"/>
        <v>0</v>
      </c>
      <c r="O26" s="792">
        <f t="shared" si="2"/>
        <v>0</v>
      </c>
      <c r="P26" s="792">
        <f t="shared" si="2"/>
        <v>0</v>
      </c>
      <c r="Q26" s="792">
        <f t="shared" si="2"/>
        <v>0</v>
      </c>
      <c r="R26" s="792">
        <f t="shared" si="2"/>
        <v>1919.2325016182399</v>
      </c>
      <c r="S26" s="68"/>
    </row>
    <row r="27" spans="1:19" s="443" customFormat="1" ht="17.25" thickTop="1" thickBot="1">
      <c r="A27" s="681" t="s">
        <v>109</v>
      </c>
      <c r="B27" s="784"/>
      <c r="C27" s="682">
        <f ca="1">C22+C16+C26</f>
        <v>31886.453848666399</v>
      </c>
      <c r="D27" s="682">
        <f t="shared" ref="D27:R27" ca="1" si="3">D22+D16+D26</f>
        <v>0</v>
      </c>
      <c r="E27" s="682">
        <f t="shared" ca="1" si="3"/>
        <v>21238.875601782329</v>
      </c>
      <c r="F27" s="682">
        <f t="shared" si="3"/>
        <v>1528.9091243441212</v>
      </c>
      <c r="G27" s="682">
        <f t="shared" ca="1" si="3"/>
        <v>35721.128101079077</v>
      </c>
      <c r="H27" s="682">
        <f t="shared" si="3"/>
        <v>61288.535481837127</v>
      </c>
      <c r="I27" s="682">
        <f t="shared" si="3"/>
        <v>10543.441789159373</v>
      </c>
      <c r="J27" s="682">
        <f t="shared" si="3"/>
        <v>0</v>
      </c>
      <c r="K27" s="682">
        <f t="shared" si="3"/>
        <v>615.14236485829326</v>
      </c>
      <c r="L27" s="682">
        <f t="shared" si="3"/>
        <v>0</v>
      </c>
      <c r="M27" s="682">
        <f t="shared" ca="1" si="3"/>
        <v>0</v>
      </c>
      <c r="N27" s="682">
        <f t="shared" si="3"/>
        <v>3209.6583597900994</v>
      </c>
      <c r="O27" s="682">
        <f t="shared" ca="1" si="3"/>
        <v>5045.5900841176681</v>
      </c>
      <c r="P27" s="682">
        <f t="shared" si="3"/>
        <v>42.21</v>
      </c>
      <c r="Q27" s="682">
        <f t="shared" si="3"/>
        <v>209.73333333333335</v>
      </c>
      <c r="R27" s="682">
        <f t="shared" ca="1" si="3"/>
        <v>171329.67808896783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2625.3776470954645</v>
      </c>
      <c r="D40" s="674">
        <f ca="1">tertiair!C20</f>
        <v>0</v>
      </c>
      <c r="E40" s="674">
        <f ca="1">tertiair!D20</f>
        <v>835.96926137999992</v>
      </c>
      <c r="F40" s="674">
        <f>tertiair!E20</f>
        <v>36.652729811622763</v>
      </c>
      <c r="G40" s="674">
        <f ca="1">tertiair!F20</f>
        <v>639.27671545759449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4137.2763537446817</v>
      </c>
    </row>
    <row r="41" spans="1:18">
      <c r="A41" s="802" t="s">
        <v>214</v>
      </c>
      <c r="B41" s="809"/>
      <c r="C41" s="674">
        <f ca="1">huishoudens!B12</f>
        <v>3048.1753571854356</v>
      </c>
      <c r="D41" s="674">
        <f ca="1">huishoudens!C12</f>
        <v>0</v>
      </c>
      <c r="E41" s="674">
        <f>huishoudens!D12</f>
        <v>2910.9534177680002</v>
      </c>
      <c r="F41" s="674">
        <f>huishoudens!E12</f>
        <v>232.80556550869389</v>
      </c>
      <c r="G41" s="674">
        <f>huishoudens!F12</f>
        <v>8348.2381746388546</v>
      </c>
      <c r="H41" s="674">
        <f>huishoudens!G12</f>
        <v>0</v>
      </c>
      <c r="I41" s="674">
        <f>huishoudens!H12</f>
        <v>0</v>
      </c>
      <c r="J41" s="674">
        <f>huishoudens!I12</f>
        <v>0</v>
      </c>
      <c r="K41" s="674">
        <f>huishoudens!J12</f>
        <v>200.83317962765261</v>
      </c>
      <c r="L41" s="674">
        <f>huishoudens!K12</f>
        <v>0</v>
      </c>
      <c r="M41" s="674">
        <f>huishoudens!L12</f>
        <v>0</v>
      </c>
      <c r="N41" s="674">
        <f>huishoudens!M12</f>
        <v>0</v>
      </c>
      <c r="O41" s="674">
        <f>huishoudens!N12</f>
        <v>0</v>
      </c>
      <c r="P41" s="674">
        <f>huishoudens!O12</f>
        <v>0</v>
      </c>
      <c r="Q41" s="749">
        <f>huishoudens!P12</f>
        <v>0</v>
      </c>
      <c r="R41" s="830">
        <f t="shared" ca="1" si="4"/>
        <v>14741.005694728638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768.59529689648355</v>
      </c>
      <c r="D43" s="674">
        <f ca="1">industrie!C22</f>
        <v>0</v>
      </c>
      <c r="E43" s="674">
        <f>industrie!D22</f>
        <v>438.33508655200001</v>
      </c>
      <c r="F43" s="674">
        <f>industrie!E22</f>
        <v>11.465263305467746</v>
      </c>
      <c r="G43" s="674">
        <f>industrie!F22</f>
        <v>395.09787991365812</v>
      </c>
      <c r="H43" s="674">
        <f>industrie!G22</f>
        <v>0</v>
      </c>
      <c r="I43" s="674">
        <f>industrie!H22</f>
        <v>0</v>
      </c>
      <c r="J43" s="674">
        <f>industrie!I22</f>
        <v>0</v>
      </c>
      <c r="K43" s="674">
        <f>industrie!J22</f>
        <v>9.1406032395048253</v>
      </c>
      <c r="L43" s="674">
        <f>industrie!K22</f>
        <v>0</v>
      </c>
      <c r="M43" s="674">
        <f>industrie!L22</f>
        <v>0</v>
      </c>
      <c r="N43" s="674">
        <f>industrie!M22</f>
        <v>0</v>
      </c>
      <c r="O43" s="674">
        <f>industrie!N22</f>
        <v>0</v>
      </c>
      <c r="P43" s="674">
        <f>industrie!O22</f>
        <v>0</v>
      </c>
      <c r="Q43" s="749">
        <f>industrie!P22</f>
        <v>0</v>
      </c>
      <c r="R43" s="829">
        <f t="shared" ca="1" si="4"/>
        <v>1622.6341299071141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6442.1483011773844</v>
      </c>
      <c r="D46" s="707">
        <f t="shared" ref="D46:Q46" ca="1" si="5">SUM(D39:D45)</f>
        <v>0</v>
      </c>
      <c r="E46" s="707">
        <f t="shared" ca="1" si="5"/>
        <v>4185.2577657000002</v>
      </c>
      <c r="F46" s="707">
        <f t="shared" si="5"/>
        <v>280.92355862578444</v>
      </c>
      <c r="G46" s="707">
        <f t="shared" ca="1" si="5"/>
        <v>9382.612770010106</v>
      </c>
      <c r="H46" s="707">
        <f t="shared" si="5"/>
        <v>0</v>
      </c>
      <c r="I46" s="707">
        <f t="shared" si="5"/>
        <v>0</v>
      </c>
      <c r="J46" s="707">
        <f t="shared" si="5"/>
        <v>0</v>
      </c>
      <c r="K46" s="707">
        <f t="shared" si="5"/>
        <v>209.97378286715744</v>
      </c>
      <c r="L46" s="707">
        <f t="shared" si="5"/>
        <v>0</v>
      </c>
      <c r="M46" s="707">
        <f t="shared" ca="1" si="5"/>
        <v>0</v>
      </c>
      <c r="N46" s="707">
        <f t="shared" si="5"/>
        <v>0</v>
      </c>
      <c r="O46" s="707">
        <f t="shared" ca="1" si="5"/>
        <v>0</v>
      </c>
      <c r="P46" s="707">
        <f t="shared" si="5"/>
        <v>0</v>
      </c>
      <c r="Q46" s="707">
        <f t="shared" si="5"/>
        <v>0</v>
      </c>
      <c r="R46" s="707">
        <f ca="1">SUM(R39:R45)</f>
        <v>20500.916178380434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1.2701411443620352</v>
      </c>
      <c r="D49" s="674">
        <f ca="1">transport!C58</f>
        <v>0</v>
      </c>
      <c r="E49" s="674">
        <f>transport!D58</f>
        <v>0</v>
      </c>
      <c r="F49" s="674">
        <f>transport!E58</f>
        <v>0</v>
      </c>
      <c r="G49" s="674">
        <f>transport!F58</f>
        <v>0</v>
      </c>
      <c r="H49" s="674">
        <f>transport!G58</f>
        <v>326.29413216238311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327.56427330674512</v>
      </c>
    </row>
    <row r="50" spans="1:18">
      <c r="A50" s="805" t="s">
        <v>296</v>
      </c>
      <c r="B50" s="815"/>
      <c r="C50" s="984">
        <f ca="1">transport!B18</f>
        <v>0.73107735832031173</v>
      </c>
      <c r="D50" s="984">
        <f>transport!C18</f>
        <v>0</v>
      </c>
      <c r="E50" s="984">
        <f>transport!D18</f>
        <v>0.87299103203072781</v>
      </c>
      <c r="F50" s="984">
        <f>transport!E18</f>
        <v>65.758565182429095</v>
      </c>
      <c r="G50" s="984">
        <f>transport!F18</f>
        <v>0</v>
      </c>
      <c r="H50" s="984">
        <f>transport!G18</f>
        <v>16037.744841488131</v>
      </c>
      <c r="I50" s="984">
        <f>transport!H18</f>
        <v>2625.317005500684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18730.424480561596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2.001218502682347</v>
      </c>
      <c r="D52" s="707">
        <f t="shared" ref="D52:Q52" ca="1" si="6">SUM(D48:D51)</f>
        <v>0</v>
      </c>
      <c r="E52" s="707">
        <f t="shared" si="6"/>
        <v>0.87299103203072781</v>
      </c>
      <c r="F52" s="707">
        <f t="shared" si="6"/>
        <v>65.758565182429095</v>
      </c>
      <c r="G52" s="707">
        <f t="shared" si="6"/>
        <v>0</v>
      </c>
      <c r="H52" s="707">
        <f t="shared" si="6"/>
        <v>16364.038973650515</v>
      </c>
      <c r="I52" s="707">
        <f t="shared" si="6"/>
        <v>2625.317005500684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19057.98875386834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36.85962734823994</v>
      </c>
      <c r="D54" s="984">
        <f ca="1">+landbouw!C12</f>
        <v>0</v>
      </c>
      <c r="E54" s="984">
        <f>+landbouw!D12</f>
        <v>16.098998828000003</v>
      </c>
      <c r="F54" s="984">
        <f>+landbouw!E12</f>
        <v>0.3802474179021223</v>
      </c>
      <c r="G54" s="984">
        <f>+landbouw!F12</f>
        <v>154.9284329780092</v>
      </c>
      <c r="H54" s="984">
        <f>+landbouw!G12</f>
        <v>0</v>
      </c>
      <c r="I54" s="984">
        <f>+landbouw!H12</f>
        <v>0</v>
      </c>
      <c r="J54" s="984">
        <f>+landbouw!I12</f>
        <v>0</v>
      </c>
      <c r="K54" s="984">
        <f>+landbouw!J12</f>
        <v>7.7866142926784052</v>
      </c>
      <c r="L54" s="984">
        <f>+landbouw!K12</f>
        <v>0</v>
      </c>
      <c r="M54" s="984">
        <f>+landbouw!L12</f>
        <v>0</v>
      </c>
      <c r="N54" s="984">
        <f>+landbouw!M12</f>
        <v>0</v>
      </c>
      <c r="O54" s="984">
        <f>+landbouw!N12</f>
        <v>0</v>
      </c>
      <c r="P54" s="984">
        <f>+landbouw!O12</f>
        <v>0</v>
      </c>
      <c r="Q54" s="985">
        <f>+landbouw!P12</f>
        <v>0</v>
      </c>
      <c r="R54" s="706">
        <f ca="1">SUM(C54:Q54)</f>
        <v>216.05392086482965</v>
      </c>
    </row>
    <row r="55" spans="1:18" ht="15" thickBot="1">
      <c r="A55" s="805" t="s">
        <v>873</v>
      </c>
      <c r="B55" s="815"/>
      <c r="C55" s="984">
        <f ca="1">C25*'EF ele_warmte'!B12</f>
        <v>128.94640307092629</v>
      </c>
      <c r="D55" s="984"/>
      <c r="E55" s="984">
        <f>E25*EF_CO2_aardgas</f>
        <v>88.023116000000002</v>
      </c>
      <c r="F55" s="984"/>
      <c r="G55" s="984"/>
      <c r="H55" s="984"/>
      <c r="I55" s="984"/>
      <c r="J55" s="984"/>
      <c r="K55" s="984"/>
      <c r="L55" s="984"/>
      <c r="M55" s="984"/>
      <c r="N55" s="984"/>
      <c r="O55" s="984"/>
      <c r="P55" s="984"/>
      <c r="Q55" s="985"/>
      <c r="R55" s="706">
        <f ca="1">SUM(C55:Q55)</f>
        <v>216.96951907092631</v>
      </c>
    </row>
    <row r="56" spans="1:18" ht="15.75" thickBot="1">
      <c r="A56" s="803" t="s">
        <v>874</v>
      </c>
      <c r="B56" s="816"/>
      <c r="C56" s="707">
        <f ca="1">SUM(C54:C55)</f>
        <v>165.80603041916623</v>
      </c>
      <c r="D56" s="707">
        <f t="shared" ref="D56:Q56" ca="1" si="7">SUM(D54:D55)</f>
        <v>0</v>
      </c>
      <c r="E56" s="707">
        <f t="shared" si="7"/>
        <v>104.12211482800001</v>
      </c>
      <c r="F56" s="707">
        <f t="shared" si="7"/>
        <v>0.3802474179021223</v>
      </c>
      <c r="G56" s="707">
        <f t="shared" si="7"/>
        <v>154.9284329780092</v>
      </c>
      <c r="H56" s="707">
        <f t="shared" si="7"/>
        <v>0</v>
      </c>
      <c r="I56" s="707">
        <f t="shared" si="7"/>
        <v>0</v>
      </c>
      <c r="J56" s="707">
        <f t="shared" si="7"/>
        <v>0</v>
      </c>
      <c r="K56" s="707">
        <f t="shared" si="7"/>
        <v>7.7866142926784052</v>
      </c>
      <c r="L56" s="707">
        <f t="shared" si="7"/>
        <v>0</v>
      </c>
      <c r="M56" s="707">
        <f t="shared" si="7"/>
        <v>0</v>
      </c>
      <c r="N56" s="707">
        <f t="shared" si="7"/>
        <v>0</v>
      </c>
      <c r="O56" s="707">
        <f t="shared" si="7"/>
        <v>0</v>
      </c>
      <c r="P56" s="707">
        <f t="shared" si="7"/>
        <v>0</v>
      </c>
      <c r="Q56" s="708">
        <f t="shared" si="7"/>
        <v>0</v>
      </c>
      <c r="R56" s="709">
        <f ca="1">SUM(R54:R55)</f>
        <v>433.02343993575596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6609.9555500992328</v>
      </c>
      <c r="D61" s="715">
        <f t="shared" ref="D61:Q61" ca="1" si="8">D46+D52+D56</f>
        <v>0</v>
      </c>
      <c r="E61" s="715">
        <f t="shared" ca="1" si="8"/>
        <v>4290.2528715600311</v>
      </c>
      <c r="F61" s="715">
        <f t="shared" si="8"/>
        <v>347.06237122611566</v>
      </c>
      <c r="G61" s="715">
        <f t="shared" ca="1" si="8"/>
        <v>9537.5412029881154</v>
      </c>
      <c r="H61" s="715">
        <f t="shared" si="8"/>
        <v>16364.038973650515</v>
      </c>
      <c r="I61" s="715">
        <f t="shared" si="8"/>
        <v>2625.317005500684</v>
      </c>
      <c r="J61" s="715">
        <f t="shared" si="8"/>
        <v>0</v>
      </c>
      <c r="K61" s="715">
        <f t="shared" si="8"/>
        <v>217.76039715983583</v>
      </c>
      <c r="L61" s="715">
        <f t="shared" si="8"/>
        <v>0</v>
      </c>
      <c r="M61" s="715">
        <f t="shared" ca="1" si="8"/>
        <v>0</v>
      </c>
      <c r="N61" s="715">
        <f t="shared" si="8"/>
        <v>0</v>
      </c>
      <c r="O61" s="715">
        <f t="shared" ca="1" si="8"/>
        <v>0</v>
      </c>
      <c r="P61" s="715">
        <f t="shared" si="8"/>
        <v>0</v>
      </c>
      <c r="Q61" s="715">
        <f t="shared" si="8"/>
        <v>0</v>
      </c>
      <c r="R61" s="715">
        <f ca="1">R46+R52+R56</f>
        <v>39991.928372184528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0.20729666526952742</v>
      </c>
      <c r="D63" s="759">
        <f t="shared" ca="1" si="9"/>
        <v>0</v>
      </c>
      <c r="E63" s="986">
        <f t="shared" ca="1" si="9"/>
        <v>0.20200000000000004</v>
      </c>
      <c r="F63" s="759">
        <f t="shared" si="9"/>
        <v>0.22700000000000009</v>
      </c>
      <c r="G63" s="759">
        <f t="shared" ca="1" si="9"/>
        <v>0.26700000000000007</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1977.1527169956648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1977.1527169956648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14704.410962048974</v>
      </c>
      <c r="C4" s="447">
        <f>huishoudens!C8</f>
        <v>0</v>
      </c>
      <c r="D4" s="447">
        <f>huishoudens!D8</f>
        <v>14410.660484</v>
      </c>
      <c r="E4" s="447">
        <f>huishoudens!E8</f>
        <v>1025.5751784523959</v>
      </c>
      <c r="F4" s="447">
        <f>huishoudens!F8</f>
        <v>31266.809642842149</v>
      </c>
      <c r="G4" s="447">
        <f>huishoudens!G8</f>
        <v>0</v>
      </c>
      <c r="H4" s="447">
        <f>huishoudens!H8</f>
        <v>0</v>
      </c>
      <c r="I4" s="447">
        <f>huishoudens!I8</f>
        <v>0</v>
      </c>
      <c r="J4" s="447">
        <f>huishoudens!J8</f>
        <v>567.32536617980963</v>
      </c>
      <c r="K4" s="447">
        <f>huishoudens!K8</f>
        <v>0</v>
      </c>
      <c r="L4" s="447">
        <f>huishoudens!L8</f>
        <v>0</v>
      </c>
      <c r="M4" s="447">
        <f>huishoudens!M8</f>
        <v>0</v>
      </c>
      <c r="N4" s="447">
        <f>huishoudens!N8</f>
        <v>4425.4585094546019</v>
      </c>
      <c r="O4" s="447">
        <f>huishoudens!O8</f>
        <v>42.21</v>
      </c>
      <c r="P4" s="448">
        <f>huishoudens!P8</f>
        <v>209.73333333333335</v>
      </c>
      <c r="Q4" s="449">
        <f>SUM(B4:P4)</f>
        <v>66652.183476311271</v>
      </c>
    </row>
    <row r="5" spans="1:17">
      <c r="A5" s="446" t="s">
        <v>149</v>
      </c>
      <c r="B5" s="447">
        <f ca="1">tertiair!B16</f>
        <v>11974.254000000001</v>
      </c>
      <c r="C5" s="447">
        <f ca="1">tertiair!C16</f>
        <v>0</v>
      </c>
      <c r="D5" s="447">
        <f ca="1">tertiair!D16</f>
        <v>4138.4616899999992</v>
      </c>
      <c r="E5" s="447">
        <f>tertiair!E16</f>
        <v>161.46577009525447</v>
      </c>
      <c r="F5" s="447">
        <f ca="1">tertiair!F16</f>
        <v>2394.2948144479192</v>
      </c>
      <c r="G5" s="447">
        <f>tertiair!G16</f>
        <v>0</v>
      </c>
      <c r="H5" s="447">
        <f>tertiair!H16</f>
        <v>0</v>
      </c>
      <c r="I5" s="447">
        <f>tertiair!I16</f>
        <v>0</v>
      </c>
      <c r="J5" s="447">
        <f>tertiair!J16</f>
        <v>0</v>
      </c>
      <c r="K5" s="447">
        <f>tertiair!K16</f>
        <v>0</v>
      </c>
      <c r="L5" s="447">
        <f ca="1">tertiair!L16</f>
        <v>0</v>
      </c>
      <c r="M5" s="447">
        <f>tertiair!M16</f>
        <v>0</v>
      </c>
      <c r="N5" s="447">
        <f ca="1">tertiair!N16</f>
        <v>521.70697729360529</v>
      </c>
      <c r="O5" s="447">
        <f>tertiair!O16</f>
        <v>0</v>
      </c>
      <c r="P5" s="448">
        <f>tertiair!P16</f>
        <v>0</v>
      </c>
      <c r="Q5" s="446">
        <f t="shared" ref="Q5:Q14" ca="1" si="0">SUM(B5:P5)</f>
        <v>19190.183251836777</v>
      </c>
    </row>
    <row r="6" spans="1:17">
      <c r="A6" s="446" t="s">
        <v>187</v>
      </c>
      <c r="B6" s="447">
        <f>'openbare verlichting'!B8</f>
        <v>690.57899999999995</v>
      </c>
      <c r="C6" s="447"/>
      <c r="D6" s="447"/>
      <c r="E6" s="447"/>
      <c r="F6" s="447"/>
      <c r="G6" s="447"/>
      <c r="H6" s="447"/>
      <c r="I6" s="447"/>
      <c r="J6" s="447"/>
      <c r="K6" s="447"/>
      <c r="L6" s="447"/>
      <c r="M6" s="447"/>
      <c r="N6" s="447"/>
      <c r="O6" s="447"/>
      <c r="P6" s="448"/>
      <c r="Q6" s="446">
        <f t="shared" si="0"/>
        <v>690.57899999999995</v>
      </c>
    </row>
    <row r="7" spans="1:17">
      <c r="A7" s="446" t="s">
        <v>105</v>
      </c>
      <c r="B7" s="447">
        <f>landbouw!B8</f>
        <v>177.81100000000001</v>
      </c>
      <c r="C7" s="447">
        <f>landbouw!C8</f>
        <v>0</v>
      </c>
      <c r="D7" s="447">
        <f>landbouw!D8</f>
        <v>79.698014000000001</v>
      </c>
      <c r="E7" s="447">
        <f>landbouw!E8</f>
        <v>1.6750987572780718</v>
      </c>
      <c r="F7" s="447">
        <f>landbouw!F8</f>
        <v>580.25630328842396</v>
      </c>
      <c r="G7" s="447">
        <f>landbouw!G8</f>
        <v>0</v>
      </c>
      <c r="H7" s="447">
        <f>landbouw!H8</f>
        <v>0</v>
      </c>
      <c r="I7" s="447">
        <f>landbouw!I8</f>
        <v>0</v>
      </c>
      <c r="J7" s="447">
        <f>landbouw!J8</f>
        <v>21.996085572537869</v>
      </c>
      <c r="K7" s="447">
        <f>landbouw!K8</f>
        <v>0</v>
      </c>
      <c r="L7" s="447">
        <f>landbouw!L8</f>
        <v>0</v>
      </c>
      <c r="M7" s="447">
        <f>landbouw!M8</f>
        <v>0</v>
      </c>
      <c r="N7" s="447">
        <f>landbouw!N8</f>
        <v>0</v>
      </c>
      <c r="O7" s="447">
        <f>landbouw!O8</f>
        <v>0</v>
      </c>
      <c r="P7" s="448">
        <f>landbouw!P8</f>
        <v>0</v>
      </c>
      <c r="Q7" s="446">
        <f t="shared" si="0"/>
        <v>861.43650161823984</v>
      </c>
    </row>
    <row r="8" spans="1:17">
      <c r="A8" s="446" t="s">
        <v>665</v>
      </c>
      <c r="B8" s="447">
        <f>industrie!B18</f>
        <v>3707.7069999999999</v>
      </c>
      <c r="C8" s="447">
        <f>industrie!C18</f>
        <v>0</v>
      </c>
      <c r="D8" s="447">
        <f>industrie!D18</f>
        <v>2169.975676</v>
      </c>
      <c r="E8" s="447">
        <f>industrie!E18</f>
        <v>50.507767865496675</v>
      </c>
      <c r="F8" s="447">
        <f>industrie!F18</f>
        <v>1479.7673405005921</v>
      </c>
      <c r="G8" s="447">
        <f>industrie!G18</f>
        <v>0</v>
      </c>
      <c r="H8" s="447">
        <f>industrie!H18</f>
        <v>0</v>
      </c>
      <c r="I8" s="447">
        <f>industrie!I18</f>
        <v>0</v>
      </c>
      <c r="J8" s="447">
        <f>industrie!J18</f>
        <v>25.820913105945834</v>
      </c>
      <c r="K8" s="447">
        <f>industrie!K18</f>
        <v>0</v>
      </c>
      <c r="L8" s="447">
        <f>industrie!L18</f>
        <v>0</v>
      </c>
      <c r="M8" s="447">
        <f>industrie!M18</f>
        <v>0</v>
      </c>
      <c r="N8" s="447">
        <f>industrie!N18</f>
        <v>98.424597369460116</v>
      </c>
      <c r="O8" s="447">
        <f>industrie!O18</f>
        <v>0</v>
      </c>
      <c r="P8" s="448">
        <f>industrie!P18</f>
        <v>0</v>
      </c>
      <c r="Q8" s="446">
        <f t="shared" si="0"/>
        <v>7532.2032948414962</v>
      </c>
    </row>
    <row r="9" spans="1:17" s="452" customFormat="1">
      <c r="A9" s="450" t="s">
        <v>562</v>
      </c>
      <c r="B9" s="451">
        <f>transport!B14</f>
        <v>3.5267203038204404</v>
      </c>
      <c r="C9" s="451">
        <f>transport!C14</f>
        <v>0</v>
      </c>
      <c r="D9" s="451">
        <f>transport!D14</f>
        <v>4.3217377823303353</v>
      </c>
      <c r="E9" s="451">
        <f>transport!E14</f>
        <v>289.68530917369645</v>
      </c>
      <c r="F9" s="451">
        <f>transport!F14</f>
        <v>0</v>
      </c>
      <c r="G9" s="451">
        <f>transport!G14</f>
        <v>60066.46008047989</v>
      </c>
      <c r="H9" s="451">
        <f>transport!H14</f>
        <v>10543.441789159373</v>
      </c>
      <c r="I9" s="451">
        <f>transport!I14</f>
        <v>0</v>
      </c>
      <c r="J9" s="451">
        <f>transport!J14</f>
        <v>0</v>
      </c>
      <c r="K9" s="451">
        <f>transport!K14</f>
        <v>0</v>
      </c>
      <c r="L9" s="451">
        <f>transport!L14</f>
        <v>0</v>
      </c>
      <c r="M9" s="451">
        <f>transport!M14</f>
        <v>3155.6439286334744</v>
      </c>
      <c r="N9" s="451">
        <f>transport!N14</f>
        <v>0</v>
      </c>
      <c r="O9" s="451">
        <f>transport!O14</f>
        <v>0</v>
      </c>
      <c r="P9" s="451">
        <f>transport!P14</f>
        <v>0</v>
      </c>
      <c r="Q9" s="450">
        <f>SUM(B9:P9)</f>
        <v>74063.079565532593</v>
      </c>
    </row>
    <row r="10" spans="1:17">
      <c r="A10" s="446" t="s">
        <v>552</v>
      </c>
      <c r="B10" s="447">
        <f>transport!B54</f>
        <v>6.1271663136046879</v>
      </c>
      <c r="C10" s="447">
        <f>transport!C54</f>
        <v>0</v>
      </c>
      <c r="D10" s="447">
        <f>transport!D54</f>
        <v>0</v>
      </c>
      <c r="E10" s="447">
        <f>transport!E54</f>
        <v>0</v>
      </c>
      <c r="F10" s="447">
        <f>transport!F54</f>
        <v>0</v>
      </c>
      <c r="G10" s="447">
        <f>transport!G54</f>
        <v>1222.07540135724</v>
      </c>
      <c r="H10" s="447">
        <f>transport!H54</f>
        <v>0</v>
      </c>
      <c r="I10" s="447">
        <f>transport!I54</f>
        <v>0</v>
      </c>
      <c r="J10" s="447">
        <f>transport!J54</f>
        <v>0</v>
      </c>
      <c r="K10" s="447">
        <f>transport!K54</f>
        <v>0</v>
      </c>
      <c r="L10" s="447">
        <f>transport!L54</f>
        <v>0</v>
      </c>
      <c r="M10" s="447">
        <f>transport!M54</f>
        <v>54.014431156625001</v>
      </c>
      <c r="N10" s="447">
        <f>transport!N54</f>
        <v>0</v>
      </c>
      <c r="O10" s="447">
        <f>transport!O54</f>
        <v>0</v>
      </c>
      <c r="P10" s="448">
        <f>transport!P54</f>
        <v>0</v>
      </c>
      <c r="Q10" s="446">
        <f t="shared" si="0"/>
        <v>1282.2169988274698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622.03800000000001</v>
      </c>
      <c r="C14" s="454"/>
      <c r="D14" s="454">
        <f>'SEAP template'!E25</f>
        <v>435.75799999999998</v>
      </c>
      <c r="E14" s="454"/>
      <c r="F14" s="454"/>
      <c r="G14" s="454"/>
      <c r="H14" s="454"/>
      <c r="I14" s="454"/>
      <c r="J14" s="454"/>
      <c r="K14" s="454"/>
      <c r="L14" s="454"/>
      <c r="M14" s="454"/>
      <c r="N14" s="454"/>
      <c r="O14" s="454"/>
      <c r="P14" s="455"/>
      <c r="Q14" s="446">
        <f t="shared" si="0"/>
        <v>1057.796</v>
      </c>
    </row>
    <row r="15" spans="1:17" s="459" customFormat="1">
      <c r="A15" s="456" t="s">
        <v>556</v>
      </c>
      <c r="B15" s="457">
        <f ca="1">SUM(B4:B14)</f>
        <v>31886.453848666402</v>
      </c>
      <c r="C15" s="457">
        <f t="shared" ref="C15:Q15" ca="1" si="1">SUM(C4:C14)</f>
        <v>0</v>
      </c>
      <c r="D15" s="457">
        <f t="shared" ca="1" si="1"/>
        <v>21238.875601782333</v>
      </c>
      <c r="E15" s="457">
        <f t="shared" si="1"/>
        <v>1528.9091243441212</v>
      </c>
      <c r="F15" s="457">
        <f t="shared" ca="1" si="1"/>
        <v>35721.128101079077</v>
      </c>
      <c r="G15" s="457">
        <f t="shared" si="1"/>
        <v>61288.535481837127</v>
      </c>
      <c r="H15" s="457">
        <f t="shared" si="1"/>
        <v>10543.441789159373</v>
      </c>
      <c r="I15" s="457">
        <f t="shared" si="1"/>
        <v>0</v>
      </c>
      <c r="J15" s="457">
        <f t="shared" si="1"/>
        <v>615.14236485829326</v>
      </c>
      <c r="K15" s="457">
        <f t="shared" si="1"/>
        <v>0</v>
      </c>
      <c r="L15" s="457">
        <f t="shared" ca="1" si="1"/>
        <v>0</v>
      </c>
      <c r="M15" s="457">
        <f t="shared" si="1"/>
        <v>3209.6583597900994</v>
      </c>
      <c r="N15" s="457">
        <f t="shared" ca="1" si="1"/>
        <v>5045.5900841176681</v>
      </c>
      <c r="O15" s="457">
        <f t="shared" si="1"/>
        <v>42.21</v>
      </c>
      <c r="P15" s="457">
        <f t="shared" si="1"/>
        <v>209.73333333333335</v>
      </c>
      <c r="Q15" s="457">
        <f t="shared" ca="1" si="1"/>
        <v>171329.67808896783</v>
      </c>
    </row>
    <row r="17" spans="1:17">
      <c r="A17" s="460" t="s">
        <v>557</v>
      </c>
      <c r="B17" s="764">
        <f ca="1">huishoudens!B10</f>
        <v>0.20729666526952739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3048.1753571854356</v>
      </c>
      <c r="C22" s="447">
        <f t="shared" ref="C22:C32" ca="1" si="3">C4*$C$17</f>
        <v>0</v>
      </c>
      <c r="D22" s="447">
        <f t="shared" ref="D22:D32" si="4">D4*$D$17</f>
        <v>2910.9534177680002</v>
      </c>
      <c r="E22" s="447">
        <f t="shared" ref="E22:E32" si="5">E4*$E$17</f>
        <v>232.80556550869389</v>
      </c>
      <c r="F22" s="447">
        <f t="shared" ref="F22:F32" si="6">F4*$F$17</f>
        <v>8348.2381746388546</v>
      </c>
      <c r="G22" s="447">
        <f t="shared" ref="G22:G32" si="7">G4*$G$17</f>
        <v>0</v>
      </c>
      <c r="H22" s="447">
        <f t="shared" ref="H22:H32" si="8">H4*$H$17</f>
        <v>0</v>
      </c>
      <c r="I22" s="447">
        <f t="shared" ref="I22:I32" si="9">I4*$I$17</f>
        <v>0</v>
      </c>
      <c r="J22" s="447">
        <f t="shared" ref="J22:J32" si="10">J4*$J$17</f>
        <v>200.83317962765261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14741.005694728638</v>
      </c>
    </row>
    <row r="23" spans="1:17">
      <c r="A23" s="446" t="s">
        <v>149</v>
      </c>
      <c r="B23" s="447">
        <f t="shared" ca="1" si="2"/>
        <v>2482.2229232902996</v>
      </c>
      <c r="C23" s="447">
        <f t="shared" ca="1" si="3"/>
        <v>0</v>
      </c>
      <c r="D23" s="447">
        <f t="shared" ca="1" si="4"/>
        <v>835.96926137999992</v>
      </c>
      <c r="E23" s="447">
        <f t="shared" si="5"/>
        <v>36.652729811622763</v>
      </c>
      <c r="F23" s="447">
        <f t="shared" ca="1" si="6"/>
        <v>639.27671545759449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3994.1216299395169</v>
      </c>
    </row>
    <row r="24" spans="1:17">
      <c r="A24" s="446" t="s">
        <v>187</v>
      </c>
      <c r="B24" s="447">
        <f t="shared" ca="1" si="2"/>
        <v>143.15472380516493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143.15472380516493</v>
      </c>
    </row>
    <row r="25" spans="1:17">
      <c r="A25" s="446" t="s">
        <v>105</v>
      </c>
      <c r="B25" s="447">
        <f t="shared" ca="1" si="2"/>
        <v>36.85962734823994</v>
      </c>
      <c r="C25" s="447">
        <f t="shared" ca="1" si="3"/>
        <v>0</v>
      </c>
      <c r="D25" s="447">
        <f t="shared" si="4"/>
        <v>16.098998828000003</v>
      </c>
      <c r="E25" s="447">
        <f t="shared" si="5"/>
        <v>0.3802474179021223</v>
      </c>
      <c r="F25" s="447">
        <f t="shared" si="6"/>
        <v>154.9284329780092</v>
      </c>
      <c r="G25" s="447">
        <f t="shared" si="7"/>
        <v>0</v>
      </c>
      <c r="H25" s="447">
        <f t="shared" si="8"/>
        <v>0</v>
      </c>
      <c r="I25" s="447">
        <f t="shared" si="9"/>
        <v>0</v>
      </c>
      <c r="J25" s="447">
        <f t="shared" si="10"/>
        <v>7.7866142926784052</v>
      </c>
      <c r="K25" s="447">
        <f t="shared" si="11"/>
        <v>0</v>
      </c>
      <c r="L25" s="447">
        <f t="shared" si="12"/>
        <v>0</v>
      </c>
      <c r="M25" s="447">
        <f t="shared" si="13"/>
        <v>0</v>
      </c>
      <c r="N25" s="447">
        <f t="shared" si="14"/>
        <v>0</v>
      </c>
      <c r="O25" s="447">
        <f t="shared" si="15"/>
        <v>0</v>
      </c>
      <c r="P25" s="448">
        <f t="shared" si="16"/>
        <v>0</v>
      </c>
      <c r="Q25" s="446">
        <f t="shared" ca="1" si="17"/>
        <v>216.05392086482965</v>
      </c>
    </row>
    <row r="26" spans="1:17">
      <c r="A26" s="446" t="s">
        <v>665</v>
      </c>
      <c r="B26" s="447">
        <f t="shared" ca="1" si="2"/>
        <v>768.59529689648355</v>
      </c>
      <c r="C26" s="447">
        <f t="shared" ca="1" si="3"/>
        <v>0</v>
      </c>
      <c r="D26" s="447">
        <f t="shared" si="4"/>
        <v>438.33508655200001</v>
      </c>
      <c r="E26" s="447">
        <f t="shared" si="5"/>
        <v>11.465263305467746</v>
      </c>
      <c r="F26" s="447">
        <f t="shared" si="6"/>
        <v>395.09787991365812</v>
      </c>
      <c r="G26" s="447">
        <f t="shared" si="7"/>
        <v>0</v>
      </c>
      <c r="H26" s="447">
        <f t="shared" si="8"/>
        <v>0</v>
      </c>
      <c r="I26" s="447">
        <f t="shared" si="9"/>
        <v>0</v>
      </c>
      <c r="J26" s="447">
        <f t="shared" si="10"/>
        <v>9.1406032395048253</v>
      </c>
      <c r="K26" s="447">
        <f t="shared" si="11"/>
        <v>0</v>
      </c>
      <c r="L26" s="447">
        <f t="shared" si="12"/>
        <v>0</v>
      </c>
      <c r="M26" s="447">
        <f t="shared" si="13"/>
        <v>0</v>
      </c>
      <c r="N26" s="447">
        <f t="shared" si="14"/>
        <v>0</v>
      </c>
      <c r="O26" s="447">
        <f t="shared" si="15"/>
        <v>0</v>
      </c>
      <c r="P26" s="448">
        <f t="shared" si="16"/>
        <v>0</v>
      </c>
      <c r="Q26" s="446">
        <f t="shared" ca="1" si="17"/>
        <v>1622.6341299071141</v>
      </c>
    </row>
    <row r="27" spans="1:17" s="452" customFormat="1">
      <c r="A27" s="450" t="s">
        <v>562</v>
      </c>
      <c r="B27" s="758">
        <f t="shared" ca="1" si="2"/>
        <v>0.73107735832031173</v>
      </c>
      <c r="C27" s="451">
        <f t="shared" ca="1" si="3"/>
        <v>0</v>
      </c>
      <c r="D27" s="451">
        <f t="shared" si="4"/>
        <v>0.87299103203072781</v>
      </c>
      <c r="E27" s="451">
        <f t="shared" si="5"/>
        <v>65.758565182429095</v>
      </c>
      <c r="F27" s="451">
        <f t="shared" si="6"/>
        <v>0</v>
      </c>
      <c r="G27" s="451">
        <f t="shared" si="7"/>
        <v>16037.744841488131</v>
      </c>
      <c r="H27" s="451">
        <f t="shared" si="8"/>
        <v>2625.317005500684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18730.424480561596</v>
      </c>
    </row>
    <row r="28" spans="1:17">
      <c r="A28" s="446" t="s">
        <v>552</v>
      </c>
      <c r="B28" s="447">
        <f t="shared" ca="1" si="2"/>
        <v>1.2701411443620352</v>
      </c>
      <c r="C28" s="447">
        <f t="shared" ca="1" si="3"/>
        <v>0</v>
      </c>
      <c r="D28" s="447">
        <f t="shared" si="4"/>
        <v>0</v>
      </c>
      <c r="E28" s="447">
        <f t="shared" si="5"/>
        <v>0</v>
      </c>
      <c r="F28" s="447">
        <f t="shared" si="6"/>
        <v>0</v>
      </c>
      <c r="G28" s="447">
        <f t="shared" si="7"/>
        <v>326.29413216238311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327.56427330674512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128.94640307092629</v>
      </c>
      <c r="C32" s="447">
        <f t="shared" ca="1" si="3"/>
        <v>0</v>
      </c>
      <c r="D32" s="447">
        <f t="shared" si="4"/>
        <v>88.023116000000002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216.96951907092631</v>
      </c>
    </row>
    <row r="33" spans="1:17" s="459" customFormat="1">
      <c r="A33" s="456" t="s">
        <v>556</v>
      </c>
      <c r="B33" s="457">
        <f ca="1">SUM(B22:B32)</f>
        <v>6609.9555500992328</v>
      </c>
      <c r="C33" s="457">
        <f t="shared" ref="C33:Q33" ca="1" si="18">SUM(C22:C32)</f>
        <v>0</v>
      </c>
      <c r="D33" s="457">
        <f t="shared" ca="1" si="18"/>
        <v>4290.2528715600311</v>
      </c>
      <c r="E33" s="457">
        <f t="shared" si="18"/>
        <v>347.06237122611566</v>
      </c>
      <c r="F33" s="457">
        <f t="shared" ca="1" si="18"/>
        <v>9537.5412029881154</v>
      </c>
      <c r="G33" s="457">
        <f t="shared" si="18"/>
        <v>16364.038973650515</v>
      </c>
      <c r="H33" s="457">
        <f t="shared" si="18"/>
        <v>2625.317005500684</v>
      </c>
      <c r="I33" s="457">
        <f t="shared" si="18"/>
        <v>0</v>
      </c>
      <c r="J33" s="457">
        <f t="shared" si="18"/>
        <v>217.76039715983583</v>
      </c>
      <c r="K33" s="457">
        <f t="shared" si="18"/>
        <v>0</v>
      </c>
      <c r="L33" s="457">
        <f t="shared" ca="1" si="18"/>
        <v>0</v>
      </c>
      <c r="M33" s="457">
        <f t="shared" si="18"/>
        <v>0</v>
      </c>
      <c r="N33" s="457">
        <f t="shared" ca="1" si="18"/>
        <v>0</v>
      </c>
      <c r="O33" s="457">
        <f t="shared" si="18"/>
        <v>0</v>
      </c>
      <c r="P33" s="457">
        <f t="shared" si="18"/>
        <v>0</v>
      </c>
      <c r="Q33" s="457">
        <f t="shared" ca="1" si="18"/>
        <v>39991.928372184528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1977.1527169956648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1977.1527169956648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0.20729666526952739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0.20729666526952739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0.20729666526952739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0.20729666526952739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2834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292</v>
      </c>
      <c r="C14" s="327"/>
      <c r="D14" s="327"/>
      <c r="E14" s="327"/>
      <c r="F14" s="327"/>
    </row>
    <row r="15" spans="1:6">
      <c r="A15" s="1293" t="s">
        <v>177</v>
      </c>
      <c r="B15" s="1294">
        <v>2</v>
      </c>
      <c r="C15" s="327"/>
      <c r="D15" s="327"/>
      <c r="E15" s="327"/>
      <c r="F15" s="327"/>
    </row>
    <row r="16" spans="1:6">
      <c r="A16" s="1293" t="s">
        <v>6</v>
      </c>
      <c r="B16" s="1294">
        <v>51</v>
      </c>
      <c r="C16" s="327"/>
      <c r="D16" s="327"/>
      <c r="E16" s="327"/>
      <c r="F16" s="327"/>
    </row>
    <row r="17" spans="1:6">
      <c r="A17" s="1293" t="s">
        <v>7</v>
      </c>
      <c r="B17" s="1294">
        <v>90</v>
      </c>
      <c r="C17" s="327"/>
      <c r="D17" s="327"/>
      <c r="E17" s="327"/>
      <c r="F17" s="327"/>
    </row>
    <row r="18" spans="1:6">
      <c r="A18" s="1293" t="s">
        <v>8</v>
      </c>
      <c r="B18" s="1294">
        <v>89</v>
      </c>
      <c r="C18" s="327"/>
      <c r="D18" s="327"/>
      <c r="E18" s="327"/>
      <c r="F18" s="327"/>
    </row>
    <row r="19" spans="1:6">
      <c r="A19" s="1293" t="s">
        <v>9</v>
      </c>
      <c r="B19" s="1294">
        <v>43</v>
      </c>
      <c r="C19" s="327"/>
      <c r="D19" s="327"/>
      <c r="E19" s="327"/>
      <c r="F19" s="327"/>
    </row>
    <row r="20" spans="1:6">
      <c r="A20" s="1293" t="s">
        <v>10</v>
      </c>
      <c r="B20" s="1294">
        <v>56</v>
      </c>
      <c r="C20" s="327"/>
      <c r="D20" s="327"/>
      <c r="E20" s="327"/>
      <c r="F20" s="327"/>
    </row>
    <row r="21" spans="1:6">
      <c r="A21" s="1293" t="s">
        <v>11</v>
      </c>
      <c r="B21" s="1294">
        <v>0</v>
      </c>
      <c r="C21" s="327"/>
      <c r="D21" s="327"/>
      <c r="E21" s="327"/>
      <c r="F21" s="327"/>
    </row>
    <row r="22" spans="1:6">
      <c r="A22" s="1293" t="s">
        <v>12</v>
      </c>
      <c r="B22" s="1294">
        <v>135</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33</v>
      </c>
      <c r="C26" s="327"/>
      <c r="D26" s="327"/>
      <c r="E26" s="327"/>
      <c r="F26" s="327"/>
    </row>
    <row r="27" spans="1:6">
      <c r="A27" s="1293" t="s">
        <v>17</v>
      </c>
      <c r="B27" s="1294">
        <v>0</v>
      </c>
      <c r="C27" s="327"/>
      <c r="D27" s="327"/>
      <c r="E27" s="327"/>
      <c r="F27" s="327"/>
    </row>
    <row r="28" spans="1:6">
      <c r="A28" s="1293" t="s">
        <v>18</v>
      </c>
      <c r="B28" s="1295">
        <v>71069</v>
      </c>
      <c r="C28" s="327"/>
      <c r="D28" s="327"/>
      <c r="E28" s="327"/>
      <c r="F28" s="327"/>
    </row>
    <row r="29" spans="1:6">
      <c r="A29" s="1293" t="s">
        <v>955</v>
      </c>
      <c r="B29" s="1295">
        <v>135</v>
      </c>
      <c r="C29" s="327"/>
      <c r="D29" s="327"/>
      <c r="E29" s="327"/>
      <c r="F29" s="327"/>
    </row>
    <row r="30" spans="1:6">
      <c r="A30" s="1288" t="s">
        <v>956</v>
      </c>
      <c r="B30" s="1296">
        <v>13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6</v>
      </c>
      <c r="F36" s="1294">
        <v>5778</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896</v>
      </c>
      <c r="D39" s="1294">
        <v>15976342</v>
      </c>
      <c r="E39" s="1294">
        <v>2882</v>
      </c>
      <c r="F39" s="1294">
        <v>12932597</v>
      </c>
    </row>
    <row r="40" spans="1:6">
      <c r="A40" s="1293" t="s">
        <v>29</v>
      </c>
      <c r="B40" s="1293" t="s">
        <v>28</v>
      </c>
      <c r="C40" s="1294">
        <v>0</v>
      </c>
      <c r="D40" s="1294">
        <v>0</v>
      </c>
      <c r="E40" s="1294">
        <v>0</v>
      </c>
      <c r="F40" s="1294">
        <v>0</v>
      </c>
    </row>
    <row r="41" spans="1:6">
      <c r="A41" s="1293" t="s">
        <v>31</v>
      </c>
      <c r="B41" s="1293" t="s">
        <v>32</v>
      </c>
      <c r="C41" s="1294">
        <v>8</v>
      </c>
      <c r="D41" s="1294">
        <v>241914</v>
      </c>
      <c r="E41" s="1294">
        <v>56</v>
      </c>
      <c r="F41" s="1294">
        <v>1220034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1054702</v>
      </c>
    </row>
    <row r="45" spans="1:6">
      <c r="A45" s="1293" t="s">
        <v>31</v>
      </c>
      <c r="B45" s="1293" t="s">
        <v>36</v>
      </c>
      <c r="C45" s="1294">
        <v>0</v>
      </c>
      <c r="D45" s="1294">
        <v>0</v>
      </c>
      <c r="E45" s="1294">
        <v>3</v>
      </c>
      <c r="F45" s="1294">
        <v>1273326</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4</v>
      </c>
      <c r="D48" s="1294">
        <v>2163824</v>
      </c>
      <c r="E48" s="1294">
        <v>0</v>
      </c>
      <c r="F48" s="1294">
        <v>0</v>
      </c>
    </row>
    <row r="49" spans="1:6">
      <c r="A49" s="1293" t="s">
        <v>31</v>
      </c>
      <c r="B49" s="1293" t="s">
        <v>39</v>
      </c>
      <c r="C49" s="1294">
        <v>0</v>
      </c>
      <c r="D49" s="1294">
        <v>0</v>
      </c>
      <c r="E49" s="1294">
        <v>0</v>
      </c>
      <c r="F49" s="1294">
        <v>0</v>
      </c>
    </row>
    <row r="50" spans="1:6">
      <c r="A50" s="1293" t="s">
        <v>31</v>
      </c>
      <c r="B50" s="1293" t="s">
        <v>40</v>
      </c>
      <c r="C50" s="1294">
        <v>0</v>
      </c>
      <c r="D50" s="1294">
        <v>0</v>
      </c>
      <c r="E50" s="1294">
        <v>7</v>
      </c>
      <c r="F50" s="1294">
        <v>159645</v>
      </c>
    </row>
    <row r="51" spans="1:6">
      <c r="A51" s="1293" t="s">
        <v>41</v>
      </c>
      <c r="B51" s="1293" t="s">
        <v>42</v>
      </c>
      <c r="C51" s="1294">
        <v>0</v>
      </c>
      <c r="D51" s="1294">
        <v>0</v>
      </c>
      <c r="E51" s="1294">
        <v>9</v>
      </c>
      <c r="F51" s="1294">
        <v>177811</v>
      </c>
    </row>
    <row r="52" spans="1:6">
      <c r="A52" s="1293" t="s">
        <v>41</v>
      </c>
      <c r="B52" s="1293" t="s">
        <v>28</v>
      </c>
      <c r="C52" s="1294">
        <v>1</v>
      </c>
      <c r="D52" s="1294">
        <v>88357</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32</v>
      </c>
      <c r="F54" s="1294">
        <v>690579</v>
      </c>
    </row>
    <row r="55" spans="1:6">
      <c r="A55" s="1293" t="s">
        <v>45</v>
      </c>
      <c r="B55" s="1293" t="s">
        <v>28</v>
      </c>
      <c r="C55" s="1294">
        <v>0</v>
      </c>
      <c r="D55" s="1294">
        <v>0</v>
      </c>
      <c r="E55" s="1294">
        <v>0</v>
      </c>
      <c r="F55" s="1294">
        <v>0</v>
      </c>
    </row>
    <row r="56" spans="1:6">
      <c r="A56" s="1293" t="s">
        <v>47</v>
      </c>
      <c r="B56" s="1293" t="s">
        <v>28</v>
      </c>
      <c r="C56" s="1294">
        <v>16</v>
      </c>
      <c r="D56" s="1294">
        <v>435758</v>
      </c>
      <c r="E56" s="1294">
        <v>72</v>
      </c>
      <c r="F56" s="1294">
        <v>622038</v>
      </c>
    </row>
    <row r="57" spans="1:6">
      <c r="A57" s="1293" t="s">
        <v>48</v>
      </c>
      <c r="B57" s="1293" t="s">
        <v>49</v>
      </c>
      <c r="C57" s="1294">
        <v>11</v>
      </c>
      <c r="D57" s="1294">
        <v>421338</v>
      </c>
      <c r="E57" s="1294">
        <v>25</v>
      </c>
      <c r="F57" s="1294">
        <v>848163</v>
      </c>
    </row>
    <row r="58" spans="1:6">
      <c r="A58" s="1293" t="s">
        <v>48</v>
      </c>
      <c r="B58" s="1293" t="s">
        <v>50</v>
      </c>
      <c r="C58" s="1294">
        <v>5</v>
      </c>
      <c r="D58" s="1294">
        <v>632290</v>
      </c>
      <c r="E58" s="1294">
        <v>11</v>
      </c>
      <c r="F58" s="1294">
        <v>236370</v>
      </c>
    </row>
    <row r="59" spans="1:6">
      <c r="A59" s="1293" t="s">
        <v>48</v>
      </c>
      <c r="B59" s="1293" t="s">
        <v>51</v>
      </c>
      <c r="C59" s="1294">
        <v>12</v>
      </c>
      <c r="D59" s="1294">
        <v>463741</v>
      </c>
      <c r="E59" s="1294">
        <v>65</v>
      </c>
      <c r="F59" s="1294">
        <v>5904662</v>
      </c>
    </row>
    <row r="60" spans="1:6">
      <c r="A60" s="1293" t="s">
        <v>48</v>
      </c>
      <c r="B60" s="1293" t="s">
        <v>52</v>
      </c>
      <c r="C60" s="1294">
        <v>12</v>
      </c>
      <c r="D60" s="1294">
        <v>1952421</v>
      </c>
      <c r="E60" s="1294">
        <v>36</v>
      </c>
      <c r="F60" s="1294">
        <v>2276457</v>
      </c>
    </row>
    <row r="61" spans="1:6">
      <c r="A61" s="1293" t="s">
        <v>48</v>
      </c>
      <c r="B61" s="1293" t="s">
        <v>53</v>
      </c>
      <c r="C61" s="1294">
        <v>29</v>
      </c>
      <c r="D61" s="1294">
        <v>852885</v>
      </c>
      <c r="E61" s="1294">
        <v>118</v>
      </c>
      <c r="F61" s="1294">
        <v>2628944</v>
      </c>
    </row>
    <row r="62" spans="1:6">
      <c r="A62" s="1293" t="s">
        <v>48</v>
      </c>
      <c r="B62" s="1293" t="s">
        <v>54</v>
      </c>
      <c r="C62" s="1294">
        <v>3</v>
      </c>
      <c r="D62" s="1294">
        <v>265420</v>
      </c>
      <c r="E62" s="1294">
        <v>6</v>
      </c>
      <c r="F62" s="1294">
        <v>79658</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8381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55575151</v>
      </c>
      <c r="E73" s="445"/>
      <c r="F73" s="327"/>
    </row>
    <row r="74" spans="1:6">
      <c r="A74" s="1293" t="s">
        <v>63</v>
      </c>
      <c r="B74" s="1293" t="s">
        <v>749</v>
      </c>
      <c r="C74" s="1306" t="s">
        <v>743</v>
      </c>
      <c r="D74" s="1294">
        <v>2369128.9903150266</v>
      </c>
      <c r="E74" s="445"/>
      <c r="F74" s="327"/>
    </row>
    <row r="75" spans="1:6">
      <c r="A75" s="1293" t="s">
        <v>64</v>
      </c>
      <c r="B75" s="1293" t="s">
        <v>748</v>
      </c>
      <c r="C75" s="1306" t="s">
        <v>744</v>
      </c>
      <c r="D75" s="1294">
        <v>12300845</v>
      </c>
      <c r="E75" s="445"/>
      <c r="F75" s="327"/>
    </row>
    <row r="76" spans="1:6">
      <c r="A76" s="1293" t="s">
        <v>64</v>
      </c>
      <c r="B76" s="1293" t="s">
        <v>749</v>
      </c>
      <c r="C76" s="1306" t="s">
        <v>745</v>
      </c>
      <c r="D76" s="1294">
        <v>17660.5</v>
      </c>
      <c r="E76" s="445"/>
      <c r="F76" s="327"/>
    </row>
    <row r="77" spans="1:6">
      <c r="A77" s="1293" t="s">
        <v>65</v>
      </c>
      <c r="B77" s="1293" t="s">
        <v>748</v>
      </c>
      <c r="C77" s="1306" t="s">
        <v>746</v>
      </c>
      <c r="D77" s="1294">
        <v>18838995</v>
      </c>
      <c r="E77" s="445"/>
      <c r="F77" s="327"/>
    </row>
    <row r="78" spans="1:6">
      <c r="A78" s="1288" t="s">
        <v>65</v>
      </c>
      <c r="B78" s="1288" t="s">
        <v>749</v>
      </c>
      <c r="C78" s="1288" t="s">
        <v>747</v>
      </c>
      <c r="D78" s="1296">
        <v>3834979</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337564.01936994656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1771.8139620489749</v>
      </c>
      <c r="C91" s="327"/>
      <c r="D91" s="327"/>
      <c r="E91" s="327"/>
      <c r="F91" s="327"/>
    </row>
    <row r="92" spans="1:6">
      <c r="A92" s="1288" t="s">
        <v>68</v>
      </c>
      <c r="B92" s="1289">
        <v>205.33875494668999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187</v>
      </c>
      <c r="C97" s="327"/>
      <c r="D97" s="327"/>
      <c r="E97" s="327"/>
      <c r="F97" s="327"/>
    </row>
    <row r="98" spans="1:6">
      <c r="A98" s="1293" t="s">
        <v>71</v>
      </c>
      <c r="B98" s="1294">
        <v>0</v>
      </c>
      <c r="C98" s="327"/>
      <c r="D98" s="327"/>
      <c r="E98" s="327"/>
      <c r="F98" s="327"/>
    </row>
    <row r="99" spans="1:6">
      <c r="A99" s="1293" t="s">
        <v>72</v>
      </c>
      <c r="B99" s="1294">
        <v>15</v>
      </c>
      <c r="C99" s="327"/>
      <c r="D99" s="327"/>
      <c r="E99" s="327"/>
      <c r="F99" s="327"/>
    </row>
    <row r="100" spans="1:6">
      <c r="A100" s="1293" t="s">
        <v>73</v>
      </c>
      <c r="B100" s="1294">
        <v>203</v>
      </c>
      <c r="C100" s="327"/>
      <c r="D100" s="327"/>
      <c r="E100" s="327"/>
      <c r="F100" s="327"/>
    </row>
    <row r="101" spans="1:6">
      <c r="A101" s="1293" t="s">
        <v>74</v>
      </c>
      <c r="B101" s="1294">
        <v>34</v>
      </c>
      <c r="C101" s="327"/>
      <c r="D101" s="327"/>
      <c r="E101" s="327"/>
      <c r="F101" s="327"/>
    </row>
    <row r="102" spans="1:6">
      <c r="A102" s="1293" t="s">
        <v>75</v>
      </c>
      <c r="B102" s="1294">
        <v>17</v>
      </c>
      <c r="C102" s="327"/>
      <c r="D102" s="327"/>
      <c r="E102" s="327"/>
      <c r="F102" s="327"/>
    </row>
    <row r="103" spans="1:6">
      <c r="A103" s="1293" t="s">
        <v>76</v>
      </c>
      <c r="B103" s="1294">
        <v>57</v>
      </c>
      <c r="C103" s="327"/>
      <c r="D103" s="327"/>
      <c r="E103" s="327"/>
      <c r="F103" s="327"/>
    </row>
    <row r="104" spans="1:6">
      <c r="A104" s="1293" t="s">
        <v>77</v>
      </c>
      <c r="B104" s="1294">
        <v>1941</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v>
      </c>
      <c r="C123" s="1294">
        <v>1</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26</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6</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31886.453848666399</v>
      </c>
      <c r="C3" s="44" t="s">
        <v>163</v>
      </c>
      <c r="D3" s="44"/>
      <c r="E3" s="157"/>
      <c r="F3" s="44"/>
      <c r="G3" s="44"/>
      <c r="H3" s="44"/>
      <c r="I3" s="44"/>
      <c r="J3" s="44"/>
      <c r="K3" s="97"/>
    </row>
    <row r="4" spans="1:11">
      <c r="A4" s="352" t="s">
        <v>164</v>
      </c>
      <c r="B4" s="50">
        <f>IF(ISERROR('SEAP template'!B78+'SEAP template'!C78),0,'SEAP template'!B78+'SEAP template'!C78)</f>
        <v>1977.1527169956648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0.20729666526952739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690.57899999999995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690.57899999999995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0.20729666526952739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143.15472380516493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12932.597</v>
      </c>
      <c r="C5" s="18">
        <f>IF(ISERROR('Eigen informatie GS &amp; warmtenet'!B57),0,'Eigen informatie GS &amp; warmtenet'!B57)</f>
        <v>0</v>
      </c>
      <c r="D5" s="31">
        <f>(SUM(HH_hh_gas_kWh,HH_rest_gas_kWh)/1000)*0.902</f>
        <v>14410.660484</v>
      </c>
      <c r="E5" s="18">
        <f>B32*B41</f>
        <v>1025.5751784523959</v>
      </c>
      <c r="F5" s="18">
        <f>B36*B45</f>
        <v>31266.809642842149</v>
      </c>
      <c r="G5" s="19"/>
      <c r="H5" s="18"/>
      <c r="I5" s="18"/>
      <c r="J5" s="18">
        <f>B35*B44+C35*C44</f>
        <v>567.32536617980963</v>
      </c>
      <c r="K5" s="18"/>
      <c r="L5" s="18"/>
      <c r="M5" s="18"/>
      <c r="N5" s="18">
        <f>B34*B43+C34*C43</f>
        <v>4425.4585094546019</v>
      </c>
      <c r="O5" s="18">
        <f>B52*B53*B54</f>
        <v>42.21</v>
      </c>
      <c r="P5" s="18">
        <f>B60*B61*B62/1000-B60*B61*B62/1000/B63</f>
        <v>209.73333333333335</v>
      </c>
    </row>
    <row r="6" spans="1:16">
      <c r="A6" s="17" t="s">
        <v>622</v>
      </c>
      <c r="B6" s="766">
        <f>kWh_PV_kleiner_dan_10kW</f>
        <v>1771.8139620489749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14704.410962048974</v>
      </c>
      <c r="C8" s="22">
        <f>C5</f>
        <v>0</v>
      </c>
      <c r="D8" s="22">
        <f>D5</f>
        <v>14410.660484</v>
      </c>
      <c r="E8" s="22">
        <f>E5</f>
        <v>1025.5751784523959</v>
      </c>
      <c r="F8" s="22">
        <f>F5</f>
        <v>31266.809642842149</v>
      </c>
      <c r="G8" s="22"/>
      <c r="H8" s="22"/>
      <c r="I8" s="22"/>
      <c r="J8" s="22">
        <f>J5</f>
        <v>567.32536617980963</v>
      </c>
      <c r="K8" s="22"/>
      <c r="L8" s="22">
        <f>L5</f>
        <v>0</v>
      </c>
      <c r="M8" s="22">
        <f>M5</f>
        <v>0</v>
      </c>
      <c r="N8" s="22">
        <f>N5</f>
        <v>4425.4585094546019</v>
      </c>
      <c r="O8" s="22">
        <f>O5</f>
        <v>42.21</v>
      </c>
      <c r="P8" s="22">
        <f>P5</f>
        <v>209.73333333333335</v>
      </c>
    </row>
    <row r="9" spans="1:16">
      <c r="B9" s="20"/>
      <c r="C9" s="20"/>
      <c r="D9" s="258"/>
      <c r="E9" s="20"/>
      <c r="F9" s="20"/>
      <c r="G9" s="20"/>
      <c r="H9" s="20"/>
      <c r="I9" s="20"/>
      <c r="J9" s="20"/>
      <c r="K9" s="20"/>
      <c r="L9" s="20"/>
      <c r="M9" s="20"/>
      <c r="N9" s="20"/>
      <c r="O9" s="20"/>
      <c r="P9" s="20"/>
    </row>
    <row r="10" spans="1:16">
      <c r="A10" s="25" t="s">
        <v>207</v>
      </c>
      <c r="B10" s="26">
        <f ca="1">'EF ele_warmte'!B12</f>
        <v>0.20729666526952739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3048.1753571854356</v>
      </c>
      <c r="C12" s="24">
        <f ca="1">C10*C8</f>
        <v>0</v>
      </c>
      <c r="D12" s="24">
        <f>D8*D10</f>
        <v>2910.9534177680002</v>
      </c>
      <c r="E12" s="24">
        <f>E10*E8</f>
        <v>232.80556550869389</v>
      </c>
      <c r="F12" s="24">
        <f>F10*F8</f>
        <v>8348.2381746388546</v>
      </c>
      <c r="G12" s="24"/>
      <c r="H12" s="24"/>
      <c r="I12" s="24"/>
      <c r="J12" s="24">
        <f>J10*J8</f>
        <v>200.83317962765261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2834</v>
      </c>
      <c r="C26" s="37"/>
      <c r="D26" s="228"/>
    </row>
    <row r="27" spans="1:5" s="16" customFormat="1">
      <c r="A27" s="230" t="s">
        <v>648</v>
      </c>
      <c r="B27" s="38">
        <f>SUM(HH_hh_gas_aantal,HH_rest_gas_aantal)</f>
        <v>896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851.2</v>
      </c>
      <c r="C31" s="35" t="s">
        <v>104</v>
      </c>
      <c r="D31" s="174"/>
    </row>
    <row r="32" spans="1:5">
      <c r="A32" s="171" t="s">
        <v>72</v>
      </c>
      <c r="B32" s="34">
        <f>IF((B21*($B$26-($B$27-0.05*$B$27)-$B$60))&lt;0,0,B21*($B$26-($B$27-0.05*$B$27)-$B$60))</f>
        <v>48.457636814709502</v>
      </c>
      <c r="C32" s="35" t="s">
        <v>104</v>
      </c>
      <c r="D32" s="174"/>
    </row>
    <row r="33" spans="1:6">
      <c r="A33" s="171" t="s">
        <v>73</v>
      </c>
      <c r="B33" s="34">
        <f>IF((B22*($B$26-($B$27-0.05*$B$27)-$B$60))&lt;0,0,B22*($B$26-($B$27-0.05*$B$27)-$B$60))</f>
        <v>326.17672879382707</v>
      </c>
      <c r="C33" s="35" t="s">
        <v>104</v>
      </c>
      <c r="D33" s="174"/>
    </row>
    <row r="34" spans="1:6">
      <c r="A34" s="171" t="s">
        <v>74</v>
      </c>
      <c r="B34" s="34">
        <f>IF((B24*($B$26-($B$27-0.05*$B$27)-$B$60))&lt;0,0,B24*($B$26-($B$27-0.05*$B$27)-$B$60))</f>
        <v>82.725293604594555</v>
      </c>
      <c r="C34" s="34">
        <f>B26*C24</f>
        <v>579.55959661415079</v>
      </c>
      <c r="D34" s="233"/>
    </row>
    <row r="35" spans="1:6">
      <c r="A35" s="171" t="s">
        <v>76</v>
      </c>
      <c r="B35" s="34">
        <f>IF((B19*($B$26-($B$27-0.05*$B$27)-$B$60))&lt;0,0,B19*($B$26-($B$27-0.05*$B$27)-$B$60))</f>
        <v>30.754646245878906</v>
      </c>
      <c r="C35" s="34">
        <f>B35/2</f>
        <v>15.377323122939453</v>
      </c>
      <c r="D35" s="233"/>
    </row>
    <row r="36" spans="1:6">
      <c r="A36" s="171" t="s">
        <v>77</v>
      </c>
      <c r="B36" s="34">
        <f>IF((B18*($B$26-($B$27-0.05*$B$27)-$B$60))&lt;0,0,B18*($B$26-($B$27-0.05*$B$27)-$B$60))</f>
        <v>1483.6856945409895</v>
      </c>
      <c r="C36" s="35" t="s">
        <v>104</v>
      </c>
      <c r="D36" s="174"/>
    </row>
    <row r="37" spans="1:6">
      <c r="A37" s="171" t="s">
        <v>78</v>
      </c>
      <c r="B37" s="34">
        <f>B60</f>
        <v>11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27</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11974.254000000001</v>
      </c>
      <c r="C5" s="18">
        <f>IF(ISERROR('Eigen informatie GS &amp; warmtenet'!B58),0,'Eigen informatie GS &amp; warmtenet'!B58)</f>
        <v>0</v>
      </c>
      <c r="D5" s="31">
        <f>SUM(D6:D12)</f>
        <v>4138.4616899999992</v>
      </c>
      <c r="E5" s="18">
        <f>SUM(E6:E12)</f>
        <v>161.46577009525447</v>
      </c>
      <c r="F5" s="18">
        <f>SUM(F6:F12)</f>
        <v>2394.2948144479192</v>
      </c>
      <c r="G5" s="19"/>
      <c r="H5" s="18"/>
      <c r="I5" s="18"/>
      <c r="J5" s="18">
        <f>SUM(J6:J12)</f>
        <v>0</v>
      </c>
      <c r="K5" s="18"/>
      <c r="L5" s="18"/>
      <c r="M5" s="18"/>
      <c r="N5" s="18">
        <f>SUM(N6:N12)</f>
        <v>521.70697729360529</v>
      </c>
      <c r="O5" s="18">
        <f>B38*B39*B40</f>
        <v>0</v>
      </c>
      <c r="P5" s="18">
        <f>B46*B47*B48/1000-B46*B47*B48/1000/B49</f>
        <v>0</v>
      </c>
      <c r="R5" s="33"/>
    </row>
    <row r="6" spans="1:18">
      <c r="A6" s="33" t="s">
        <v>53</v>
      </c>
      <c r="B6" s="38">
        <f>B26</f>
        <v>2628.944</v>
      </c>
      <c r="C6" s="34"/>
      <c r="D6" s="38">
        <f>IF(ISERROR(TER_kantoor_gas_kWh/1000),0,TER_kantoor_gas_kWh/1000)*0.902</f>
        <v>769.30227000000002</v>
      </c>
      <c r="E6" s="34">
        <f>$C$26*'E Balans VL '!I12/100/3.6*1000000</f>
        <v>4.3146299274571192</v>
      </c>
      <c r="F6" s="34">
        <f>$C$26*('E Balans VL '!L12+'E Balans VL '!N12)/100/3.6*1000000</f>
        <v>309.89064190672519</v>
      </c>
      <c r="G6" s="35"/>
      <c r="H6" s="34"/>
      <c r="I6" s="34"/>
      <c r="J6" s="34">
        <f>$C$26*('E Balans VL '!D12+'E Balans VL '!E12)/100/3.6*1000000</f>
        <v>0</v>
      </c>
      <c r="K6" s="34"/>
      <c r="L6" s="34"/>
      <c r="M6" s="34"/>
      <c r="N6" s="34">
        <f>$C$26*'E Balans VL '!Y12/100/3.6*1000000</f>
        <v>0.53116568613098702</v>
      </c>
      <c r="O6" s="34"/>
      <c r="P6" s="34"/>
      <c r="R6" s="33"/>
    </row>
    <row r="7" spans="1:18">
      <c r="A7" s="33" t="s">
        <v>52</v>
      </c>
      <c r="B7" s="38">
        <f t="shared" ref="B7:B12" si="0">B27</f>
        <v>2276.4569999999999</v>
      </c>
      <c r="C7" s="34"/>
      <c r="D7" s="38">
        <f>IF(ISERROR(TER_horeca_gas_kWh/1000),0,TER_horeca_gas_kWh/1000)*0.902</f>
        <v>1761.083742</v>
      </c>
      <c r="E7" s="34">
        <f>$C$27*'E Balans VL '!I9/100/3.6*1000000</f>
        <v>118.1316455046433</v>
      </c>
      <c r="F7" s="34">
        <f>$C$27*('E Balans VL '!L9+'E Balans VL '!N9)/100/3.6*1000000</f>
        <v>519.48913920538587</v>
      </c>
      <c r="G7" s="35"/>
      <c r="H7" s="34"/>
      <c r="I7" s="34"/>
      <c r="J7" s="34">
        <f>$C$27*('E Balans VL '!D9+'E Balans VL '!E9)/100/3.6*1000000</f>
        <v>0</v>
      </c>
      <c r="K7" s="34"/>
      <c r="L7" s="34"/>
      <c r="M7" s="34"/>
      <c r="N7" s="34">
        <f>$C$27*'E Balans VL '!Y9/100/3.6*1000000</f>
        <v>0.24039281596806628</v>
      </c>
      <c r="O7" s="34"/>
      <c r="P7" s="34"/>
      <c r="R7" s="33"/>
    </row>
    <row r="8" spans="1:18">
      <c r="A8" s="6" t="s">
        <v>51</v>
      </c>
      <c r="B8" s="38">
        <f t="shared" si="0"/>
        <v>5904.6620000000003</v>
      </c>
      <c r="C8" s="34"/>
      <c r="D8" s="38">
        <f>IF(ISERROR(TER_handel_gas_kWh/1000),0,TER_handel_gas_kWh/1000)*0.902</f>
        <v>418.29438199999998</v>
      </c>
      <c r="E8" s="34">
        <f>$C$28*'E Balans VL '!I13/100/3.6*1000000</f>
        <v>31.797330456521557</v>
      </c>
      <c r="F8" s="34">
        <f>$C$28*('E Balans VL '!L13+'E Balans VL '!N13)/100/3.6*1000000</f>
        <v>1204.1360525505575</v>
      </c>
      <c r="G8" s="35"/>
      <c r="H8" s="34"/>
      <c r="I8" s="34"/>
      <c r="J8" s="34">
        <f>$C$28*('E Balans VL '!D13+'E Balans VL '!E13)/100/3.6*1000000</f>
        <v>0</v>
      </c>
      <c r="K8" s="34"/>
      <c r="L8" s="34"/>
      <c r="M8" s="34"/>
      <c r="N8" s="34">
        <f>$C$28*'E Balans VL '!Y13/100/3.6*1000000</f>
        <v>29.360765963334973</v>
      </c>
      <c r="O8" s="34"/>
      <c r="P8" s="34"/>
      <c r="R8" s="33"/>
    </row>
    <row r="9" spans="1:18">
      <c r="A9" s="33" t="s">
        <v>50</v>
      </c>
      <c r="B9" s="38">
        <f t="shared" si="0"/>
        <v>236.37</v>
      </c>
      <c r="C9" s="34"/>
      <c r="D9" s="38">
        <f>IF(ISERROR(TER_gezond_gas_kWh/1000),0,TER_gezond_gas_kWh/1000)*0.902</f>
        <v>570.32557999999995</v>
      </c>
      <c r="E9" s="34">
        <f>$C$29*'E Balans VL '!I10/100/3.6*1000000</f>
        <v>0.23424535798851548</v>
      </c>
      <c r="F9" s="34">
        <f>$C$29*('E Balans VL '!L10+'E Balans VL '!N10)/100/3.6*1000000</f>
        <v>82.013576896130346</v>
      </c>
      <c r="G9" s="35"/>
      <c r="H9" s="34"/>
      <c r="I9" s="34"/>
      <c r="J9" s="34">
        <f>$C$29*('E Balans VL '!D10+'E Balans VL '!E10)/100/3.6*1000000</f>
        <v>0</v>
      </c>
      <c r="K9" s="34"/>
      <c r="L9" s="34"/>
      <c r="M9" s="34"/>
      <c r="N9" s="34">
        <f>$C$29*'E Balans VL '!Y10/100/3.6*1000000</f>
        <v>2.0367798133650714</v>
      </c>
      <c r="O9" s="34"/>
      <c r="P9" s="34"/>
      <c r="R9" s="33"/>
    </row>
    <row r="10" spans="1:18">
      <c r="A10" s="33" t="s">
        <v>49</v>
      </c>
      <c r="B10" s="38">
        <f t="shared" si="0"/>
        <v>848.16300000000001</v>
      </c>
      <c r="C10" s="34"/>
      <c r="D10" s="38">
        <f>IF(ISERROR(TER_ander_gas_kWh/1000),0,TER_ander_gas_kWh/1000)*0.902</f>
        <v>380.04687600000005</v>
      </c>
      <c r="E10" s="34">
        <f>$C$30*'E Balans VL '!I14/100/3.6*1000000</f>
        <v>6.9388210185486665</v>
      </c>
      <c r="F10" s="34">
        <f>$C$30*('E Balans VL '!L14+'E Balans VL '!N14)/100/3.6*1000000</f>
        <v>247.96833105415223</v>
      </c>
      <c r="G10" s="35"/>
      <c r="H10" s="34"/>
      <c r="I10" s="34"/>
      <c r="J10" s="34">
        <f>$C$30*('E Balans VL '!D14+'E Balans VL '!E14)/100/3.6*1000000</f>
        <v>0</v>
      </c>
      <c r="K10" s="34"/>
      <c r="L10" s="34"/>
      <c r="M10" s="34"/>
      <c r="N10" s="34">
        <f>$C$30*'E Balans VL '!Y14/100/3.6*1000000</f>
        <v>489.27876261115108</v>
      </c>
      <c r="O10" s="34"/>
      <c r="P10" s="34"/>
      <c r="R10" s="33"/>
    </row>
    <row r="11" spans="1:18">
      <c r="A11" s="33" t="s">
        <v>54</v>
      </c>
      <c r="B11" s="38">
        <f t="shared" si="0"/>
        <v>79.658000000000001</v>
      </c>
      <c r="C11" s="34"/>
      <c r="D11" s="38">
        <f>IF(ISERROR(TER_onderwijs_gas_kWh/1000),0,TER_onderwijs_gas_kWh/1000)*0.902</f>
        <v>239.40884000000003</v>
      </c>
      <c r="E11" s="34">
        <f>$C$31*'E Balans VL '!I11/100/3.6*1000000</f>
        <v>4.9097830095283415E-2</v>
      </c>
      <c r="F11" s="34">
        <f>$C$31*('E Balans VL '!L11+'E Balans VL '!N11)/100/3.6*1000000</f>
        <v>30.797072834968279</v>
      </c>
      <c r="G11" s="35"/>
      <c r="H11" s="34"/>
      <c r="I11" s="34"/>
      <c r="J11" s="34">
        <f>$C$31*('E Balans VL '!D11+'E Balans VL '!E11)/100/3.6*1000000</f>
        <v>0</v>
      </c>
      <c r="K11" s="34"/>
      <c r="L11" s="34"/>
      <c r="M11" s="34"/>
      <c r="N11" s="34">
        <f>$C$31*'E Balans VL '!Y11/100/3.6*1000000</f>
        <v>0.25911040365507648</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11974.254000000001</v>
      </c>
      <c r="C16" s="22">
        <f t="shared" ca="1" si="1"/>
        <v>0</v>
      </c>
      <c r="D16" s="22">
        <f t="shared" ca="1" si="1"/>
        <v>4138.4616899999992</v>
      </c>
      <c r="E16" s="22">
        <f t="shared" si="1"/>
        <v>161.46577009525447</v>
      </c>
      <c r="F16" s="22">
        <f t="shared" ca="1" si="1"/>
        <v>2394.2948144479192</v>
      </c>
      <c r="G16" s="22">
        <f t="shared" si="1"/>
        <v>0</v>
      </c>
      <c r="H16" s="22">
        <f t="shared" si="1"/>
        <v>0</v>
      </c>
      <c r="I16" s="22">
        <f t="shared" si="1"/>
        <v>0</v>
      </c>
      <c r="J16" s="22">
        <f t="shared" si="1"/>
        <v>0</v>
      </c>
      <c r="K16" s="22">
        <f t="shared" si="1"/>
        <v>0</v>
      </c>
      <c r="L16" s="22">
        <f t="shared" ca="1" si="1"/>
        <v>0</v>
      </c>
      <c r="M16" s="22">
        <f t="shared" si="1"/>
        <v>0</v>
      </c>
      <c r="N16" s="22">
        <f t="shared" ca="1" si="1"/>
        <v>521.70697729360529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0.20729666526952739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2482.2229232902996</v>
      </c>
      <c r="C20" s="24">
        <f t="shared" ref="C20:P20" ca="1" si="2">C16*C18</f>
        <v>0</v>
      </c>
      <c r="D20" s="24">
        <f t="shared" ca="1" si="2"/>
        <v>835.96926137999992</v>
      </c>
      <c r="E20" s="24">
        <f t="shared" si="2"/>
        <v>36.652729811622763</v>
      </c>
      <c r="F20" s="24">
        <f t="shared" ca="1" si="2"/>
        <v>639.27671545759449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2628.944</v>
      </c>
      <c r="C26" s="40">
        <f>IF(ISERROR(B26*3.6/1000000/'E Balans VL '!Z12*100),0,B26*3.6/1000000/'E Balans VL '!Z12*100)</f>
        <v>5.5863174702645443E-2</v>
      </c>
      <c r="D26" s="236" t="s">
        <v>685</v>
      </c>
      <c r="F26" s="6"/>
    </row>
    <row r="27" spans="1:18">
      <c r="A27" s="231" t="s">
        <v>52</v>
      </c>
      <c r="B27" s="34">
        <f>IF(ISERROR(TER_horeca_ele_kWh/1000),0,TER_horeca_ele_kWh/1000)</f>
        <v>2276.4569999999999</v>
      </c>
      <c r="C27" s="40">
        <f>IF(ISERROR(B27*3.6/1000000/'E Balans VL '!Z9*100),0,B27*3.6/1000000/'E Balans VL '!Z9*100)</f>
        <v>0.17917476966563947</v>
      </c>
      <c r="D27" s="236" t="s">
        <v>685</v>
      </c>
      <c r="F27" s="6"/>
    </row>
    <row r="28" spans="1:18">
      <c r="A28" s="171" t="s">
        <v>51</v>
      </c>
      <c r="B28" s="34">
        <f>IF(ISERROR(TER_handel_ele_kWh/1000),0,TER_handel_ele_kWh/1000)</f>
        <v>5904.6620000000003</v>
      </c>
      <c r="C28" s="40">
        <f>IF(ISERROR(B28*3.6/1000000/'E Balans VL '!Z13*100),0,B28*3.6/1000000/'E Balans VL '!Z13*100)</f>
        <v>0.16539274267034454</v>
      </c>
      <c r="D28" s="236" t="s">
        <v>685</v>
      </c>
      <c r="F28" s="6"/>
    </row>
    <row r="29" spans="1:18">
      <c r="A29" s="231" t="s">
        <v>50</v>
      </c>
      <c r="B29" s="34">
        <f>IF(ISERROR(TER_gezond_ele_kWh/1000),0,TER_gezond_ele_kWh/1000)</f>
        <v>236.37</v>
      </c>
      <c r="C29" s="40">
        <f>IF(ISERROR(B29*3.6/1000000/'E Balans VL '!Z10*100),0,B29*3.6/1000000/'E Balans VL '!Z10*100)</f>
        <v>3.023887054093714E-2</v>
      </c>
      <c r="D29" s="236" t="s">
        <v>685</v>
      </c>
      <c r="F29" s="6"/>
    </row>
    <row r="30" spans="1:18">
      <c r="A30" s="231" t="s">
        <v>49</v>
      </c>
      <c r="B30" s="34">
        <f>IF(ISERROR(TER_ander_ele_kWh/1000),0,TER_ander_ele_kWh/1000)</f>
        <v>848.16300000000001</v>
      </c>
      <c r="C30" s="40">
        <f>IF(ISERROR(B30*3.6/1000000/'E Balans VL '!Z14*100),0,B30*3.6/1000000/'E Balans VL '!Z14*100)</f>
        <v>6.3435445653716199E-2</v>
      </c>
      <c r="D30" s="236" t="s">
        <v>685</v>
      </c>
      <c r="F30" s="6"/>
    </row>
    <row r="31" spans="1:18">
      <c r="A31" s="231" t="s">
        <v>54</v>
      </c>
      <c r="B31" s="34">
        <f>IF(ISERROR(TER_onderwijs_ele_kWh/1000),0,TER_onderwijs_ele_kWh/1000)</f>
        <v>79.658000000000001</v>
      </c>
      <c r="C31" s="40">
        <f>IF(ISERROR(B31*3.6/1000000/'E Balans VL '!Z11*100),0,B31*3.6/1000000/'E Balans VL '!Z11*100)</f>
        <v>1.6819889883484356E-2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3707.7069999999999</v>
      </c>
      <c r="C5" s="18">
        <f>IF(ISERROR('Eigen informatie GS &amp; warmtenet'!B59),0,'Eigen informatie GS &amp; warmtenet'!B59)</f>
        <v>0</v>
      </c>
      <c r="D5" s="31">
        <f>SUM(D6:D15)</f>
        <v>2169.975676</v>
      </c>
      <c r="E5" s="18">
        <f>SUM(E6:E15)</f>
        <v>50.507767865496675</v>
      </c>
      <c r="F5" s="18">
        <f>SUM(F6:F15)</f>
        <v>1479.7673405005921</v>
      </c>
      <c r="G5" s="19"/>
      <c r="H5" s="18"/>
      <c r="I5" s="18"/>
      <c r="J5" s="18">
        <f>SUM(J6:J15)</f>
        <v>25.820913105945834</v>
      </c>
      <c r="K5" s="18"/>
      <c r="L5" s="18"/>
      <c r="M5" s="18"/>
      <c r="N5" s="18">
        <f>SUM(N6:N15)</f>
        <v>98.424597369460116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1054.702</v>
      </c>
      <c r="C8" s="34"/>
      <c r="D8" s="38">
        <f>IF( ISERROR(IND_metaal_Gas_kWH/1000),0,IND_metaal_Gas_kWH/1000)*0.902</f>
        <v>0</v>
      </c>
      <c r="E8" s="34">
        <f>C30*'E Balans VL '!I18/100/3.6*1000000</f>
        <v>9.6049810436693548</v>
      </c>
      <c r="F8" s="34">
        <f>C30*'E Balans VL '!L18/100/3.6*1000000+C30*'E Balans VL '!N18/100/3.6*1000000</f>
        <v>139.10718425544377</v>
      </c>
      <c r="G8" s="35"/>
      <c r="H8" s="34"/>
      <c r="I8" s="34"/>
      <c r="J8" s="41">
        <f>C30*'E Balans VL '!D18/100/3.6*1000000+C30*'E Balans VL '!E18/100/3.6*1000000</f>
        <v>17.29558142783906</v>
      </c>
      <c r="K8" s="34"/>
      <c r="L8" s="34"/>
      <c r="M8" s="34"/>
      <c r="N8" s="34">
        <f>C30*'E Balans VL '!Y18/100/3.6*1000000</f>
        <v>3.624591794705263</v>
      </c>
      <c r="O8" s="34"/>
      <c r="P8" s="34"/>
      <c r="R8" s="33"/>
    </row>
    <row r="9" spans="1:18">
      <c r="A9" s="6" t="s">
        <v>32</v>
      </c>
      <c r="B9" s="38">
        <f t="shared" si="0"/>
        <v>1220.0340000000001</v>
      </c>
      <c r="C9" s="34"/>
      <c r="D9" s="38">
        <f>IF( ISERROR(IND_andere_gas_kWh/1000),0,IND_andere_gas_kWh/1000)*0.902</f>
        <v>218.20642799999999</v>
      </c>
      <c r="E9" s="34">
        <f>C31*'E Balans VL '!I19/100/3.6*1000000</f>
        <v>7.0519788390011522</v>
      </c>
      <c r="F9" s="34">
        <f>C31*'E Balans VL '!L19/100/3.6*1000000+C31*'E Balans VL '!N19/100/3.6*1000000</f>
        <v>970.59575271300969</v>
      </c>
      <c r="G9" s="35"/>
      <c r="H9" s="34"/>
      <c r="I9" s="34"/>
      <c r="J9" s="41">
        <f>C31*'E Balans VL '!D19/100/3.6*1000000+C31*'E Balans VL '!E19/100/3.6*1000000</f>
        <v>0.11540166464616514</v>
      </c>
      <c r="K9" s="34"/>
      <c r="L9" s="34"/>
      <c r="M9" s="34"/>
      <c r="N9" s="34">
        <f>C31*'E Balans VL '!Y19/100/3.6*1000000</f>
        <v>92.436038649378048</v>
      </c>
      <c r="O9" s="34"/>
      <c r="P9" s="34"/>
      <c r="R9" s="33"/>
    </row>
    <row r="10" spans="1:18">
      <c r="A10" s="6" t="s">
        <v>40</v>
      </c>
      <c r="B10" s="38">
        <f t="shared" si="0"/>
        <v>159.64500000000001</v>
      </c>
      <c r="C10" s="34"/>
      <c r="D10" s="38">
        <f>IF( ISERROR(IND_voed_gas_kWh/1000),0,IND_voed_gas_kWh/1000)*0.902</f>
        <v>0</v>
      </c>
      <c r="E10" s="34">
        <f>C32*'E Balans VL '!I20/100/3.6*1000000</f>
        <v>1.5697280054766369</v>
      </c>
      <c r="F10" s="34">
        <f>C32*'E Balans VL '!L20/100/3.6*1000000+C32*'E Balans VL '!N20/100/3.6*1000000</f>
        <v>17.730661039413896</v>
      </c>
      <c r="G10" s="35"/>
      <c r="H10" s="34"/>
      <c r="I10" s="34"/>
      <c r="J10" s="41">
        <f>C32*'E Balans VL '!D20/100/3.6*1000000+C32*'E Balans VL '!E20/100/3.6*1000000</f>
        <v>6.2923341946904434E-4</v>
      </c>
      <c r="K10" s="34"/>
      <c r="L10" s="34"/>
      <c r="M10" s="34"/>
      <c r="N10" s="34">
        <f>C32*'E Balans VL '!Y20/100/3.6*1000000</f>
        <v>2.3639669253768032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1273.326</v>
      </c>
      <c r="C12" s="34"/>
      <c r="D12" s="38">
        <f>IF( ISERROR(IND_min_gas_kWh/1000),0,IND_min_gas_kWh/1000)*0.902</f>
        <v>0</v>
      </c>
      <c r="E12" s="34">
        <f>C34*'E Balans VL '!I22/100/3.6*1000000</f>
        <v>32.281079977349528</v>
      </c>
      <c r="F12" s="34">
        <f>C34*'E Balans VL '!L22/100/3.6*1000000+C34*'E Balans VL '!N22/100/3.6*1000000</f>
        <v>352.33374249272464</v>
      </c>
      <c r="G12" s="35"/>
      <c r="H12" s="34"/>
      <c r="I12" s="34"/>
      <c r="J12" s="41">
        <f>C34*'E Balans VL '!D22/100/3.6*1000000+C34*'E Balans VL '!E22/100/3.6*1000000</f>
        <v>8.4093007800411375</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0</v>
      </c>
      <c r="C15" s="34"/>
      <c r="D15" s="38">
        <f>IF( ISERROR(IND_rest_gas_kWh/1000),0,IND_rest_gas_kWh/1000)*0.902</f>
        <v>1951.7692480000001</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3707.7069999999999</v>
      </c>
      <c r="C18" s="22">
        <f>C5+C16</f>
        <v>0</v>
      </c>
      <c r="D18" s="22">
        <f>MAX((D5+D16),0)</f>
        <v>2169.975676</v>
      </c>
      <c r="E18" s="22">
        <f>MAX((E5+E16),0)</f>
        <v>50.507767865496675</v>
      </c>
      <c r="F18" s="22">
        <f>MAX((F5+F16),0)</f>
        <v>1479.7673405005921</v>
      </c>
      <c r="G18" s="22"/>
      <c r="H18" s="22"/>
      <c r="I18" s="22"/>
      <c r="J18" s="22">
        <f>MAX((J5+J16),0)</f>
        <v>25.820913105945834</v>
      </c>
      <c r="K18" s="22"/>
      <c r="L18" s="22">
        <f>MAX((L5+L16),0)</f>
        <v>0</v>
      </c>
      <c r="M18" s="22"/>
      <c r="N18" s="22">
        <f>MAX((N5+N16),0)</f>
        <v>98.424597369460116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0.20729666526952739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768.59529689648355</v>
      </c>
      <c r="C22" s="24">
        <f ca="1">C18*C20</f>
        <v>0</v>
      </c>
      <c r="D22" s="24">
        <f>D18*D20</f>
        <v>438.33508655200001</v>
      </c>
      <c r="E22" s="24">
        <f>E18*E20</f>
        <v>11.465263305467746</v>
      </c>
      <c r="F22" s="24">
        <f>F18*F20</f>
        <v>395.09787991365812</v>
      </c>
      <c r="G22" s="24"/>
      <c r="H22" s="24"/>
      <c r="I22" s="24"/>
      <c r="J22" s="24">
        <f>J18*J20</f>
        <v>9.1406032395048253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1054.702</v>
      </c>
      <c r="C30" s="40">
        <f>IF(ISERROR(B30*3.6/1000000/'E Balans VL '!Z18*100),0,B30*3.6/1000000/'E Balans VL '!Z18*100)</f>
        <v>5.8687113568236603E-2</v>
      </c>
      <c r="D30" s="236" t="s">
        <v>685</v>
      </c>
    </row>
    <row r="31" spans="1:18">
      <c r="A31" s="6" t="s">
        <v>32</v>
      </c>
      <c r="B31" s="38">
        <f>IF( ISERROR(IND_ander_ele_kWh/1000),0,IND_ander_ele_kWh/1000)</f>
        <v>1220.0340000000001</v>
      </c>
      <c r="C31" s="40">
        <f>IF(ISERROR(B31*3.6/1000000/'E Balans VL '!Z19*100),0,B31*3.6/1000000/'E Balans VL '!Z19*100)</f>
        <v>5.6716176481391746E-2</v>
      </c>
      <c r="D31" s="236" t="s">
        <v>685</v>
      </c>
    </row>
    <row r="32" spans="1:18">
      <c r="A32" s="171" t="s">
        <v>40</v>
      </c>
      <c r="B32" s="38">
        <f>IF( ISERROR(IND_voed_ele_kWh/1000),0,IND_voed_ele_kWh/1000)</f>
        <v>159.64500000000001</v>
      </c>
      <c r="C32" s="40">
        <f>IF(ISERROR(B32*3.6/1000000/'E Balans VL '!Z20*100),0,B32*3.6/1000000/'E Balans VL '!Z20*100)</f>
        <v>5.6431283332680111E-3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1273.326</v>
      </c>
      <c r="C34" s="40">
        <f>IF(ISERROR(B34*3.6/1000000/'E Balans VL '!Z22*100),0,B34*3.6/1000000/'E Balans VL '!Z22*100)</f>
        <v>0.25590261941987152</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0</v>
      </c>
      <c r="C37" s="40">
        <f>IF(ISERROR(B37*3.6/1000000/'E Balans VL '!Z15*100),0,B37*3.6/1000000/'E Balans VL '!Z15*100)</f>
        <v>0</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177.81100000000001</v>
      </c>
      <c r="C5" s="18">
        <f>'Eigen informatie GS &amp; warmtenet'!B60</f>
        <v>0</v>
      </c>
      <c r="D5" s="31">
        <f>IF(ISERROR(SUM(LB_lb_gas_kWh,LB_rest_gas_kWh)/1000),0,SUM(LB_lb_gas_kWh,LB_rest_gas_kWh)/1000)*0.902</f>
        <v>79.698014000000001</v>
      </c>
      <c r="E5" s="18">
        <f>B17*'E Balans VL '!I25/3.6*1000000/100</f>
        <v>1.6750987572780718</v>
      </c>
      <c r="F5" s="18">
        <f>B17*('E Balans VL '!L25/3.6*1000000+'E Balans VL '!N25/3.6*1000000)/100</f>
        <v>580.25630328842396</v>
      </c>
      <c r="G5" s="19"/>
      <c r="H5" s="18"/>
      <c r="I5" s="18"/>
      <c r="J5" s="18">
        <f>('E Balans VL '!D25+'E Balans VL '!E25)/3.6*1000000*landbouw!B17/100</f>
        <v>21.996085572537869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177.81100000000001</v>
      </c>
      <c r="C8" s="22">
        <f>C5+C6</f>
        <v>0</v>
      </c>
      <c r="D8" s="22">
        <f>MAX((D5+D6),0)</f>
        <v>79.698014000000001</v>
      </c>
      <c r="E8" s="22">
        <f>MAX((E5+E6),0)</f>
        <v>1.6750987572780718</v>
      </c>
      <c r="F8" s="22">
        <f>MAX((F5+F6),0)</f>
        <v>580.25630328842396</v>
      </c>
      <c r="G8" s="22"/>
      <c r="H8" s="22"/>
      <c r="I8" s="22"/>
      <c r="J8" s="22">
        <f>MAX((J5+J6),0)</f>
        <v>21.996085572537869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0.20729666526952739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36.85962734823994</v>
      </c>
      <c r="C12" s="24">
        <f ca="1">C8*C10</f>
        <v>0</v>
      </c>
      <c r="D12" s="24">
        <f>D8*D10</f>
        <v>16.098998828000003</v>
      </c>
      <c r="E12" s="24">
        <f>E8*E10</f>
        <v>0.3802474179021223</v>
      </c>
      <c r="F12" s="24">
        <f>F8*F10</f>
        <v>154.9284329780092</v>
      </c>
      <c r="G12" s="24"/>
      <c r="H12" s="24"/>
      <c r="I12" s="24"/>
      <c r="J12" s="24">
        <f>J8*J10</f>
        <v>7.7866142926784052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2.4072768071048675E-2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22.714591338923423</v>
      </c>
      <c r="C26" s="246">
        <f>B26*'GWP N2O_CH4'!B5</f>
        <v>477.00641811739189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4.7943959898961364</v>
      </c>
      <c r="C27" s="246">
        <f>B27*'GWP N2O_CH4'!B5</f>
        <v>100.68231578781887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0.39132692828075588</v>
      </c>
      <c r="C28" s="246">
        <f>B28*'GWP N2O_CH4'!B4</f>
        <v>121.31134776703432</v>
      </c>
      <c r="D28" s="51"/>
    </row>
    <row r="29" spans="1:4">
      <c r="A29" s="42" t="s">
        <v>266</v>
      </c>
      <c r="B29" s="246">
        <f>B34*'ha_N2O bodem landbouw'!B4</f>
        <v>1.6104865374090163</v>
      </c>
      <c r="C29" s="246">
        <f>B29*'GWP N2O_CH4'!B4</f>
        <v>499.25082659679504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4.3478066655449721E-4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1.2696193093753586E-5</v>
      </c>
      <c r="C5" s="433" t="s">
        <v>204</v>
      </c>
      <c r="D5" s="418">
        <f>SUM(D6:D11)</f>
        <v>1.5558256016389206E-5</v>
      </c>
      <c r="E5" s="418">
        <f>SUM(E6:E11)</f>
        <v>1.0428671130253073E-3</v>
      </c>
      <c r="F5" s="431" t="s">
        <v>204</v>
      </c>
      <c r="G5" s="418">
        <f>SUM(G6:G11)</f>
        <v>0.21623925628972759</v>
      </c>
      <c r="H5" s="418">
        <f>SUM(H6:H11)</f>
        <v>3.7956390440973743E-2</v>
      </c>
      <c r="I5" s="433" t="s">
        <v>204</v>
      </c>
      <c r="J5" s="433" t="s">
        <v>204</v>
      </c>
      <c r="K5" s="433" t="s">
        <v>204</v>
      </c>
      <c r="L5" s="433" t="s">
        <v>204</v>
      </c>
      <c r="M5" s="418">
        <f>SUM(M6:M11)</f>
        <v>1.1360318143080509E-2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7.8029354487376913E-6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9.0879343477081611E-6</v>
      </c>
      <c r="E6" s="421">
        <f>vkm_GW_PW*SUMIFS(TableVerdeelsleutelVkm[LPG],TableVerdeelsleutelVkm[Voertuigtype],"Lichte voertuigen")*SUMIFS(TableECFTransport[EnergieConsumptieFactor (PJ per km)],TableECFTransport[Index],CONCATENATE($A6,"_LPG_LPG"))</f>
        <v>5.8960182715685054E-4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9.1988970121673952E-2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2.2169327245147082E-2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5.1085912416855431E-3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1.3867630948002381E-7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2.2940122014551773E-2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6.1556521931731826E-7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1.0207605947489473E-3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1.8032355170055626E-6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3.4300642275682701E-6</v>
      </c>
      <c r="E8" s="421">
        <f>vkm_NGW_PW*SUMIFS(TableVerdeelsleutelVkm[LPG],TableVerdeelsleutelVkm[Voertuigtype],"Lichte voertuigen")*SUMIFS(TableECFTransport[EnergieConsumptieFactor (PJ per km)],TableECFTransport[Index],CONCATENATE($A8,"_LPG_LPG"))</f>
        <v>2.1084248355085234E-4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3.0968072013611157E-2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7.9761279838144027E-3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1.7432971609818049E-3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1.03375247763369E-9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2.1928808565654519E-4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5.5386612940735036E-9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9.7575886220809628E-6</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2.7258326321225398E-6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3.0402574411127757E-6</v>
      </c>
      <c r="E10" s="421">
        <f>vkm_SW_PW*SUMIFS(TableVerdeelsleutelVkm[LPG],TableVerdeelsleutelVkm[Voertuigtype],"Lichte voertuigen")*SUMIFS(TableECFTransport[EnergieConsumptieFactor (PJ per km)],TableECFTransport[Index],CONCATENATE($A10,"_LPG_LPG"))</f>
        <v>2.4242280231760456E-4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3.5338929828031933E-2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7.8092885062812645E-3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1.9301384008147322E-3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2.2447943393013619E-7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3.4783874226202223E-2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1.0256018503867545E-6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1.5477731562274007E-3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3.5267203038204404</v>
      </c>
      <c r="C14" s="22"/>
      <c r="D14" s="22">
        <f t="shared" ref="D14:M14" si="0">((D5)*10^9/3600)+D12</f>
        <v>4.3217377823303353</v>
      </c>
      <c r="E14" s="22">
        <f t="shared" si="0"/>
        <v>289.68530917369645</v>
      </c>
      <c r="F14" s="22"/>
      <c r="G14" s="22">
        <f t="shared" si="0"/>
        <v>60066.46008047989</v>
      </c>
      <c r="H14" s="22">
        <f t="shared" si="0"/>
        <v>10543.441789159373</v>
      </c>
      <c r="I14" s="22"/>
      <c r="J14" s="22"/>
      <c r="K14" s="22"/>
      <c r="L14" s="22"/>
      <c r="M14" s="22">
        <f t="shared" si="0"/>
        <v>3155.6439286334744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0.20729666526952739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0.73107735832031173</v>
      </c>
      <c r="C18" s="24"/>
      <c r="D18" s="24">
        <f t="shared" ref="D18:M18" si="1">D14*D16</f>
        <v>0.87299103203072781</v>
      </c>
      <c r="E18" s="24">
        <f t="shared" si="1"/>
        <v>65.758565182429095</v>
      </c>
      <c r="F18" s="24"/>
      <c r="G18" s="24">
        <f t="shared" si="1"/>
        <v>16037.744841488131</v>
      </c>
      <c r="H18" s="24">
        <f t="shared" si="1"/>
        <v>2625.317005500684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2.2057798728976875E-5</v>
      </c>
      <c r="C50" s="316">
        <f t="shared" ref="C50:P50" si="2">SUM(C51:C52)</f>
        <v>0</v>
      </c>
      <c r="D50" s="316">
        <f t="shared" si="2"/>
        <v>0</v>
      </c>
      <c r="E50" s="316">
        <f t="shared" si="2"/>
        <v>0</v>
      </c>
      <c r="F50" s="316">
        <f t="shared" si="2"/>
        <v>0</v>
      </c>
      <c r="G50" s="316">
        <f t="shared" si="2"/>
        <v>4.399471444886064E-3</v>
      </c>
      <c r="H50" s="316">
        <f t="shared" si="2"/>
        <v>0</v>
      </c>
      <c r="I50" s="316">
        <f t="shared" si="2"/>
        <v>0</v>
      </c>
      <c r="J50" s="316">
        <f t="shared" si="2"/>
        <v>0</v>
      </c>
      <c r="K50" s="316">
        <f t="shared" si="2"/>
        <v>0</v>
      </c>
      <c r="L50" s="316">
        <f t="shared" si="2"/>
        <v>0</v>
      </c>
      <c r="M50" s="316">
        <f t="shared" si="2"/>
        <v>1.9445195216385002E-4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2.2057798728976875E-5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4.399471444886064E-3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1.9445195216385002E-4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6.1271663136046879</v>
      </c>
      <c r="C54" s="22">
        <f t="shared" ref="C54:P54" si="3">(C50)*10^9/3600</f>
        <v>0</v>
      </c>
      <c r="D54" s="22">
        <f t="shared" si="3"/>
        <v>0</v>
      </c>
      <c r="E54" s="22">
        <f t="shared" si="3"/>
        <v>0</v>
      </c>
      <c r="F54" s="22">
        <f t="shared" si="3"/>
        <v>0</v>
      </c>
      <c r="G54" s="22">
        <f t="shared" si="3"/>
        <v>1222.07540135724</v>
      </c>
      <c r="H54" s="22">
        <f t="shared" si="3"/>
        <v>0</v>
      </c>
      <c r="I54" s="22">
        <f t="shared" si="3"/>
        <v>0</v>
      </c>
      <c r="J54" s="22">
        <f t="shared" si="3"/>
        <v>0</v>
      </c>
      <c r="K54" s="22">
        <f t="shared" si="3"/>
        <v>0</v>
      </c>
      <c r="L54" s="22">
        <f t="shared" si="3"/>
        <v>0</v>
      </c>
      <c r="M54" s="22">
        <f t="shared" si="3"/>
        <v>54.014431156625001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0.20729666526952739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1.2701411443620352</v>
      </c>
      <c r="C58" s="24">
        <f t="shared" ref="C58:P58" ca="1" si="4">C54*C56</f>
        <v>0</v>
      </c>
      <c r="D58" s="24">
        <f t="shared" si="4"/>
        <v>0</v>
      </c>
      <c r="E58" s="24">
        <f t="shared" si="4"/>
        <v>0</v>
      </c>
      <c r="F58" s="24">
        <f t="shared" si="4"/>
        <v>0</v>
      </c>
      <c r="G58" s="24">
        <f t="shared" si="4"/>
        <v>326.29413216238311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1977.1527169956648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1977.1527169956648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2021-11-11T13:38:14Z</dcterms:modified>
</cp:coreProperties>
</file>