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FC515009-73A9-4987-AC04-C94FB57CA58C}"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H48" i="18"/>
  <c r="D48" i="18"/>
  <c r="N6" i="17"/>
  <c r="L6" i="17"/>
  <c r="F6" i="17"/>
  <c r="D6" i="17"/>
  <c r="C6" i="17"/>
  <c r="N16" i="16"/>
  <c r="L16" i="16"/>
  <c r="F16" i="16"/>
  <c r="D16" i="16"/>
  <c r="C16" i="16"/>
  <c r="B16" i="16"/>
  <c r="B13" i="15"/>
  <c r="C48" i="18" l="1"/>
  <c r="F48" i="18"/>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32" i="48" l="1"/>
  <c r="P31"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3"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<sst xmlns="http://schemas.openxmlformats.org/spreadsheetml/2006/main" count="2558" uniqueCount="962">
  <si>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</si>
  <si>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</si>
  <si>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</si>
  <si>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</si>
  <si>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</si>
  <si>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</si>
  <si>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</si>
  <si>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</si>
  <si>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</si>
  <si>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</si>
  <si>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</si>
  <si>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</si>
  <si>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</si>
  <si>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</si>
  <si>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</si>
  <si>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</si>
  <si>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</si>
  <si>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</si>
  <si>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</si>
  <si>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</si>
  <si>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</si>
  <si>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</si>
  <si>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</si>
  <si>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</si>
  <si>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</si>
  <si>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</si>
  <si>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</si>
  <si>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</si>
  <si>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</si>
  <si>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</si>
  <si>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</si>
  <si>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</si>
  <si>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</si>
  <si>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</si>
  <si>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</si>
  <si>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</si>
  <si>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</si>
  <si>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</si>
  <si>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</si>
  <si>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</si>
  <si>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</si>
  <si>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</si>
  <si>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</si>
  <si>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</si>
  <si>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</si>
  <si>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</si>
  <si>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</si>
  <si>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</si>
  <si>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</si>
  <si>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</si>
  <si>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</si>
  <si>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</si>
  <si>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</si>
  <si>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</si>
  <si>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</si>
  <si>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</si>
  <si>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</si>
  <si>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</si>
  <si>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</si>
  <si>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</si>
  <si>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</si>
  <si>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</si>
  <si>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</si>
  <si>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</si>
  <si>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</si>
  <si>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</si>
  <si>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</si>
  <si>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</si>
  <si>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</si>
  <si>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</si>
  <si>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</si>
  <si>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</si>
  <si>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</si>
  <si>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</si>
  <si>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</si>
  <si>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</si>
  <si>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</si>
  <si>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</si>
  <si>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</si>
  <si>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</si>
  <si>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</si>
  <si>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</si>
  <si>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</si>
  <si>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</si>
  <si>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</si>
  <si>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</si>
  <si>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</si>
  <si>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</si>
  <si>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</si>
  <si>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</si>
  <si>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</si>
  <si>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</si>
  <si>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</si>
  <si>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</si>
  <si>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</si>
  <si>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</si>
  <si>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</si>
  <si>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</si>
  <si>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</si>
  <si>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</si>
  <si>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</si>
  <si>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</si>
  <si>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</si>
  <si>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</si>
  <si>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</si>
  <si>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</si>
  <si>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</si>
  <si>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</si>
  <si>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</si>
  <si>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</si>
  <si>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</si>
  <si>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</si>
  <si>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</si>
  <si>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</si>
  <si>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</si>
  <si>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</si>
  <si>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</si>
  <si>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</si>
  <si>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</si>
  <si>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</si>
  <si>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</si>
  <si>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</si>
  <si>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</si>
  <si>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</si>
  <si>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</si>
  <si>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</si>
  <si>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</si>
  <si>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</si>
  <si>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</si>
  <si>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</si>
  <si>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</si>
  <si>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</si>
  <si>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</si>
  <si>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</si>
  <si>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</si>
  <si>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</si>
  <si>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</si>
  <si>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</si>
  <si>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</si>
  <si>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</si>
  <si>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</si>
  <si>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</si>
  <si>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</si>
  <si>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</si>
  <si>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</si>
  <si>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</si>
  <si>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</si>
  <si>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</si>
  <si>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</si>
  <si>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</si>
  <si>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</si>
  <si>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</si>
  <si>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</si>
  <si>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</si>
  <si>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</si>
  <si>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</si>
  <si>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</si>
  <si>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</si>
  <si>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</si>
  <si>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</si>
  <si>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</si>
  <si>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</si>
  <si>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</si>
  <si>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</si>
  <si>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</si>
  <si>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</si>
  <si>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</si>
  <si>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</si>
  <si>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</si>
  <si>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</si>
  <si>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</si>
  <si>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</si>
  <si>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</si>
  <si>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</si>
  <si>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</si>
  <si>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</si>
  <si>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</si>
  <si>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</si>
  <si>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</si>
  <si>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</si>
  <si>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</si>
  <si>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</si>
  <si>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</si>
  <si>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</si>
  <si>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</si>
  <si>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</si>
  <si>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</si>
  <si>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</si>
  <si>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</si>
  <si>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</si>
  <si>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</si>
  <si>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</si>
  <si>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</si>
  <si>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</si>
  <si>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</si>
  <si>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</si>
  <si>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</si>
  <si>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</si>
  <si>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</si>
  <si>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</si>
  <si>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</si>
  <si>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</si>
  <si>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</si>
  <si>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</si>
  <si>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</si>
  <si>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</si>
  <si>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</si>
  <si>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</si>
  <si>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</si>
  <si>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</si>
  <si>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</si>
  <si>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</si>
  <si>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</si>
  <si>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</si>
  <si>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</si>
  <si>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</si>
  <si>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</si>
  <si>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</si>
  <si>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</si>
  <si>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</si>
  <si>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</si>
  <si>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</si>
  <si>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</si>
  <si>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</si>
  <si>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</si>
  <si>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</si>
  <si>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</si>
  <si>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</si>
  <si>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</si>
  <si>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</si>
  <si>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</si>
  <si>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</si>
  <si>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</si>
  <si>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</si>
  <si>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</si>
  <si>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</si>
  <si>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</si>
  <si>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</si>
  <si>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</si>
  <si>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</si>
  <si>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</si>
  <si>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</si>
  <si>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</si>
  <si>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</si>
  <si>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</si>
  <si>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</si>
  <si>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</si>
  <si>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</si>
  <si>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</si>
  <si>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</si>
  <si>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</si>
  <si>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</si>
  <si>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</si>
  <si>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</si>
  <si>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</si>
  <si>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</si>
  <si>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</si>
  <si>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</si>
  <si>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</si>
  <si>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</si>
  <si>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</si>
  <si>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</si>
  <si>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</si>
  <si>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</si>
  <si>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</si>
  <si>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</si>
  <si>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</si>
  <si>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</si>
  <si>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</si>
  <si>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</si>
  <si>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</si>
  <si>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</si>
  <si>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</si>
  <si>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</si>
  <si>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</si>
  <si>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</si>
  <si>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</si>
  <si>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</si>
  <si>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</si>
  <si>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</si>
  <si>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</si>
  <si>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</si>
  <si>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</si>
  <si>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</si>
  <si>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</si>
  <si>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</si>
  <si>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</si>
  <si>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</si>
  <si>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</si>
  <si>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</si>
  <si>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</si>
  <si>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</si>
  <si>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</si>
  <si>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</si>
  <si>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</si>
  <si>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</si>
  <si>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</si>
  <si>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</si>
  <si>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</si>
  <si>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</si>
  <si>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</si>
  <si>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</si>
  <si>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</si>
  <si>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</si>
  <si>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</si>
  <si>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</si>
  <si>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</si>
  <si>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</si>
  <si>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</si>
  <si>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</si>
  <si>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</si>
  <si>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</si>
  <si>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</si>
  <si>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</si>
  <si>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</si>
  <si>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</si>
  <si>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</si>
  <si>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</si>
  <si>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</si>
  <si>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</si>
  <si>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</si>
  <si>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</si>
  <si>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</si>
  <si>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</si>
  <si>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</si>
  <si>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</si>
  <si>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</si>
  <si>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</si>
  <si>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</si>
  <si>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</si>
  <si>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</si>
  <si>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</si>
  <si>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</si>
  <si>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</si>
  <si>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</si>
  <si>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</si>
  <si>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</si>
  <si>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</si>
  <si>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</si>
  <si>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</si>
  <si>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</si>
  <si>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</si>
  <si>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</si>
  <si>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</si>
  <si>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</si>
  <si>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</si>
  <si>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</si>
  <si>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</si>
  <si>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</si>
  <si>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</si>
  <si>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</si>
  <si>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</si>
  <si>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</si>
  <si>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</si>
  <si>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</si>
  <si>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</si>
  <si>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</si>
  <si>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</si>
  <si>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</si>
  <si>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</si>
  <si>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</si>
  <si>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</si>
  <si>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</si>
  <si>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</si>
  <si>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</si>
  <si>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</si>
  <si>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</si>
  <si>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</si>
  <si>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</si>
  <si>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</si>
  <si>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</si>
  <si>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</si>
  <si>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</si>
  <si>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</si>
  <si>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</si>
  <si>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</si>
  <si>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</si>
  <si>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</si>
  <si>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</si>
  <si>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</si>
  <si>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</si>
  <si>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</si>
  <si>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</si>
  <si>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</si>
  <si>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</si>
  <si>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</si>
  <si>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</si>
  <si>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</si>
  <si>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</si>
  <si>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</si>
  <si>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</si>
  <si>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</si>
  <si>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</si>
  <si>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</si>
  <si>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</si>
  <si>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</si>
  <si>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</si>
  <si>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</si>
  <si>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</si>
  <si>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</si>
  <si>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</si>
  <si>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</si>
  <si>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</si>
  <si>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</si>
  <si>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</si>
  <si>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</si>
  <si>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</si>
  <si>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</si>
  <si>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</si>
  <si>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</si>
  <si>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</si>
  <si>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</si>
  <si>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</si>
  <si>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</si>
  <si>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</si>
  <si>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</si>
  <si>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</si>
  <si>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</si>
  <si>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</si>
  <si>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</si>
  <si>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</si>
  <si>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</si>
  <si>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</si>
  <si>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</si>
  <si>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</si>
  <si>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</si>
  <si>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</si>
  <si>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</si>
  <si>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</si>
  <si>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</si>
  <si>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</si>
  <si>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</si>
  <si>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</si>
  <si>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</si>
  <si>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</si>
  <si>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</si>
  <si>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</si>
  <si>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</si>
  <si>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</si>
  <si>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</si>
  <si>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</si>
  <si>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</si>
  <si>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</si>
  <si>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</si>
  <si>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</si>
  <si>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</si>
  <si>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</si>
  <si>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</si>
  <si>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</si>
  <si>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</si>
  <si>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</si>
  <si>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</si>
  <si>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</si>
  <si>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</si>
  <si>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</si>
  <si>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</si>
  <si>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</si>
  <si>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</si>
  <si>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</si>
  <si>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</si>
  <si>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</si>
  <si>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</si>
  <si>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</si>
  <si>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</si>
  <si>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</si>
  <si>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</si>
  <si>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</si>
  <si>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</si>
  <si>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</si>
  <si>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</si>
  <si>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</si>
  <si>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</si>
  <si>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</si>
  <si>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</si>
  <si>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</si>
  <si>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</si>
  <si>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</si>
  <si>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</si>
  <si>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</si>
  <si>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</si>
  <si>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</si>
  <si>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</si>
  <si>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</si>
  <si>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</si>
  <si>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</si>
  <si>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</si>
  <si>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</si>
  <si>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</si>
  <si>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</si>
  <si>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</si>
  <si>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</si>
  <si>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</si>
  <si>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</si>
  <si>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</si>
  <si>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</si>
  <si>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</si>
  <si>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</si>
  <si>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</si>
  <si>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</si>
  <si>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</si>
  <si>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</si>
  <si>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</si>
  <si>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</si>
  <si>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</si>
  <si>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</si>
  <si>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</si>
  <si>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</si>
  <si>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</si>
  <si>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</si>
  <si>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</si>
  <si>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</si>
  <si>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</si>
  <si>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</si>
  <si>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</si>
  <si>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</si>
  <si>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</si>
  <si>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</si>
  <si>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</si>
  <si>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</si>
  <si>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</si>
  <si>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</si>
  <si>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</si>
  <si>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</si>
  <si>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</si>
  <si>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</si>
  <si>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</si>
  <si>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</si>
  <si>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</si>
  <si>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</si>
  <si>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</si>
  <si>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</si>
  <si>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</si>
  <si>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</si>
  <si>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</si>
  <si>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</si>
  <si>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</si>
  <si>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</si>
  <si>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</si>
  <si>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</si>
  <si>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</si>
  <si>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</si>
  <si>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</si>
  <si>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</si>
  <si>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</si>
  <si>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</si>
  <si>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</si>
  <si>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</si>
  <si>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</si>
  <si>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</si>
  <si>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</si>
  <si>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</si>
  <si>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</si>
  <si>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</si>
  <si>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</si>
  <si>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</si>
  <si>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</si>
  <si>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</si>
  <si>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</si>
  <si>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</si>
  <si>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</si>
  <si>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</si>
  <si>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</si>
  <si>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</si>
  <si>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</si>
  <si>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</si>
  <si>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</si>
  <si>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</si>
  <si>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</si>
  <si>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</si>
  <si>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</si>
  <si>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</si>
  <si>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</si>
  <si>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</si>
  <si>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</si>
  <si>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</si>
  <si>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</si>
  <si>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</si>
  <si>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</si>
  <si>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</si>
  <si>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</si>
  <si>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</si>
  <si>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</si>
  <si>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</si>
  <si>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</si>
  <si>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</si>
  <si>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</si>
  <si>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</si>
  <si>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</si>
  <si>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</si>
  <si>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</si>
  <si>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</si>
  <si>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</si>
  <si>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</si>
  <si>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</si>
  <si>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</si>
  <si>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</si>
  <si>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</si>
  <si>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</si>
  <si>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</si>
  <si>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</si>
  <si>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</si>
  <si>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</si>
  <si>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</si>
  <si>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</si>
  <si>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</si>
  <si>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</si>
  <si>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</si>
  <si>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</si>
  <si>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</si>
  <si>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</si>
  <si>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</si>
  <si>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</si>
  <si>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</si>
  <si>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</si>
  <si>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</si>
  <si>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</si>
  <si>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</si>
  <si>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</si>
  <si>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</si>
  <si>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</si>
  <si>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</si>
  <si>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</si>
  <si>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</si>
  <si>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</si>
  <si>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</si>
  <si>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</si>
  <si>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</si>
  <si>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</si>
  <si>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</si>
  <si>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</si>
  <si>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</si>
  <si>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</si>
  <si>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</si>
  <si>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</si>
  <si>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</si>
  <si>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</si>
  <si>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</si>
  <si>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</si>
  <si>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</si>
  <si>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</si>
  <si>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</si>
  <si>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</si>
  <si>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</si>
  <si>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</si>
  <si>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</si>
  <si>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</si>
  <si>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</si>
  <si>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</si>
  <si>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</si>
  <si>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</si>
  <si>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</si>
  <si>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</si>
  <si>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</si>
  <si>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</si>
  <si>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</si>
  <si>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</si>
  <si>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</si>
  <si>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</si>
  <si>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</si>
  <si>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</si>
  <si>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</si>
  <si>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</si>
  <si>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</si>
  <si>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</si>
  <si>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</si>
  <si>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</si>
  <si>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</si>
  <si>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</si>
  <si>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</si>
  <si>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</si>
  <si>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</si>
  <si>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</si>
  <si>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</si>
  <si>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</si>
  <si>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</si>
  <si>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</si>
  <si>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</si>
  <si>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</si>
  <si>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</si>
  <si>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</si>
  <si>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</si>
  <si>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</si>
  <si>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</si>
  <si>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</si>
  <si>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</si>
  <si>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</si>
  <si>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</si>
  <si>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</si>
  <si>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</si>
  <si>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</si>
  <si>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</si>
  <si>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</si>
  <si>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</si>
  <si>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</si>
  <si>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</si>
  <si>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</si>
  <si>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</si>
  <si>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</si>
  <si>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</si>
  <si>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</si>
  <si>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</si>
  <si>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</si>
  <si>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</si>
  <si>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</si>
  <si>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</si>
  <si>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</si>
  <si>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</si>
  <si>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</si>
  <si>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</si>
  <si>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</si>
  <si>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</si>
  <si>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</si>
  <si>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</si>
  <si>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</si>
  <si>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</si>
  <si>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</si>
  <si>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</si>
  <si>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</si>
  <si>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</si>
  <si>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</si>
  <si>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</si>
  <si>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</si>
  <si>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</si>
  <si>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</si>
  <si>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</si>
  <si>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</si>
  <si>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</si>
  <si>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</si>
  <si>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</si>
  <si>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</si>
  <si>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</si>
  <si>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</si>
  <si>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</si>
  <si>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</si>
  <si>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</si>
  <si>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</si>
  <si>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</si>
  <si>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</si>
  <si>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</si>
  <si>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</si>
  <si>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</si>
  <si>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</si>
  <si>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</si>
  <si>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</si>
  <si>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</si>
  <si>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</si>
  <si>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</si>
  <si>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</si>
  <si>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</si>
  <si>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</si>
  <si>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</si>
  <si>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</si>
  <si>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</si>
  <si>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</si>
  <si>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</si>
  <si>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</si>
  <si>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</si>
  <si>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</si>
  <si>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</si>
  <si>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</si>
  <si>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</si>
  <si>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</si>
  <si>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</si>
  <si>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</si>
  <si>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</si>
  <si>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</si>
  <si>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</si>
  <si>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</si>
  <si>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</si>
  <si>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</si>
  <si>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</si>
  <si>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</si>
  <si>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</si>
  <si>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</si>
  <si>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</si>
  <si>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</si>
  <si>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</si>
  <si>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</si>
  <si>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</si>
  <si>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</si>
  <si>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</si>
  <si>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</si>
  <si>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</si>
  <si>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</si>
  <si>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</si>
  <si>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</si>
  <si>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</si>
  <si>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</si>
  <si>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</si>
  <si>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</si>
  <si>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</si>
  <si>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</si>
  <si>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</si>
  <si>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</si>
  <si>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</si>
  <si>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</si>
  <si>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</si>
  <si>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</si>
  <si>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</si>
  <si>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</si>
  <si>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</si>
  <si>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</si>
  <si>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</si>
  <si>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</si>
  <si>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</si>
  <si>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</si>
  <si>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</si>
  <si>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</si>
  <si>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</si>
  <si>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</si>
  <si>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</si>
  <si>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</si>
  <si>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</si>
  <si>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</si>
  <si>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</si>
  <si>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</si>
  <si>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</si>
  <si>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</si>
  <si>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</si>
  <si>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</si>
  <si>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</si>
  <si>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</si>
  <si>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</si>
  <si>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</si>
  <si>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</si>
  <si>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</si>
  <si>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</si>
  <si>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</si>
  <si>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</si>
  <si>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</si>
  <si>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</si>
  <si>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</si>
  <si>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</si>
  <si>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</si>
  <si>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</si>
  <si>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</si>
  <si>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</si>
  <si>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</si>
  <si>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</si>
  <si>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</si>
  <si>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</si>
  <si>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</si>
  <si>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</si>
  <si>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</si>
  <si>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</si>
  <si>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</si>
  <si>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</si>
  <si>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</si>
  <si>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</si>
  <si>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</si>
  <si>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</si>
  <si>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</si>
  <si>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</si>
  <si>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</si>
  <si>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</si>
  <si>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</si>
  <si>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</si>
  <si>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</si>
  <si>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</si>
  <si>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</si>
  <si>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</si>
  <si>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</si>
  <si>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</si>
  <si>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</si>
  <si>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</si>
  <si>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</si>
  <si>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</si>
  <si>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</si>
  <si>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</si>
  <si>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</si>
  <si>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</si>
  <si>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</si>
  <si>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</si>
  <si>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</si>
  <si>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</si>
  <si>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</si>
  <si>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</si>
  <si>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</si>
  <si>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</si>
  <si>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</si>
  <si>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</si>
  <si>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</si>
  <si>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</si>
  <si>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</si>
  <si>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</si>
  <si>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</si>
  <si>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</si>
  <si>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</si>
  <si>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</si>
  <si>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</si>
  <si>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</si>
  <si>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</si>
  <si>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</si>
  <si>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</si>
  <si>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</si>
  <si>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</si>
  <si>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</si>
  <si>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</si>
  <si>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</si>
  <si>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</si>
  <si>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</si>
  <si>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</si>
  <si>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</si>
  <si>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</si>
  <si>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</si>
  <si>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</si>
  <si>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</si>
  <si>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</si>
  <si>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</si>
  <si>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</si>
  <si>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</si>
  <si>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</si>
  <si>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</si>
  <si>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</si>
  <si>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</si>
  <si>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</si>
  <si>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</si>
  <si>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</si>
  <si>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</si>
  <si>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</si>
  <si>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</si>
  <si>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</si>
  <si>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</si>
  <si>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</si>
  <si>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</si>
  <si>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</si>
  <si>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</si>
  <si>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</si>
  <si>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</si>
  <si>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</si>
  <si>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</si>
  <si>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</si>
  <si>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</si>
  <si>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</si>
  <si>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</si>
  <si>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</si>
  <si>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</si>
  <si>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</si>
  <si>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</si>
  <si>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</si>
  <si>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</si>
  <si>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</si>
  <si>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</si>
  <si>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</si>
  <si>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</si>
  <si>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</si>
  <si>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</si>
  <si>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</si>
  <si>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</si>
  <si>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</si>
  <si>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</si>
  <si>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</si>
  <si>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</si>
  <si>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44001</t>
  </si>
  <si>
    <t>AALTER</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</si>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</sst>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2E50054C-28C5-4598-A578-44E74D761DF8}"/>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44001</v>
      </c>
      <c r="B6" s="384"/>
      <c r="C6" s="385"/>
    </row>
    <row r="7" spans="1:7" s="382" customFormat="1" ht="15.75" customHeight="1">
      <c r="A7" s="386" t="str">
        <f>txtMunicipality</f>
        <v>AALTER</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31512.175192236373</v>
      </c>
      <c r="D10" s="674">
        <f ca="1">tertiair!C16</f>
        <v>0</v>
      </c>
      <c r="E10" s="674">
        <f ca="1">tertiair!D16</f>
        <v>22042.349402560561</v>
      </c>
      <c r="F10" s="674">
        <f>tertiair!E16</f>
        <v>279.3978312489217</v>
      </c>
      <c r="G10" s="674">
        <f ca="1">tertiair!F16</f>
        <v>5989.1636025934504</v>
      </c>
      <c r="H10" s="674">
        <f>tertiair!G16</f>
        <v>0</v>
      </c>
      <c r="I10" s="674">
        <f>tertiair!H16</f>
        <v>0</v>
      </c>
      <c r="J10" s="674">
        <f>tertiair!I16</f>
        <v>0</v>
      </c>
      <c r="K10" s="674">
        <f>tertiair!J16</f>
        <v>0</v>
      </c>
      <c r="L10" s="674">
        <f>tertiair!K16</f>
        <v>0</v>
      </c>
      <c r="M10" s="674">
        <f ca="1">tertiair!L16</f>
        <v>0</v>
      </c>
      <c r="N10" s="674">
        <f>tertiair!M16</f>
        <v>0</v>
      </c>
      <c r="O10" s="674">
        <f ca="1">tertiair!N16</f>
        <v>2619.6072845927156</v>
      </c>
      <c r="P10" s="674">
        <f>tertiair!O16</f>
        <v>7.8166666666666664</v>
      </c>
      <c r="Q10" s="675">
        <f>tertiair!P16</f>
        <v>152.53333333333333</v>
      </c>
      <c r="R10" s="677">
        <f ca="1">SUM(C10:Q10)</f>
        <v>62603.043313232025</v>
      </c>
      <c r="S10" s="68"/>
    </row>
    <row r="11" spans="1:19" s="443" customFormat="1">
      <c r="A11" s="789" t="s">
        <v>214</v>
      </c>
      <c r="B11" s="794"/>
      <c r="C11" s="674">
        <f>huishoudens!B8</f>
        <v>42324.054394106985</v>
      </c>
      <c r="D11" s="674">
        <f>huishoudens!C8</f>
        <v>0</v>
      </c>
      <c r="E11" s="674">
        <f>huishoudens!D8</f>
        <v>50209.238697010456</v>
      </c>
      <c r="F11" s="674">
        <f>huishoudens!E8</f>
        <v>2449.2251935152699</v>
      </c>
      <c r="G11" s="674">
        <f>huishoudens!F8</f>
        <v>74669.765324912019</v>
      </c>
      <c r="H11" s="674">
        <f>huishoudens!G8</f>
        <v>0</v>
      </c>
      <c r="I11" s="674">
        <f>huishoudens!H8</f>
        <v>0</v>
      </c>
      <c r="J11" s="674">
        <f>huishoudens!I8</f>
        <v>0</v>
      </c>
      <c r="K11" s="674">
        <f>huishoudens!J8</f>
        <v>1354.8568734518785</v>
      </c>
      <c r="L11" s="674">
        <f>huishoudens!K8</f>
        <v>0</v>
      </c>
      <c r="M11" s="674">
        <f>huishoudens!L8</f>
        <v>0</v>
      </c>
      <c r="N11" s="674">
        <f>huishoudens!M8</f>
        <v>0</v>
      </c>
      <c r="O11" s="674">
        <f>huishoudens!N8</f>
        <v>12089.368349772003</v>
      </c>
      <c r="P11" s="674">
        <f>huishoudens!O8</f>
        <v>189.16333333333336</v>
      </c>
      <c r="Q11" s="675">
        <f>huishoudens!P8</f>
        <v>724.5333333333333</v>
      </c>
      <c r="R11" s="677">
        <f>SUM(C11:Q11)</f>
        <v>184010.20549943528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71820.441168852994</v>
      </c>
      <c r="D13" s="674">
        <f>industrie!C18</f>
        <v>0</v>
      </c>
      <c r="E13" s="674">
        <f>industrie!D18</f>
        <v>199209.52722953123</v>
      </c>
      <c r="F13" s="674">
        <f>industrie!E18</f>
        <v>788.66333987459598</v>
      </c>
      <c r="G13" s="674">
        <f>industrie!F18</f>
        <v>18166.631842286199</v>
      </c>
      <c r="H13" s="674">
        <f>industrie!G18</f>
        <v>0</v>
      </c>
      <c r="I13" s="674">
        <f>industrie!H18</f>
        <v>0</v>
      </c>
      <c r="J13" s="674">
        <f>industrie!I18</f>
        <v>0</v>
      </c>
      <c r="K13" s="674">
        <f>industrie!J18</f>
        <v>292.51729468537224</v>
      </c>
      <c r="L13" s="674">
        <f>industrie!K18</f>
        <v>0</v>
      </c>
      <c r="M13" s="674">
        <f>industrie!L18</f>
        <v>0</v>
      </c>
      <c r="N13" s="674">
        <f>industrie!M18</f>
        <v>0</v>
      </c>
      <c r="O13" s="674">
        <f>industrie!N18</f>
        <v>4491.9708010278628</v>
      </c>
      <c r="P13" s="674">
        <f>industrie!O18</f>
        <v>0</v>
      </c>
      <c r="Q13" s="675">
        <f>industrie!P18</f>
        <v>0</v>
      </c>
      <c r="R13" s="677">
        <f>SUM(C13:Q13)</f>
        <v>294769.75167625822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145656.67075519636</v>
      </c>
      <c r="D16" s="707">
        <f t="shared" ref="D16:R16" ca="1" si="0">SUM(D9:D15)</f>
        <v>0</v>
      </c>
      <c r="E16" s="707">
        <f t="shared" ca="1" si="0"/>
        <v>271461.11532910226</v>
      </c>
      <c r="F16" s="707">
        <f t="shared" si="0"/>
        <v>3517.2863646387877</v>
      </c>
      <c r="G16" s="707">
        <f t="shared" ca="1" si="0"/>
        <v>98825.560769791671</v>
      </c>
      <c r="H16" s="707">
        <f t="shared" si="0"/>
        <v>0</v>
      </c>
      <c r="I16" s="707">
        <f t="shared" si="0"/>
        <v>0</v>
      </c>
      <c r="J16" s="707">
        <f t="shared" si="0"/>
        <v>0</v>
      </c>
      <c r="K16" s="707">
        <f t="shared" si="0"/>
        <v>1647.3741681372508</v>
      </c>
      <c r="L16" s="707">
        <f t="shared" si="0"/>
        <v>0</v>
      </c>
      <c r="M16" s="707">
        <f t="shared" ca="1" si="0"/>
        <v>0</v>
      </c>
      <c r="N16" s="707">
        <f t="shared" si="0"/>
        <v>0</v>
      </c>
      <c r="O16" s="707">
        <f t="shared" ca="1" si="0"/>
        <v>19200.94643539258</v>
      </c>
      <c r="P16" s="707">
        <f t="shared" si="0"/>
        <v>196.98000000000002</v>
      </c>
      <c r="Q16" s="707">
        <f t="shared" si="0"/>
        <v>877.06666666666661</v>
      </c>
      <c r="R16" s="707">
        <f t="shared" ca="1" si="0"/>
        <v>541383.00048892549</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3.4966567461762166</v>
      </c>
      <c r="D19" s="674">
        <f>transport!C54</f>
        <v>0</v>
      </c>
      <c r="E19" s="674">
        <f>transport!D54</f>
        <v>0</v>
      </c>
      <c r="F19" s="674">
        <f>transport!E54</f>
        <v>0</v>
      </c>
      <c r="G19" s="674">
        <f>transport!F54</f>
        <v>0</v>
      </c>
      <c r="H19" s="674">
        <f>transport!G54</f>
        <v>697.41508191212085</v>
      </c>
      <c r="I19" s="674">
        <f>transport!H54</f>
        <v>0</v>
      </c>
      <c r="J19" s="674">
        <f>transport!I54</f>
        <v>0</v>
      </c>
      <c r="K19" s="674">
        <f>transport!J54</f>
        <v>0</v>
      </c>
      <c r="L19" s="674">
        <f>transport!K54</f>
        <v>0</v>
      </c>
      <c r="M19" s="674">
        <f>transport!L54</f>
        <v>0</v>
      </c>
      <c r="N19" s="674">
        <f>transport!M54</f>
        <v>30.825003831758092</v>
      </c>
      <c r="O19" s="674">
        <f>transport!N54</f>
        <v>0</v>
      </c>
      <c r="P19" s="674">
        <f>transport!O54</f>
        <v>0</v>
      </c>
      <c r="Q19" s="675">
        <f>transport!P54</f>
        <v>0</v>
      </c>
      <c r="R19" s="677">
        <f>SUM(C19:Q19)</f>
        <v>731.73674249005512</v>
      </c>
      <c r="S19" s="68"/>
    </row>
    <row r="20" spans="1:19" s="443" customFormat="1">
      <c r="A20" s="789" t="s">
        <v>296</v>
      </c>
      <c r="B20" s="794"/>
      <c r="C20" s="674">
        <f>transport!B14</f>
        <v>18.790693788318055</v>
      </c>
      <c r="D20" s="674">
        <f>transport!C14</f>
        <v>0</v>
      </c>
      <c r="E20" s="674">
        <f>transport!D14</f>
        <v>20.900215889540188</v>
      </c>
      <c r="F20" s="674">
        <f>transport!E14</f>
        <v>1569.291875008289</v>
      </c>
      <c r="G20" s="674">
        <f>transport!F14</f>
        <v>0</v>
      </c>
      <c r="H20" s="674">
        <f>transport!G14</f>
        <v>405383.4217024984</v>
      </c>
      <c r="I20" s="674">
        <f>transport!H14</f>
        <v>52634.027484968195</v>
      </c>
      <c r="J20" s="674">
        <f>transport!I14</f>
        <v>0</v>
      </c>
      <c r="K20" s="674">
        <f>transport!J14</f>
        <v>0</v>
      </c>
      <c r="L20" s="674">
        <f>transport!K14</f>
        <v>0</v>
      </c>
      <c r="M20" s="674">
        <f>transport!L14</f>
        <v>0</v>
      </c>
      <c r="N20" s="674">
        <f>transport!M14</f>
        <v>20448.712485361146</v>
      </c>
      <c r="O20" s="674">
        <f>transport!N14</f>
        <v>0</v>
      </c>
      <c r="P20" s="674">
        <f>transport!O14</f>
        <v>0</v>
      </c>
      <c r="Q20" s="675">
        <f>transport!P14</f>
        <v>0</v>
      </c>
      <c r="R20" s="677">
        <f>SUM(C20:Q20)</f>
        <v>480075.14445751387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22.287350534494273</v>
      </c>
      <c r="D22" s="792">
        <f t="shared" ref="D22:R22" si="1">SUM(D18:D21)</f>
        <v>0</v>
      </c>
      <c r="E22" s="792">
        <f t="shared" si="1"/>
        <v>20.900215889540188</v>
      </c>
      <c r="F22" s="792">
        <f t="shared" si="1"/>
        <v>1569.291875008289</v>
      </c>
      <c r="G22" s="792">
        <f t="shared" si="1"/>
        <v>0</v>
      </c>
      <c r="H22" s="792">
        <f t="shared" si="1"/>
        <v>406080.83678441052</v>
      </c>
      <c r="I22" s="792">
        <f t="shared" si="1"/>
        <v>52634.027484968195</v>
      </c>
      <c r="J22" s="792">
        <f t="shared" si="1"/>
        <v>0</v>
      </c>
      <c r="K22" s="792">
        <f t="shared" si="1"/>
        <v>0</v>
      </c>
      <c r="L22" s="792">
        <f t="shared" si="1"/>
        <v>0</v>
      </c>
      <c r="M22" s="792">
        <f t="shared" si="1"/>
        <v>0</v>
      </c>
      <c r="N22" s="792">
        <f t="shared" si="1"/>
        <v>20479.537489192902</v>
      </c>
      <c r="O22" s="792">
        <f t="shared" si="1"/>
        <v>0</v>
      </c>
      <c r="P22" s="792">
        <f t="shared" si="1"/>
        <v>0</v>
      </c>
      <c r="Q22" s="792">
        <f t="shared" si="1"/>
        <v>0</v>
      </c>
      <c r="R22" s="792">
        <f t="shared" si="1"/>
        <v>480806.8812000039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6416.3548136290201</v>
      </c>
      <c r="D24" s="674">
        <f>+landbouw!C8</f>
        <v>2274.1071428571431</v>
      </c>
      <c r="E24" s="674">
        <f>+landbouw!D8</f>
        <v>6080.5671470487032</v>
      </c>
      <c r="F24" s="674">
        <f>+landbouw!E8</f>
        <v>60.446361443134244</v>
      </c>
      <c r="G24" s="674">
        <f>+landbouw!F8</f>
        <v>20938.695158023176</v>
      </c>
      <c r="H24" s="674">
        <f>+landbouw!G8</f>
        <v>0</v>
      </c>
      <c r="I24" s="674">
        <f>+landbouw!H8</f>
        <v>0</v>
      </c>
      <c r="J24" s="674">
        <f>+landbouw!I8</f>
        <v>0</v>
      </c>
      <c r="K24" s="674">
        <f>+landbouw!J8</f>
        <v>793.73429958972815</v>
      </c>
      <c r="L24" s="674">
        <f>+landbouw!K8</f>
        <v>0</v>
      </c>
      <c r="M24" s="674">
        <f>+landbouw!L8</f>
        <v>0</v>
      </c>
      <c r="N24" s="674">
        <f>+landbouw!M8</f>
        <v>0</v>
      </c>
      <c r="O24" s="674">
        <f>+landbouw!N8</f>
        <v>0</v>
      </c>
      <c r="P24" s="674">
        <f>+landbouw!O8</f>
        <v>0</v>
      </c>
      <c r="Q24" s="675">
        <f>+landbouw!P8</f>
        <v>0</v>
      </c>
      <c r="R24" s="677">
        <f>SUM(C24:Q24)</f>
        <v>36563.904922590904</v>
      </c>
      <c r="S24" s="68"/>
    </row>
    <row r="25" spans="1:19" s="443" customFormat="1" ht="15" thickBot="1">
      <c r="A25" s="811" t="s">
        <v>873</v>
      </c>
      <c r="B25" s="977"/>
      <c r="C25" s="978">
        <f>IF(Onbekend_ele_kWh="---",0,Onbekend_ele_kWh)/1000+IF(REST_rest_ele_kWh="---",0,REST_rest_ele_kWh)/1000</f>
        <v>1849.5688350871601</v>
      </c>
      <c r="D25" s="978"/>
      <c r="E25" s="978">
        <f>IF(onbekend_gas_kWh="---",0,onbekend_gas_kWh)/1000+IF(REST_rest_gas_kWh="---",0,REST_rest_gas_kWh)/1000</f>
        <v>3306.4993444165698</v>
      </c>
      <c r="F25" s="978"/>
      <c r="G25" s="978"/>
      <c r="H25" s="978"/>
      <c r="I25" s="978"/>
      <c r="J25" s="978"/>
      <c r="K25" s="978"/>
      <c r="L25" s="978"/>
      <c r="M25" s="978"/>
      <c r="N25" s="978"/>
      <c r="O25" s="978"/>
      <c r="P25" s="978"/>
      <c r="Q25" s="979"/>
      <c r="R25" s="677">
        <f>SUM(C25:Q25)</f>
        <v>5156.0681795037299</v>
      </c>
      <c r="S25" s="68"/>
    </row>
    <row r="26" spans="1:19" s="443" customFormat="1" ht="15.75" thickBot="1">
      <c r="A26" s="680" t="s">
        <v>874</v>
      </c>
      <c r="B26" s="797"/>
      <c r="C26" s="792">
        <f>SUM(C24:C25)</f>
        <v>8265.9236487161797</v>
      </c>
      <c r="D26" s="792">
        <f t="shared" ref="D26:R26" si="2">SUM(D24:D25)</f>
        <v>2274.1071428571431</v>
      </c>
      <c r="E26" s="792">
        <f t="shared" si="2"/>
        <v>9387.0664914652734</v>
      </c>
      <c r="F26" s="792">
        <f t="shared" si="2"/>
        <v>60.446361443134244</v>
      </c>
      <c r="G26" s="792">
        <f t="shared" si="2"/>
        <v>20938.695158023176</v>
      </c>
      <c r="H26" s="792">
        <f t="shared" si="2"/>
        <v>0</v>
      </c>
      <c r="I26" s="792">
        <f t="shared" si="2"/>
        <v>0</v>
      </c>
      <c r="J26" s="792">
        <f t="shared" si="2"/>
        <v>0</v>
      </c>
      <c r="K26" s="792">
        <f t="shared" si="2"/>
        <v>793.73429958972815</v>
      </c>
      <c r="L26" s="792">
        <f t="shared" si="2"/>
        <v>0</v>
      </c>
      <c r="M26" s="792">
        <f t="shared" si="2"/>
        <v>0</v>
      </c>
      <c r="N26" s="792">
        <f t="shared" si="2"/>
        <v>0</v>
      </c>
      <c r="O26" s="792">
        <f t="shared" si="2"/>
        <v>0</v>
      </c>
      <c r="P26" s="792">
        <f t="shared" si="2"/>
        <v>0</v>
      </c>
      <c r="Q26" s="792">
        <f t="shared" si="2"/>
        <v>0</v>
      </c>
      <c r="R26" s="792">
        <f t="shared" si="2"/>
        <v>41719.973102094635</v>
      </c>
      <c r="S26" s="68"/>
    </row>
    <row r="27" spans="1:19" s="443" customFormat="1" ht="17.25" thickTop="1" thickBot="1">
      <c r="A27" s="681" t="s">
        <v>109</v>
      </c>
      <c r="B27" s="784"/>
      <c r="C27" s="682">
        <f ca="1">C22+C16+C26</f>
        <v>153944.88175444704</v>
      </c>
      <c r="D27" s="682">
        <f t="shared" ref="D27:R27" ca="1" si="3">D22+D16+D26</f>
        <v>2274.1071428571431</v>
      </c>
      <c r="E27" s="682">
        <f t="shared" ca="1" si="3"/>
        <v>280869.08203645708</v>
      </c>
      <c r="F27" s="682">
        <f t="shared" si="3"/>
        <v>5147.024601090211</v>
      </c>
      <c r="G27" s="682">
        <f t="shared" ca="1" si="3"/>
        <v>119764.25592781484</v>
      </c>
      <c r="H27" s="682">
        <f t="shared" si="3"/>
        <v>406080.83678441052</v>
      </c>
      <c r="I27" s="682">
        <f t="shared" si="3"/>
        <v>52634.027484968195</v>
      </c>
      <c r="J27" s="682">
        <f t="shared" si="3"/>
        <v>0</v>
      </c>
      <c r="K27" s="682">
        <f t="shared" si="3"/>
        <v>2441.1084677269791</v>
      </c>
      <c r="L27" s="682">
        <f t="shared" si="3"/>
        <v>0</v>
      </c>
      <c r="M27" s="682">
        <f t="shared" ca="1" si="3"/>
        <v>0</v>
      </c>
      <c r="N27" s="682">
        <f t="shared" si="3"/>
        <v>20479.537489192902</v>
      </c>
      <c r="O27" s="682">
        <f t="shared" ca="1" si="3"/>
        <v>19200.94643539258</v>
      </c>
      <c r="P27" s="682">
        <f t="shared" si="3"/>
        <v>196.98000000000002</v>
      </c>
      <c r="Q27" s="682">
        <f t="shared" si="3"/>
        <v>877.06666666666661</v>
      </c>
      <c r="R27" s="682">
        <f t="shared" ca="1" si="3"/>
        <v>1063909.854791024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6596.2779625123676</v>
      </c>
      <c r="D40" s="674">
        <f ca="1">tertiair!C20</f>
        <v>0</v>
      </c>
      <c r="E40" s="674">
        <f ca="1">tertiair!D20</f>
        <v>4452.5545793172341</v>
      </c>
      <c r="F40" s="674">
        <f>tertiair!E20</f>
        <v>63.42330769350523</v>
      </c>
      <c r="G40" s="674">
        <f ca="1">tertiair!F20</f>
        <v>1599.1066818924514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12711.362531415558</v>
      </c>
    </row>
    <row r="41" spans="1:18">
      <c r="A41" s="802" t="s">
        <v>214</v>
      </c>
      <c r="B41" s="809"/>
      <c r="C41" s="674">
        <f ca="1">huishoudens!B12</f>
        <v>8859.4717940259561</v>
      </c>
      <c r="D41" s="674">
        <f ca="1">huishoudens!C12</f>
        <v>0</v>
      </c>
      <c r="E41" s="674">
        <f>huishoudens!D12</f>
        <v>10142.266216796113</v>
      </c>
      <c r="F41" s="674">
        <f>huishoudens!E12</f>
        <v>555.97411892796629</v>
      </c>
      <c r="G41" s="674">
        <f>huishoudens!F12</f>
        <v>19936.827341751512</v>
      </c>
      <c r="H41" s="674">
        <f>huishoudens!G12</f>
        <v>0</v>
      </c>
      <c r="I41" s="674">
        <f>huishoudens!H12</f>
        <v>0</v>
      </c>
      <c r="J41" s="674">
        <f>huishoudens!I12</f>
        <v>0</v>
      </c>
      <c r="K41" s="674">
        <f>huishoudens!J12</f>
        <v>479.61933320196499</v>
      </c>
      <c r="L41" s="674">
        <f>huishoudens!K12</f>
        <v>0</v>
      </c>
      <c r="M41" s="674">
        <f>huishoudens!L12</f>
        <v>0</v>
      </c>
      <c r="N41" s="674">
        <f>huishoudens!M12</f>
        <v>0</v>
      </c>
      <c r="O41" s="674">
        <f>huishoudens!N12</f>
        <v>0</v>
      </c>
      <c r="P41" s="674">
        <f>huishoudens!O12</f>
        <v>0</v>
      </c>
      <c r="Q41" s="749">
        <f>huishoudens!P12</f>
        <v>0</v>
      </c>
      <c r="R41" s="830">
        <f t="shared" ca="1" si="4"/>
        <v>39974.158804703511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15033.795364806734</v>
      </c>
      <c r="D43" s="674">
        <f ca="1">industrie!C22</f>
        <v>0</v>
      </c>
      <c r="E43" s="674">
        <f>industrie!D22</f>
        <v>40240.324500365314</v>
      </c>
      <c r="F43" s="674">
        <f>industrie!E22</f>
        <v>179.0265781515333</v>
      </c>
      <c r="G43" s="674">
        <f>industrie!F22</f>
        <v>4850.490701890415</v>
      </c>
      <c r="H43" s="674">
        <f>industrie!G22</f>
        <v>0</v>
      </c>
      <c r="I43" s="674">
        <f>industrie!H22</f>
        <v>0</v>
      </c>
      <c r="J43" s="674">
        <f>industrie!I22</f>
        <v>0</v>
      </c>
      <c r="K43" s="674">
        <f>industrie!J22</f>
        <v>103.55112231862176</v>
      </c>
      <c r="L43" s="674">
        <f>industrie!K22</f>
        <v>0</v>
      </c>
      <c r="M43" s="674">
        <f>industrie!L22</f>
        <v>0</v>
      </c>
      <c r="N43" s="674">
        <f>industrie!M22</f>
        <v>0</v>
      </c>
      <c r="O43" s="674">
        <f>industrie!N22</f>
        <v>0</v>
      </c>
      <c r="P43" s="674">
        <f>industrie!O22</f>
        <v>0</v>
      </c>
      <c r="Q43" s="749">
        <f>industrie!P22</f>
        <v>0</v>
      </c>
      <c r="R43" s="829">
        <f t="shared" ca="1" si="4"/>
        <v>60407.188267532612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30489.545121345058</v>
      </c>
      <c r="D46" s="707">
        <f t="shared" ref="D46:Q46" ca="1" si="5">SUM(D39:D45)</f>
        <v>0</v>
      </c>
      <c r="E46" s="707">
        <f t="shared" ca="1" si="5"/>
        <v>54835.145296478659</v>
      </c>
      <c r="F46" s="707">
        <f t="shared" si="5"/>
        <v>798.42400477300475</v>
      </c>
      <c r="G46" s="707">
        <f t="shared" ca="1" si="5"/>
        <v>26386.42472553438</v>
      </c>
      <c r="H46" s="707">
        <f t="shared" si="5"/>
        <v>0</v>
      </c>
      <c r="I46" s="707">
        <f t="shared" si="5"/>
        <v>0</v>
      </c>
      <c r="J46" s="707">
        <f t="shared" si="5"/>
        <v>0</v>
      </c>
      <c r="K46" s="707">
        <f t="shared" si="5"/>
        <v>583.17045552058676</v>
      </c>
      <c r="L46" s="707">
        <f t="shared" si="5"/>
        <v>0</v>
      </c>
      <c r="M46" s="707">
        <f t="shared" ca="1" si="5"/>
        <v>0</v>
      </c>
      <c r="N46" s="707">
        <f t="shared" si="5"/>
        <v>0</v>
      </c>
      <c r="O46" s="707">
        <f t="shared" ca="1" si="5"/>
        <v>0</v>
      </c>
      <c r="P46" s="707">
        <f t="shared" si="5"/>
        <v>0</v>
      </c>
      <c r="Q46" s="707">
        <f t="shared" si="5"/>
        <v>0</v>
      </c>
      <c r="R46" s="707">
        <f ca="1">SUM(R39:R45)</f>
        <v>113092.70960365169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0.73193677353491171</v>
      </c>
      <c r="D49" s="674">
        <f ca="1">transport!C58</f>
        <v>0</v>
      </c>
      <c r="E49" s="674">
        <f>transport!D58</f>
        <v>0</v>
      </c>
      <c r="F49" s="674">
        <f>transport!E58</f>
        <v>0</v>
      </c>
      <c r="G49" s="674">
        <f>transport!F58</f>
        <v>0</v>
      </c>
      <c r="H49" s="674">
        <f>transport!G58</f>
        <v>186.20982687053629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186.94176364407119</v>
      </c>
    </row>
    <row r="50" spans="1:18">
      <c r="A50" s="805" t="s">
        <v>296</v>
      </c>
      <c r="B50" s="815"/>
      <c r="C50" s="984">
        <f ca="1">transport!B18</f>
        <v>3.9333571414878885</v>
      </c>
      <c r="D50" s="984">
        <f>transport!C18</f>
        <v>0</v>
      </c>
      <c r="E50" s="984">
        <f>transport!D18</f>
        <v>4.2218436096871184</v>
      </c>
      <c r="F50" s="984">
        <f>transport!E18</f>
        <v>356.22925562688164</v>
      </c>
      <c r="G50" s="984">
        <f>transport!F18</f>
        <v>0</v>
      </c>
      <c r="H50" s="984">
        <f>transport!G18</f>
        <v>108237.37359456708</v>
      </c>
      <c r="I50" s="984">
        <f>transport!H18</f>
        <v>13105.872843757081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121707.63089470222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4.6652939150227999</v>
      </c>
      <c r="D52" s="707">
        <f t="shared" ref="D52:Q52" ca="1" si="6">SUM(D48:D51)</f>
        <v>0</v>
      </c>
      <c r="E52" s="707">
        <f t="shared" si="6"/>
        <v>4.2218436096871184</v>
      </c>
      <c r="F52" s="707">
        <f t="shared" si="6"/>
        <v>356.22925562688164</v>
      </c>
      <c r="G52" s="707">
        <f t="shared" si="6"/>
        <v>0</v>
      </c>
      <c r="H52" s="707">
        <f t="shared" si="6"/>
        <v>108423.58342143761</v>
      </c>
      <c r="I52" s="707">
        <f t="shared" si="6"/>
        <v>13105.872843757081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121894.5726583463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1343.1018201253398</v>
      </c>
      <c r="D54" s="984">
        <f ca="1">+landbouw!C12</f>
        <v>540.43487394957992</v>
      </c>
      <c r="E54" s="984">
        <f>+landbouw!D12</f>
        <v>1228.2745637038381</v>
      </c>
      <c r="F54" s="984">
        <f>+landbouw!E12</f>
        <v>13.721324047591473</v>
      </c>
      <c r="G54" s="984">
        <f>+landbouw!F12</f>
        <v>5590.6316071921883</v>
      </c>
      <c r="H54" s="984">
        <f>+landbouw!G12</f>
        <v>0</v>
      </c>
      <c r="I54" s="984">
        <f>+landbouw!H12</f>
        <v>0</v>
      </c>
      <c r="J54" s="984">
        <f>+landbouw!I12</f>
        <v>0</v>
      </c>
      <c r="K54" s="984">
        <f>+landbouw!J12</f>
        <v>280.98194205476375</v>
      </c>
      <c r="L54" s="984">
        <f>+landbouw!K12</f>
        <v>0</v>
      </c>
      <c r="M54" s="984">
        <f>+landbouw!L12</f>
        <v>0</v>
      </c>
      <c r="N54" s="984">
        <f>+landbouw!M12</f>
        <v>0</v>
      </c>
      <c r="O54" s="984">
        <f>+landbouw!N12</f>
        <v>0</v>
      </c>
      <c r="P54" s="984">
        <f>+landbouw!O12</f>
        <v>0</v>
      </c>
      <c r="Q54" s="985">
        <f>+landbouw!P12</f>
        <v>0</v>
      </c>
      <c r="R54" s="706">
        <f ca="1">SUM(C54:Q54)</f>
        <v>8997.146131073303</v>
      </c>
    </row>
    <row r="55" spans="1:18" ht="15" thickBot="1">
      <c r="A55" s="805" t="s">
        <v>873</v>
      </c>
      <c r="B55" s="815"/>
      <c r="C55" s="984">
        <f ca="1">C25*'EF ele_warmte'!B12</f>
        <v>387.16052042135368</v>
      </c>
      <c r="D55" s="984"/>
      <c r="E55" s="984">
        <f>E25*EF_CO2_aardgas</f>
        <v>667.91286757214709</v>
      </c>
      <c r="F55" s="984"/>
      <c r="G55" s="984"/>
      <c r="H55" s="984"/>
      <c r="I55" s="984"/>
      <c r="J55" s="984"/>
      <c r="K55" s="984"/>
      <c r="L55" s="984"/>
      <c r="M55" s="984"/>
      <c r="N55" s="984"/>
      <c r="O55" s="984"/>
      <c r="P55" s="984"/>
      <c r="Q55" s="985"/>
      <c r="R55" s="706">
        <f ca="1">SUM(C55:Q55)</f>
        <v>1055.0733879935008</v>
      </c>
    </row>
    <row r="56" spans="1:18" ht="15.75" thickBot="1">
      <c r="A56" s="803" t="s">
        <v>874</v>
      </c>
      <c r="B56" s="816"/>
      <c r="C56" s="707">
        <f ca="1">SUM(C54:C55)</f>
        <v>1730.2623405466934</v>
      </c>
      <c r="D56" s="707">
        <f t="shared" ref="D56:Q56" ca="1" si="7">SUM(D54:D55)</f>
        <v>540.43487394957992</v>
      </c>
      <c r="E56" s="707">
        <f t="shared" si="7"/>
        <v>1896.1874312759851</v>
      </c>
      <c r="F56" s="707">
        <f t="shared" si="7"/>
        <v>13.721324047591473</v>
      </c>
      <c r="G56" s="707">
        <f t="shared" si="7"/>
        <v>5590.6316071921883</v>
      </c>
      <c r="H56" s="707">
        <f t="shared" si="7"/>
        <v>0</v>
      </c>
      <c r="I56" s="707">
        <f t="shared" si="7"/>
        <v>0</v>
      </c>
      <c r="J56" s="707">
        <f t="shared" si="7"/>
        <v>0</v>
      </c>
      <c r="K56" s="707">
        <f t="shared" si="7"/>
        <v>280.98194205476375</v>
      </c>
      <c r="L56" s="707">
        <f t="shared" si="7"/>
        <v>0</v>
      </c>
      <c r="M56" s="707">
        <f t="shared" si="7"/>
        <v>0</v>
      </c>
      <c r="N56" s="707">
        <f t="shared" si="7"/>
        <v>0</v>
      </c>
      <c r="O56" s="707">
        <f t="shared" si="7"/>
        <v>0</v>
      </c>
      <c r="P56" s="707">
        <f t="shared" si="7"/>
        <v>0</v>
      </c>
      <c r="Q56" s="708">
        <f t="shared" si="7"/>
        <v>0</v>
      </c>
      <c r="R56" s="709">
        <f ca="1">SUM(R54:R55)</f>
        <v>10052.219519066804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32224.472755806775</v>
      </c>
      <c r="D61" s="715">
        <f t="shared" ref="D61:Q61" ca="1" si="8">D46+D52+D56</f>
        <v>540.43487394957992</v>
      </c>
      <c r="E61" s="715">
        <f t="shared" ca="1" si="8"/>
        <v>56735.55457136433</v>
      </c>
      <c r="F61" s="715">
        <f t="shared" si="8"/>
        <v>1168.3745844474779</v>
      </c>
      <c r="G61" s="715">
        <f t="shared" ca="1" si="8"/>
        <v>31977.05633272657</v>
      </c>
      <c r="H61" s="715">
        <f t="shared" si="8"/>
        <v>108423.58342143761</v>
      </c>
      <c r="I61" s="715">
        <f t="shared" si="8"/>
        <v>13105.872843757081</v>
      </c>
      <c r="J61" s="715">
        <f t="shared" si="8"/>
        <v>0</v>
      </c>
      <c r="K61" s="715">
        <f t="shared" si="8"/>
        <v>864.15239757535051</v>
      </c>
      <c r="L61" s="715">
        <f t="shared" si="8"/>
        <v>0</v>
      </c>
      <c r="M61" s="715">
        <f t="shared" ca="1" si="8"/>
        <v>0</v>
      </c>
      <c r="N61" s="715">
        <f t="shared" si="8"/>
        <v>0</v>
      </c>
      <c r="O61" s="715">
        <f t="shared" ca="1" si="8"/>
        <v>0</v>
      </c>
      <c r="P61" s="715">
        <f t="shared" si="8"/>
        <v>0</v>
      </c>
      <c r="Q61" s="715">
        <f t="shared" si="8"/>
        <v>0</v>
      </c>
      <c r="R61" s="715">
        <f ca="1">R46+R52+R56</f>
        <v>245039.50178106478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0.20932474265176992</v>
      </c>
      <c r="D63" s="759">
        <f t="shared" ca="1" si="9"/>
        <v>0.23764705882352943</v>
      </c>
      <c r="E63" s="986">
        <f t="shared" ca="1" si="9"/>
        <v>0.20199999999999999</v>
      </c>
      <c r="F63" s="759">
        <f t="shared" si="9"/>
        <v>0.22700000000000001</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8252.6975053878978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1591.875</v>
      </c>
      <c r="D76" s="996">
        <f>'lokale energieproductie'!C8</f>
        <v>1872.794117647059</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378.30441176470595</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8252.6975053878978</v>
      </c>
      <c r="C78" s="730">
        <f>SUM(C72:C77)</f>
        <v>1591.875</v>
      </c>
      <c r="D78" s="731">
        <f t="shared" ref="D78:H78" si="10">SUM(D76:D77)</f>
        <v>1872.794117647059</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378.30441176470595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2274.1071428571431</v>
      </c>
      <c r="D87" s="752">
        <f>'lokale energieproductie'!C17</f>
        <v>2675.4201680672272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540.43487394957992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2274.1071428571431</v>
      </c>
      <c r="D90" s="730">
        <f t="shared" ref="D90:H90" si="12">SUM(D87:D89)</f>
        <v>2675.4201680672272</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540.43487394957992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42324.054394106985</v>
      </c>
      <c r="C4" s="447">
        <f>huishoudens!C8</f>
        <v>0</v>
      </c>
      <c r="D4" s="447">
        <f>huishoudens!D8</f>
        <v>50209.238697010456</v>
      </c>
      <c r="E4" s="447">
        <f>huishoudens!E8</f>
        <v>2449.2251935152699</v>
      </c>
      <c r="F4" s="447">
        <f>huishoudens!F8</f>
        <v>74669.765324912019</v>
      </c>
      <c r="G4" s="447">
        <f>huishoudens!G8</f>
        <v>0</v>
      </c>
      <c r="H4" s="447">
        <f>huishoudens!H8</f>
        <v>0</v>
      </c>
      <c r="I4" s="447">
        <f>huishoudens!I8</f>
        <v>0</v>
      </c>
      <c r="J4" s="447">
        <f>huishoudens!J8</f>
        <v>1354.8568734518785</v>
      </c>
      <c r="K4" s="447">
        <f>huishoudens!K8</f>
        <v>0</v>
      </c>
      <c r="L4" s="447">
        <f>huishoudens!L8</f>
        <v>0</v>
      </c>
      <c r="M4" s="447">
        <f>huishoudens!M8</f>
        <v>0</v>
      </c>
      <c r="N4" s="447">
        <f>huishoudens!N8</f>
        <v>12089.368349772003</v>
      </c>
      <c r="O4" s="447">
        <f>huishoudens!O8</f>
        <v>189.16333333333336</v>
      </c>
      <c r="P4" s="448">
        <f>huishoudens!P8</f>
        <v>724.5333333333333</v>
      </c>
      <c r="Q4" s="449">
        <f>SUM(B4:P4)</f>
        <v>184010.20549943528</v>
      </c>
    </row>
    <row r="5" spans="1:17">
      <c r="A5" s="446" t="s">
        <v>149</v>
      </c>
      <c r="B5" s="447">
        <f ca="1">tertiair!B16</f>
        <v>29452.519192236374</v>
      </c>
      <c r="C5" s="447">
        <f ca="1">tertiair!C16</f>
        <v>0</v>
      </c>
      <c r="D5" s="447">
        <f ca="1">tertiair!D16</f>
        <v>22042.349402560561</v>
      </c>
      <c r="E5" s="447">
        <f>tertiair!E16</f>
        <v>279.3978312489217</v>
      </c>
      <c r="F5" s="447">
        <f ca="1">tertiair!F16</f>
        <v>5989.1636025934504</v>
      </c>
      <c r="G5" s="447">
        <f>tertiair!G16</f>
        <v>0</v>
      </c>
      <c r="H5" s="447">
        <f>tertiair!H16</f>
        <v>0</v>
      </c>
      <c r="I5" s="447">
        <f>tertiair!I16</f>
        <v>0</v>
      </c>
      <c r="J5" s="447">
        <f>tertiair!J16</f>
        <v>0</v>
      </c>
      <c r="K5" s="447">
        <f>tertiair!K16</f>
        <v>0</v>
      </c>
      <c r="L5" s="447">
        <f ca="1">tertiair!L16</f>
        <v>0</v>
      </c>
      <c r="M5" s="447">
        <f>tertiair!M16</f>
        <v>0</v>
      </c>
      <c r="N5" s="447">
        <f ca="1">tertiair!N16</f>
        <v>2619.6072845927156</v>
      </c>
      <c r="O5" s="447">
        <f>tertiair!O16</f>
        <v>7.8166666666666664</v>
      </c>
      <c r="P5" s="448">
        <f>tertiair!P16</f>
        <v>152.53333333333333</v>
      </c>
      <c r="Q5" s="446">
        <f t="shared" ref="Q5:Q14" ca="1" si="0">SUM(B5:P5)</f>
        <v>60543.387313232022</v>
      </c>
    </row>
    <row r="6" spans="1:17">
      <c r="A6" s="446" t="s">
        <v>187</v>
      </c>
      <c r="B6" s="447">
        <f>'openbare verlichting'!B8</f>
        <v>2059.6559999999999</v>
      </c>
      <c r="C6" s="447"/>
      <c r="D6" s="447"/>
      <c r="E6" s="447"/>
      <c r="F6" s="447"/>
      <c r="G6" s="447"/>
      <c r="H6" s="447"/>
      <c r="I6" s="447"/>
      <c r="J6" s="447"/>
      <c r="K6" s="447"/>
      <c r="L6" s="447"/>
      <c r="M6" s="447"/>
      <c r="N6" s="447"/>
      <c r="O6" s="447"/>
      <c r="P6" s="448"/>
      <c r="Q6" s="446">
        <f t="shared" si="0"/>
        <v>2059.6559999999999</v>
      </c>
    </row>
    <row r="7" spans="1:17">
      <c r="A7" s="446" t="s">
        <v>105</v>
      </c>
      <c r="B7" s="447">
        <f>landbouw!B8</f>
        <v>6416.3548136290201</v>
      </c>
      <c r="C7" s="447">
        <f>landbouw!C8</f>
        <v>2274.1071428571431</v>
      </c>
      <c r="D7" s="447">
        <f>landbouw!D8</f>
        <v>6080.5671470487032</v>
      </c>
      <c r="E7" s="447">
        <f>landbouw!E8</f>
        <v>60.446361443134244</v>
      </c>
      <c r="F7" s="447">
        <f>landbouw!F8</f>
        <v>20938.695158023176</v>
      </c>
      <c r="G7" s="447">
        <f>landbouw!G8</f>
        <v>0</v>
      </c>
      <c r="H7" s="447">
        <f>landbouw!H8</f>
        <v>0</v>
      </c>
      <c r="I7" s="447">
        <f>landbouw!I8</f>
        <v>0</v>
      </c>
      <c r="J7" s="447">
        <f>landbouw!J8</f>
        <v>793.73429958972815</v>
      </c>
      <c r="K7" s="447">
        <f>landbouw!K8</f>
        <v>0</v>
      </c>
      <c r="L7" s="447">
        <f>landbouw!L8</f>
        <v>0</v>
      </c>
      <c r="M7" s="447">
        <f>landbouw!M8</f>
        <v>0</v>
      </c>
      <c r="N7" s="447">
        <f>landbouw!N8</f>
        <v>0</v>
      </c>
      <c r="O7" s="447">
        <f>landbouw!O8</f>
        <v>0</v>
      </c>
      <c r="P7" s="448">
        <f>landbouw!P8</f>
        <v>0</v>
      </c>
      <c r="Q7" s="446">
        <f t="shared" si="0"/>
        <v>36563.904922590904</v>
      </c>
    </row>
    <row r="8" spans="1:17">
      <c r="A8" s="446" t="s">
        <v>665</v>
      </c>
      <c r="B8" s="447">
        <f>industrie!B18</f>
        <v>71820.441168852994</v>
      </c>
      <c r="C8" s="447">
        <f>industrie!C18</f>
        <v>0</v>
      </c>
      <c r="D8" s="447">
        <f>industrie!D18</f>
        <v>199209.52722953123</v>
      </c>
      <c r="E8" s="447">
        <f>industrie!E18</f>
        <v>788.66333987459598</v>
      </c>
      <c r="F8" s="447">
        <f>industrie!F18</f>
        <v>18166.631842286199</v>
      </c>
      <c r="G8" s="447">
        <f>industrie!G18</f>
        <v>0</v>
      </c>
      <c r="H8" s="447">
        <f>industrie!H18</f>
        <v>0</v>
      </c>
      <c r="I8" s="447">
        <f>industrie!I18</f>
        <v>0</v>
      </c>
      <c r="J8" s="447">
        <f>industrie!J18</f>
        <v>292.51729468537224</v>
      </c>
      <c r="K8" s="447">
        <f>industrie!K18</f>
        <v>0</v>
      </c>
      <c r="L8" s="447">
        <f>industrie!L18</f>
        <v>0</v>
      </c>
      <c r="M8" s="447">
        <f>industrie!M18</f>
        <v>0</v>
      </c>
      <c r="N8" s="447">
        <f>industrie!N18</f>
        <v>4491.9708010278628</v>
      </c>
      <c r="O8" s="447">
        <f>industrie!O18</f>
        <v>0</v>
      </c>
      <c r="P8" s="448">
        <f>industrie!P18</f>
        <v>0</v>
      </c>
      <c r="Q8" s="446">
        <f t="shared" si="0"/>
        <v>294769.75167625822</v>
      </c>
    </row>
    <row r="9" spans="1:17" s="452" customFormat="1">
      <c r="A9" s="450" t="s">
        <v>562</v>
      </c>
      <c r="B9" s="451">
        <f>transport!B14</f>
        <v>18.790693788318055</v>
      </c>
      <c r="C9" s="451">
        <f>transport!C14</f>
        <v>0</v>
      </c>
      <c r="D9" s="451">
        <f>transport!D14</f>
        <v>20.900215889540188</v>
      </c>
      <c r="E9" s="451">
        <f>transport!E14</f>
        <v>1569.291875008289</v>
      </c>
      <c r="F9" s="451">
        <f>transport!F14</f>
        <v>0</v>
      </c>
      <c r="G9" s="451">
        <f>transport!G14</f>
        <v>405383.4217024984</v>
      </c>
      <c r="H9" s="451">
        <f>transport!H14</f>
        <v>52634.027484968195</v>
      </c>
      <c r="I9" s="451">
        <f>transport!I14</f>
        <v>0</v>
      </c>
      <c r="J9" s="451">
        <f>transport!J14</f>
        <v>0</v>
      </c>
      <c r="K9" s="451">
        <f>transport!K14</f>
        <v>0</v>
      </c>
      <c r="L9" s="451">
        <f>transport!L14</f>
        <v>0</v>
      </c>
      <c r="M9" s="451">
        <f>transport!M14</f>
        <v>20448.712485361146</v>
      </c>
      <c r="N9" s="451">
        <f>transport!N14</f>
        <v>0</v>
      </c>
      <c r="O9" s="451">
        <f>transport!O14</f>
        <v>0</v>
      </c>
      <c r="P9" s="451">
        <f>transport!P14</f>
        <v>0</v>
      </c>
      <c r="Q9" s="450">
        <f>SUM(B9:P9)</f>
        <v>480075.14445751387</v>
      </c>
    </row>
    <row r="10" spans="1:17">
      <c r="A10" s="446" t="s">
        <v>552</v>
      </c>
      <c r="B10" s="447">
        <f>transport!B54</f>
        <v>3.4966567461762166</v>
      </c>
      <c r="C10" s="447">
        <f>transport!C54</f>
        <v>0</v>
      </c>
      <c r="D10" s="447">
        <f>transport!D54</f>
        <v>0</v>
      </c>
      <c r="E10" s="447">
        <f>transport!E54</f>
        <v>0</v>
      </c>
      <c r="F10" s="447">
        <f>transport!F54</f>
        <v>0</v>
      </c>
      <c r="G10" s="447">
        <f>transport!G54</f>
        <v>697.41508191212085</v>
      </c>
      <c r="H10" s="447">
        <f>transport!H54</f>
        <v>0</v>
      </c>
      <c r="I10" s="447">
        <f>transport!I54</f>
        <v>0</v>
      </c>
      <c r="J10" s="447">
        <f>transport!J54</f>
        <v>0</v>
      </c>
      <c r="K10" s="447">
        <f>transport!K54</f>
        <v>0</v>
      </c>
      <c r="L10" s="447">
        <f>transport!L54</f>
        <v>0</v>
      </c>
      <c r="M10" s="447">
        <f>transport!M54</f>
        <v>30.825003831758092</v>
      </c>
      <c r="N10" s="447">
        <f>transport!N54</f>
        <v>0</v>
      </c>
      <c r="O10" s="447">
        <f>transport!O54</f>
        <v>0</v>
      </c>
      <c r="P10" s="448">
        <f>transport!P54</f>
        <v>0</v>
      </c>
      <c r="Q10" s="446">
        <f t="shared" si="0"/>
        <v>731.73674249005512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1849.5688350871601</v>
      </c>
      <c r="C14" s="454"/>
      <c r="D14" s="454">
        <f>'SEAP template'!E25</f>
        <v>3306.4993444165698</v>
      </c>
      <c r="E14" s="454"/>
      <c r="F14" s="454"/>
      <c r="G14" s="454"/>
      <c r="H14" s="454"/>
      <c r="I14" s="454"/>
      <c r="J14" s="454"/>
      <c r="K14" s="454"/>
      <c r="L14" s="454"/>
      <c r="M14" s="454"/>
      <c r="N14" s="454"/>
      <c r="O14" s="454"/>
      <c r="P14" s="455"/>
      <c r="Q14" s="446">
        <f t="shared" si="0"/>
        <v>5156.0681795037299</v>
      </c>
    </row>
    <row r="15" spans="1:17" s="459" customFormat="1">
      <c r="A15" s="456" t="s">
        <v>556</v>
      </c>
      <c r="B15" s="457">
        <f ca="1">SUM(B4:B14)</f>
        <v>153944.88175444701</v>
      </c>
      <c r="C15" s="457">
        <f t="shared" ref="C15:Q15" ca="1" si="1">SUM(C4:C14)</f>
        <v>2274.1071428571431</v>
      </c>
      <c r="D15" s="457">
        <f t="shared" ca="1" si="1"/>
        <v>280869.08203645702</v>
      </c>
      <c r="E15" s="457">
        <f t="shared" si="1"/>
        <v>5147.024601090211</v>
      </c>
      <c r="F15" s="457">
        <f t="shared" ca="1" si="1"/>
        <v>119764.25592781485</v>
      </c>
      <c r="G15" s="457">
        <f t="shared" si="1"/>
        <v>406080.83678441052</v>
      </c>
      <c r="H15" s="457">
        <f t="shared" si="1"/>
        <v>52634.027484968195</v>
      </c>
      <c r="I15" s="457">
        <f t="shared" si="1"/>
        <v>0</v>
      </c>
      <c r="J15" s="457">
        <f t="shared" si="1"/>
        <v>2441.1084677269787</v>
      </c>
      <c r="K15" s="457">
        <f t="shared" si="1"/>
        <v>0</v>
      </c>
      <c r="L15" s="457">
        <f t="shared" ca="1" si="1"/>
        <v>0</v>
      </c>
      <c r="M15" s="457">
        <f t="shared" si="1"/>
        <v>20479.537489192902</v>
      </c>
      <c r="N15" s="457">
        <f t="shared" ca="1" si="1"/>
        <v>19200.94643539258</v>
      </c>
      <c r="O15" s="457">
        <f t="shared" si="1"/>
        <v>196.98000000000002</v>
      </c>
      <c r="P15" s="457">
        <f t="shared" si="1"/>
        <v>877.06666666666661</v>
      </c>
      <c r="Q15" s="457">
        <f t="shared" ca="1" si="1"/>
        <v>1063909.854791024</v>
      </c>
    </row>
    <row r="17" spans="1:17">
      <c r="A17" s="460" t="s">
        <v>557</v>
      </c>
      <c r="B17" s="764">
        <f ca="1">huishoudens!B10</f>
        <v>0.20932474265176992</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8859.4717940259561</v>
      </c>
      <c r="C22" s="447">
        <f t="shared" ref="C22:C32" ca="1" si="3">C4*$C$17</f>
        <v>0</v>
      </c>
      <c r="D22" s="447">
        <f t="shared" ref="D22:D32" si="4">D4*$D$17</f>
        <v>10142.266216796113</v>
      </c>
      <c r="E22" s="447">
        <f t="shared" ref="E22:E32" si="5">E4*$E$17</f>
        <v>555.97411892796629</v>
      </c>
      <c r="F22" s="447">
        <f t="shared" ref="F22:F32" si="6">F4*$F$17</f>
        <v>19936.827341751512</v>
      </c>
      <c r="G22" s="447">
        <f t="shared" ref="G22:G32" si="7">G4*$G$17</f>
        <v>0</v>
      </c>
      <c r="H22" s="447">
        <f t="shared" ref="H22:H32" si="8">H4*$H$17</f>
        <v>0</v>
      </c>
      <c r="I22" s="447">
        <f t="shared" ref="I22:I32" si="9">I4*$I$17</f>
        <v>0</v>
      </c>
      <c r="J22" s="447">
        <f t="shared" ref="J22:J32" si="10">J4*$J$17</f>
        <v>479.61933320196499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39974.158804703511</v>
      </c>
    </row>
    <row r="23" spans="1:17">
      <c r="A23" s="446" t="s">
        <v>149</v>
      </c>
      <c r="B23" s="447">
        <f t="shared" ca="1" si="2"/>
        <v>6165.1410003611936</v>
      </c>
      <c r="C23" s="447">
        <f t="shared" ca="1" si="3"/>
        <v>0</v>
      </c>
      <c r="D23" s="447">
        <f t="shared" ca="1" si="4"/>
        <v>4452.5545793172341</v>
      </c>
      <c r="E23" s="447">
        <f t="shared" si="5"/>
        <v>63.42330769350523</v>
      </c>
      <c r="F23" s="447">
        <f t="shared" ca="1" si="6"/>
        <v>1599.1066818924514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12280.225569264385</v>
      </c>
    </row>
    <row r="24" spans="1:17">
      <c r="A24" s="446" t="s">
        <v>187</v>
      </c>
      <c r="B24" s="447">
        <f t="shared" ca="1" si="2"/>
        <v>431.1369621511738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431.1369621511738</v>
      </c>
    </row>
    <row r="25" spans="1:17">
      <c r="A25" s="446" t="s">
        <v>105</v>
      </c>
      <c r="B25" s="447">
        <f t="shared" ca="1" si="2"/>
        <v>1343.1018201253398</v>
      </c>
      <c r="C25" s="447">
        <f t="shared" ca="1" si="3"/>
        <v>540.43487394957992</v>
      </c>
      <c r="D25" s="447">
        <f t="shared" si="4"/>
        <v>1228.2745637038381</v>
      </c>
      <c r="E25" s="447">
        <f t="shared" si="5"/>
        <v>13.721324047591473</v>
      </c>
      <c r="F25" s="447">
        <f t="shared" si="6"/>
        <v>5590.6316071921883</v>
      </c>
      <c r="G25" s="447">
        <f t="shared" si="7"/>
        <v>0</v>
      </c>
      <c r="H25" s="447">
        <f t="shared" si="8"/>
        <v>0</v>
      </c>
      <c r="I25" s="447">
        <f t="shared" si="9"/>
        <v>0</v>
      </c>
      <c r="J25" s="447">
        <f t="shared" si="10"/>
        <v>280.98194205476375</v>
      </c>
      <c r="K25" s="447">
        <f t="shared" si="11"/>
        <v>0</v>
      </c>
      <c r="L25" s="447">
        <f t="shared" si="12"/>
        <v>0</v>
      </c>
      <c r="M25" s="447">
        <f t="shared" si="13"/>
        <v>0</v>
      </c>
      <c r="N25" s="447">
        <f t="shared" si="14"/>
        <v>0</v>
      </c>
      <c r="O25" s="447">
        <f t="shared" si="15"/>
        <v>0</v>
      </c>
      <c r="P25" s="448">
        <f t="shared" si="16"/>
        <v>0</v>
      </c>
      <c r="Q25" s="446">
        <f t="shared" ca="1" si="17"/>
        <v>8997.146131073303</v>
      </c>
    </row>
    <row r="26" spans="1:17">
      <c r="A26" s="446" t="s">
        <v>665</v>
      </c>
      <c r="B26" s="447">
        <f t="shared" ca="1" si="2"/>
        <v>15033.795364806734</v>
      </c>
      <c r="C26" s="447">
        <f t="shared" ca="1" si="3"/>
        <v>0</v>
      </c>
      <c r="D26" s="447">
        <f t="shared" si="4"/>
        <v>40240.324500365314</v>
      </c>
      <c r="E26" s="447">
        <f t="shared" si="5"/>
        <v>179.0265781515333</v>
      </c>
      <c r="F26" s="447">
        <f t="shared" si="6"/>
        <v>4850.490701890415</v>
      </c>
      <c r="G26" s="447">
        <f t="shared" si="7"/>
        <v>0</v>
      </c>
      <c r="H26" s="447">
        <f t="shared" si="8"/>
        <v>0</v>
      </c>
      <c r="I26" s="447">
        <f t="shared" si="9"/>
        <v>0</v>
      </c>
      <c r="J26" s="447">
        <f t="shared" si="10"/>
        <v>103.55112231862176</v>
      </c>
      <c r="K26" s="447">
        <f t="shared" si="11"/>
        <v>0</v>
      </c>
      <c r="L26" s="447">
        <f t="shared" si="12"/>
        <v>0</v>
      </c>
      <c r="M26" s="447">
        <f t="shared" si="13"/>
        <v>0</v>
      </c>
      <c r="N26" s="447">
        <f t="shared" si="14"/>
        <v>0</v>
      </c>
      <c r="O26" s="447">
        <f t="shared" si="15"/>
        <v>0</v>
      </c>
      <c r="P26" s="448">
        <f t="shared" si="16"/>
        <v>0</v>
      </c>
      <c r="Q26" s="446">
        <f t="shared" ca="1" si="17"/>
        <v>60407.188267532612</v>
      </c>
    </row>
    <row r="27" spans="1:17" s="452" customFormat="1">
      <c r="A27" s="450" t="s">
        <v>562</v>
      </c>
      <c r="B27" s="758">
        <f t="shared" ca="1" si="2"/>
        <v>3.9333571414878885</v>
      </c>
      <c r="C27" s="451">
        <f t="shared" ca="1" si="3"/>
        <v>0</v>
      </c>
      <c r="D27" s="451">
        <f t="shared" si="4"/>
        <v>4.2218436096871184</v>
      </c>
      <c r="E27" s="451">
        <f t="shared" si="5"/>
        <v>356.22925562688164</v>
      </c>
      <c r="F27" s="451">
        <f t="shared" si="6"/>
        <v>0</v>
      </c>
      <c r="G27" s="451">
        <f t="shared" si="7"/>
        <v>108237.37359456708</v>
      </c>
      <c r="H27" s="451">
        <f t="shared" si="8"/>
        <v>13105.872843757081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121707.63089470222</v>
      </c>
    </row>
    <row r="28" spans="1:17">
      <c r="A28" s="446" t="s">
        <v>552</v>
      </c>
      <c r="B28" s="447">
        <f t="shared" ca="1" si="2"/>
        <v>0.73193677353491171</v>
      </c>
      <c r="C28" s="447">
        <f t="shared" ca="1" si="3"/>
        <v>0</v>
      </c>
      <c r="D28" s="447">
        <f t="shared" si="4"/>
        <v>0</v>
      </c>
      <c r="E28" s="447">
        <f t="shared" si="5"/>
        <v>0</v>
      </c>
      <c r="F28" s="447">
        <f t="shared" si="6"/>
        <v>0</v>
      </c>
      <c r="G28" s="447">
        <f t="shared" si="7"/>
        <v>186.20982687053629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186.94176364407119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387.16052042135368</v>
      </c>
      <c r="C32" s="447">
        <f t="shared" ca="1" si="3"/>
        <v>0</v>
      </c>
      <c r="D32" s="447">
        <f t="shared" si="4"/>
        <v>667.91286757214709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1055.0733879935008</v>
      </c>
    </row>
    <row r="33" spans="1:17" s="459" customFormat="1">
      <c r="A33" s="456" t="s">
        <v>556</v>
      </c>
      <c r="B33" s="457">
        <f ca="1">SUM(B22:B32)</f>
        <v>32224.472755806772</v>
      </c>
      <c r="C33" s="457">
        <f t="shared" ref="C33:Q33" ca="1" si="18">SUM(C22:C32)</f>
        <v>540.43487394957992</v>
      </c>
      <c r="D33" s="457">
        <f t="shared" ca="1" si="18"/>
        <v>56735.554571364337</v>
      </c>
      <c r="E33" s="457">
        <f t="shared" si="18"/>
        <v>1168.3745844474779</v>
      </c>
      <c r="F33" s="457">
        <f t="shared" ca="1" si="18"/>
        <v>31977.056332726566</v>
      </c>
      <c r="G33" s="457">
        <f t="shared" si="18"/>
        <v>108423.58342143761</v>
      </c>
      <c r="H33" s="457">
        <f t="shared" si="18"/>
        <v>13105.872843757081</v>
      </c>
      <c r="I33" s="457">
        <f t="shared" si="18"/>
        <v>0</v>
      </c>
      <c r="J33" s="457">
        <f t="shared" si="18"/>
        <v>864.15239757535051</v>
      </c>
      <c r="K33" s="457">
        <f t="shared" si="18"/>
        <v>0</v>
      </c>
      <c r="L33" s="457">
        <f t="shared" ca="1" si="18"/>
        <v>0</v>
      </c>
      <c r="M33" s="457">
        <f t="shared" si="18"/>
        <v>0</v>
      </c>
      <c r="N33" s="457">
        <f t="shared" ca="1" si="18"/>
        <v>0</v>
      </c>
      <c r="O33" s="457">
        <f t="shared" si="18"/>
        <v>0</v>
      </c>
      <c r="P33" s="457">
        <f t="shared" si="18"/>
        <v>0</v>
      </c>
      <c r="Q33" s="457">
        <f t="shared" ca="1" si="18"/>
        <v>245039.50178106478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8252.6975053878978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1591.875</v>
      </c>
      <c r="D8" s="1013">
        <f>'SEAP template'!D76</f>
        <v>1872.794117647059</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378.30441176470595</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8252.6975053878978</v>
      </c>
      <c r="C10" s="1017">
        <f>SUM(C4:C9)</f>
        <v>1591.875</v>
      </c>
      <c r="D10" s="1017">
        <f t="shared" ref="D10:H10" si="0">SUM(D8:D9)</f>
        <v>1872.794117647059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378.30441176470595</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0.20932474265176992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2274.1071428571431</v>
      </c>
      <c r="D17" s="1014">
        <f>'SEAP template'!D87</f>
        <v>2675.4201680672272</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540.43487394957992</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2274.1071428571431</v>
      </c>
      <c r="D20" s="1017">
        <f t="shared" ref="D20:H20" si="2">SUM(D17:D19)</f>
        <v>2675.4201680672272</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540.43487394957992</v>
      </c>
    </row>
    <row r="22" spans="1:16">
      <c r="A22" s="460" t="s">
        <v>893</v>
      </c>
      <c r="B22" s="764" t="s">
        <v>887</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0.20932474265176992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2</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3.1266666666666669</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0.20932474265176992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0.20932474265176992</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7976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4955</v>
      </c>
      <c r="C14" s="327"/>
      <c r="D14" s="327"/>
      <c r="E14" s="327"/>
      <c r="F14" s="327"/>
    </row>
    <row r="15" spans="1:6">
      <c r="A15" s="1293" t="s">
        <v>177</v>
      </c>
      <c r="B15" s="1294">
        <v>81</v>
      </c>
      <c r="C15" s="327"/>
      <c r="D15" s="327"/>
      <c r="E15" s="327"/>
      <c r="F15" s="327"/>
    </row>
    <row r="16" spans="1:6">
      <c r="A16" s="1293" t="s">
        <v>6</v>
      </c>
      <c r="B16" s="1294">
        <v>3298</v>
      </c>
      <c r="C16" s="327"/>
      <c r="D16" s="327"/>
      <c r="E16" s="327"/>
      <c r="F16" s="327"/>
    </row>
    <row r="17" spans="1:6">
      <c r="A17" s="1293" t="s">
        <v>7</v>
      </c>
      <c r="B17" s="1294">
        <v>1516</v>
      </c>
      <c r="C17" s="327"/>
      <c r="D17" s="327"/>
      <c r="E17" s="327"/>
      <c r="F17" s="327"/>
    </row>
    <row r="18" spans="1:6">
      <c r="A18" s="1293" t="s">
        <v>8</v>
      </c>
      <c r="B18" s="1294">
        <v>2869</v>
      </c>
      <c r="C18" s="327"/>
      <c r="D18" s="327"/>
      <c r="E18" s="327"/>
      <c r="F18" s="327"/>
    </row>
    <row r="19" spans="1:6">
      <c r="A19" s="1293" t="s">
        <v>9</v>
      </c>
      <c r="B19" s="1294">
        <v>2981</v>
      </c>
      <c r="C19" s="327"/>
      <c r="D19" s="327"/>
      <c r="E19" s="327"/>
      <c r="F19" s="327"/>
    </row>
    <row r="20" spans="1:6">
      <c r="A20" s="1293" t="s">
        <v>10</v>
      </c>
      <c r="B20" s="1294">
        <v>1833</v>
      </c>
      <c r="C20" s="327"/>
      <c r="D20" s="327"/>
      <c r="E20" s="327"/>
      <c r="F20" s="327"/>
    </row>
    <row r="21" spans="1:6">
      <c r="A21" s="1293" t="s">
        <v>11</v>
      </c>
      <c r="B21" s="1294">
        <v>23573</v>
      </c>
      <c r="C21" s="327"/>
      <c r="D21" s="327"/>
      <c r="E21" s="327"/>
      <c r="F21" s="327"/>
    </row>
    <row r="22" spans="1:6">
      <c r="A22" s="1293" t="s">
        <v>12</v>
      </c>
      <c r="B22" s="1294">
        <v>82458</v>
      </c>
      <c r="C22" s="327"/>
      <c r="D22" s="327"/>
      <c r="E22" s="327"/>
      <c r="F22" s="327"/>
    </row>
    <row r="23" spans="1:6">
      <c r="A23" s="1293" t="s">
        <v>13</v>
      </c>
      <c r="B23" s="1294">
        <v>955</v>
      </c>
      <c r="C23" s="327"/>
      <c r="D23" s="327"/>
      <c r="E23" s="327"/>
      <c r="F23" s="327"/>
    </row>
    <row r="24" spans="1:6">
      <c r="A24" s="1293" t="s">
        <v>14</v>
      </c>
      <c r="B24" s="1294">
        <v>142</v>
      </c>
      <c r="C24" s="327"/>
      <c r="D24" s="327"/>
      <c r="E24" s="327"/>
      <c r="F24" s="327"/>
    </row>
    <row r="25" spans="1:6">
      <c r="A25" s="1293" t="s">
        <v>15</v>
      </c>
      <c r="B25" s="1294">
        <v>4944</v>
      </c>
      <c r="C25" s="327"/>
      <c r="D25" s="327"/>
      <c r="E25" s="327"/>
      <c r="F25" s="327"/>
    </row>
    <row r="26" spans="1:6">
      <c r="A26" s="1293" t="s">
        <v>16</v>
      </c>
      <c r="B26" s="1294">
        <v>403</v>
      </c>
      <c r="C26" s="327"/>
      <c r="D26" s="327"/>
      <c r="E26" s="327"/>
      <c r="F26" s="327"/>
    </row>
    <row r="27" spans="1:6">
      <c r="A27" s="1293" t="s">
        <v>17</v>
      </c>
      <c r="B27" s="1294">
        <v>0</v>
      </c>
      <c r="C27" s="327"/>
      <c r="D27" s="327"/>
      <c r="E27" s="327"/>
      <c r="F27" s="327"/>
    </row>
    <row r="28" spans="1:6">
      <c r="A28" s="1293" t="s">
        <v>18</v>
      </c>
      <c r="B28" s="1295">
        <v>627111</v>
      </c>
      <c r="C28" s="327"/>
      <c r="D28" s="327"/>
      <c r="E28" s="327"/>
      <c r="F28" s="327"/>
    </row>
    <row r="29" spans="1:6">
      <c r="A29" s="1293" t="s">
        <v>955</v>
      </c>
      <c r="B29" s="1295">
        <v>313</v>
      </c>
      <c r="C29" s="327"/>
      <c r="D29" s="327"/>
      <c r="E29" s="327"/>
      <c r="F29" s="327"/>
    </row>
    <row r="30" spans="1:6">
      <c r="A30" s="1288" t="s">
        <v>956</v>
      </c>
      <c r="B30" s="1296">
        <v>64</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5</v>
      </c>
      <c r="F38" s="1294">
        <v>80675.960271525604</v>
      </c>
    </row>
    <row r="39" spans="1:6">
      <c r="A39" s="1293" t="s">
        <v>29</v>
      </c>
      <c r="B39" s="1293" t="s">
        <v>30</v>
      </c>
      <c r="C39" s="1294">
        <v>3399</v>
      </c>
      <c r="D39" s="1294">
        <v>55664344.4534484</v>
      </c>
      <c r="E39" s="1294">
        <v>7570</v>
      </c>
      <c r="F39" s="1294">
        <v>38553925.693617098</v>
      </c>
    </row>
    <row r="40" spans="1:6">
      <c r="A40" s="1293" t="s">
        <v>29</v>
      </c>
      <c r="B40" s="1293" t="s">
        <v>28</v>
      </c>
      <c r="C40" s="1294">
        <v>0</v>
      </c>
      <c r="D40" s="1294">
        <v>0</v>
      </c>
      <c r="E40" s="1294">
        <v>0</v>
      </c>
      <c r="F40" s="1294">
        <v>0</v>
      </c>
    </row>
    <row r="41" spans="1:6">
      <c r="A41" s="1293" t="s">
        <v>31</v>
      </c>
      <c r="B41" s="1293" t="s">
        <v>32</v>
      </c>
      <c r="C41" s="1294">
        <v>51</v>
      </c>
      <c r="D41" s="1294">
        <v>1772766.58219122</v>
      </c>
      <c r="E41" s="1294">
        <v>200</v>
      </c>
      <c r="F41" s="1294">
        <v>7715382.9258743301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23</v>
      </c>
      <c r="F44" s="1294">
        <v>1669413.87020632</v>
      </c>
    </row>
    <row r="45" spans="1:6">
      <c r="A45" s="1293" t="s">
        <v>31</v>
      </c>
      <c r="B45" s="1293" t="s">
        <v>36</v>
      </c>
      <c r="C45" s="1294">
        <v>3</v>
      </c>
      <c r="D45" s="1294">
        <v>885155.17815602198</v>
      </c>
      <c r="E45" s="1294">
        <v>4</v>
      </c>
      <c r="F45" s="1294">
        <v>705462.57582042203</v>
      </c>
    </row>
    <row r="46" spans="1:6">
      <c r="A46" s="1293" t="s">
        <v>31</v>
      </c>
      <c r="B46" s="1293" t="s">
        <v>37</v>
      </c>
      <c r="C46" s="1294">
        <v>0</v>
      </c>
      <c r="D46" s="1294">
        <v>0</v>
      </c>
      <c r="E46" s="1294">
        <v>0</v>
      </c>
      <c r="F46" s="1294">
        <v>0</v>
      </c>
    </row>
    <row r="47" spans="1:6">
      <c r="A47" s="1293" t="s">
        <v>31</v>
      </c>
      <c r="B47" s="1293" t="s">
        <v>38</v>
      </c>
      <c r="C47" s="1294">
        <v>5</v>
      </c>
      <c r="D47" s="1294">
        <v>6846171.4822617797</v>
      </c>
      <c r="E47" s="1294">
        <v>10</v>
      </c>
      <c r="F47" s="1294">
        <v>6137118.0397896897</v>
      </c>
    </row>
    <row r="48" spans="1:6">
      <c r="A48" s="1293" t="s">
        <v>31</v>
      </c>
      <c r="B48" s="1293" t="s">
        <v>28</v>
      </c>
      <c r="C48" s="1294">
        <v>35</v>
      </c>
      <c r="D48" s="1294">
        <v>206413897.066697</v>
      </c>
      <c r="E48" s="1294">
        <v>43</v>
      </c>
      <c r="F48" s="1294">
        <v>51650291.072584003</v>
      </c>
    </row>
    <row r="49" spans="1:6">
      <c r="A49" s="1293" t="s">
        <v>31</v>
      </c>
      <c r="B49" s="1293" t="s">
        <v>39</v>
      </c>
      <c r="C49" s="1294">
        <v>4</v>
      </c>
      <c r="D49" s="1294">
        <v>260561.83242099901</v>
      </c>
      <c r="E49" s="1294">
        <v>5</v>
      </c>
      <c r="F49" s="1294">
        <v>119331.06119851999</v>
      </c>
    </row>
    <row r="50" spans="1:6">
      <c r="A50" s="1293" t="s">
        <v>31</v>
      </c>
      <c r="B50" s="1293" t="s">
        <v>40</v>
      </c>
      <c r="C50" s="1294">
        <v>11</v>
      </c>
      <c r="D50" s="1294">
        <v>4674582.2590836501</v>
      </c>
      <c r="E50" s="1294">
        <v>15</v>
      </c>
      <c r="F50" s="1294">
        <v>3823441.6233796999</v>
      </c>
    </row>
    <row r="51" spans="1:6">
      <c r="A51" s="1293" t="s">
        <v>41</v>
      </c>
      <c r="B51" s="1293" t="s">
        <v>42</v>
      </c>
      <c r="C51" s="1294">
        <v>12</v>
      </c>
      <c r="D51" s="1294">
        <v>169075.53290379199</v>
      </c>
      <c r="E51" s="1294">
        <v>259</v>
      </c>
      <c r="F51" s="1294">
        <v>6080625.8776930701</v>
      </c>
    </row>
    <row r="52" spans="1:6">
      <c r="A52" s="1293" t="s">
        <v>41</v>
      </c>
      <c r="B52" s="1293" t="s">
        <v>28</v>
      </c>
      <c r="C52" s="1294">
        <v>12</v>
      </c>
      <c r="D52" s="1294">
        <v>11614495.900314599</v>
      </c>
      <c r="E52" s="1294">
        <v>14</v>
      </c>
      <c r="F52" s="1294">
        <v>335728.93593595002</v>
      </c>
    </row>
    <row r="53" spans="1:6">
      <c r="A53" s="1293" t="s">
        <v>43</v>
      </c>
      <c r="B53" s="1293" t="s">
        <v>44</v>
      </c>
      <c r="C53" s="1294">
        <v>111</v>
      </c>
      <c r="D53" s="1294">
        <v>3306499.3444165699</v>
      </c>
      <c r="E53" s="1294">
        <v>265</v>
      </c>
      <c r="F53" s="1294">
        <v>1849568.8350871601</v>
      </c>
    </row>
    <row r="54" spans="1:6">
      <c r="A54" s="1293" t="s">
        <v>45</v>
      </c>
      <c r="B54" s="1293" t="s">
        <v>46</v>
      </c>
      <c r="C54" s="1294">
        <v>0</v>
      </c>
      <c r="D54" s="1294">
        <v>0</v>
      </c>
      <c r="E54" s="1294">
        <v>4</v>
      </c>
      <c r="F54" s="1294">
        <v>2059656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22</v>
      </c>
      <c r="D57" s="1294">
        <v>495422.31592092902</v>
      </c>
      <c r="E57" s="1294">
        <v>80</v>
      </c>
      <c r="F57" s="1294">
        <v>3981818.7402324402</v>
      </c>
    </row>
    <row r="58" spans="1:6">
      <c r="A58" s="1293" t="s">
        <v>48</v>
      </c>
      <c r="B58" s="1293" t="s">
        <v>50</v>
      </c>
      <c r="C58" s="1294">
        <v>16</v>
      </c>
      <c r="D58" s="1294">
        <v>4666238.5792081896</v>
      </c>
      <c r="E58" s="1294">
        <v>45</v>
      </c>
      <c r="F58" s="1294">
        <v>637706.78535542695</v>
      </c>
    </row>
    <row r="59" spans="1:6">
      <c r="A59" s="1293" t="s">
        <v>48</v>
      </c>
      <c r="B59" s="1293" t="s">
        <v>51</v>
      </c>
      <c r="C59" s="1294">
        <v>88</v>
      </c>
      <c r="D59" s="1294">
        <v>3608728.6722163898</v>
      </c>
      <c r="E59" s="1294">
        <v>250</v>
      </c>
      <c r="F59" s="1294">
        <v>12069796.792754199</v>
      </c>
    </row>
    <row r="60" spans="1:6">
      <c r="A60" s="1293" t="s">
        <v>48</v>
      </c>
      <c r="B60" s="1293" t="s">
        <v>52</v>
      </c>
      <c r="C60" s="1294">
        <v>45</v>
      </c>
      <c r="D60" s="1294">
        <v>2657428.4625837002</v>
      </c>
      <c r="E60" s="1294">
        <v>85</v>
      </c>
      <c r="F60" s="1294">
        <v>2650674.9165800302</v>
      </c>
    </row>
    <row r="61" spans="1:6">
      <c r="A61" s="1293" t="s">
        <v>48</v>
      </c>
      <c r="B61" s="1293" t="s">
        <v>53</v>
      </c>
      <c r="C61" s="1294">
        <v>103</v>
      </c>
      <c r="D61" s="1294">
        <v>8012641.6080833804</v>
      </c>
      <c r="E61" s="1294">
        <v>418</v>
      </c>
      <c r="F61" s="1294">
        <v>6120619.6766364202</v>
      </c>
    </row>
    <row r="62" spans="1:6">
      <c r="A62" s="1293" t="s">
        <v>48</v>
      </c>
      <c r="B62" s="1293" t="s">
        <v>54</v>
      </c>
      <c r="C62" s="1294">
        <v>3</v>
      </c>
      <c r="D62" s="1294">
        <v>213338.14233679901</v>
      </c>
      <c r="E62" s="1294">
        <v>10</v>
      </c>
      <c r="F62" s="1294">
        <v>111435.900338918</v>
      </c>
    </row>
    <row r="63" spans="1:6">
      <c r="A63" s="1293" t="s">
        <v>48</v>
      </c>
      <c r="B63" s="1293" t="s">
        <v>28</v>
      </c>
      <c r="C63" s="1294">
        <v>117</v>
      </c>
      <c r="D63" s="1294">
        <v>4783396.6792521197</v>
      </c>
      <c r="E63" s="1294">
        <v>142</v>
      </c>
      <c r="F63" s="1294">
        <v>3880466.3803389398</v>
      </c>
    </row>
    <row r="64" spans="1:6">
      <c r="A64" s="1293" t="s">
        <v>55</v>
      </c>
      <c r="B64" s="1293" t="s">
        <v>56</v>
      </c>
      <c r="C64" s="1294">
        <v>0</v>
      </c>
      <c r="D64" s="1294">
        <v>0</v>
      </c>
      <c r="E64" s="1294">
        <v>0</v>
      </c>
      <c r="F64" s="1294">
        <v>0</v>
      </c>
    </row>
    <row r="65" spans="1:6">
      <c r="A65" s="1293" t="s">
        <v>55</v>
      </c>
      <c r="B65" s="1293" t="s">
        <v>28</v>
      </c>
      <c r="C65" s="1294">
        <v>2</v>
      </c>
      <c r="D65" s="1294">
        <v>16086.509077504899</v>
      </c>
      <c r="E65" s="1294">
        <v>2</v>
      </c>
      <c r="F65" s="1294">
        <v>23183.289507031801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5</v>
      </c>
      <c r="D68" s="1296">
        <v>245919.235518409</v>
      </c>
      <c r="E68" s="1296">
        <v>17</v>
      </c>
      <c r="F68" s="1296">
        <v>212493.528861256</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76609815</v>
      </c>
      <c r="E73" s="445"/>
      <c r="F73" s="327"/>
    </row>
    <row r="74" spans="1:6">
      <c r="A74" s="1293" t="s">
        <v>63</v>
      </c>
      <c r="B74" s="1293" t="s">
        <v>749</v>
      </c>
      <c r="C74" s="1306" t="s">
        <v>743</v>
      </c>
      <c r="D74" s="1294">
        <v>10380490.331914375</v>
      </c>
      <c r="E74" s="445"/>
      <c r="F74" s="327"/>
    </row>
    <row r="75" spans="1:6">
      <c r="A75" s="1293" t="s">
        <v>64</v>
      </c>
      <c r="B75" s="1293" t="s">
        <v>748</v>
      </c>
      <c r="C75" s="1306" t="s">
        <v>744</v>
      </c>
      <c r="D75" s="1294">
        <v>32175012</v>
      </c>
      <c r="E75" s="445"/>
      <c r="F75" s="327"/>
    </row>
    <row r="76" spans="1:6">
      <c r="A76" s="1293" t="s">
        <v>64</v>
      </c>
      <c r="B76" s="1293" t="s">
        <v>749</v>
      </c>
      <c r="C76" s="1306" t="s">
        <v>745</v>
      </c>
      <c r="D76" s="1294">
        <v>667587.33191437472</v>
      </c>
      <c r="E76" s="445"/>
      <c r="F76" s="327"/>
    </row>
    <row r="77" spans="1:6">
      <c r="A77" s="1293" t="s">
        <v>65</v>
      </c>
      <c r="B77" s="1293" t="s">
        <v>748</v>
      </c>
      <c r="C77" s="1306" t="s">
        <v>746</v>
      </c>
      <c r="D77" s="1294">
        <v>333008132</v>
      </c>
      <c r="E77" s="445"/>
      <c r="F77" s="327"/>
    </row>
    <row r="78" spans="1:6">
      <c r="A78" s="1288" t="s">
        <v>65</v>
      </c>
      <c r="B78" s="1288" t="s">
        <v>749</v>
      </c>
      <c r="C78" s="1288" t="s">
        <v>747</v>
      </c>
      <c r="D78" s="1296">
        <v>57121289</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192641.33617125056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3770.128700489885</v>
      </c>
      <c r="C91" s="327"/>
      <c r="D91" s="327"/>
      <c r="E91" s="327"/>
      <c r="F91" s="327"/>
    </row>
    <row r="92" spans="1:6">
      <c r="A92" s="1288" t="s">
        <v>68</v>
      </c>
      <c r="B92" s="1289">
        <v>4482.5688048980128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1440</v>
      </c>
      <c r="C97" s="327"/>
      <c r="D97" s="327"/>
      <c r="E97" s="327"/>
      <c r="F97" s="327"/>
    </row>
    <row r="98" spans="1:6">
      <c r="A98" s="1293" t="s">
        <v>71</v>
      </c>
      <c r="B98" s="1294">
        <v>1</v>
      </c>
      <c r="C98" s="327"/>
      <c r="D98" s="327"/>
      <c r="E98" s="327"/>
      <c r="F98" s="327"/>
    </row>
    <row r="99" spans="1:6">
      <c r="A99" s="1293" t="s">
        <v>72</v>
      </c>
      <c r="B99" s="1294">
        <v>236</v>
      </c>
      <c r="C99" s="327"/>
      <c r="D99" s="327"/>
      <c r="E99" s="327"/>
      <c r="F99" s="327"/>
    </row>
    <row r="100" spans="1:6">
      <c r="A100" s="1293" t="s">
        <v>73</v>
      </c>
      <c r="B100" s="1294">
        <v>1076</v>
      </c>
      <c r="C100" s="327"/>
      <c r="D100" s="327"/>
      <c r="E100" s="327"/>
      <c r="F100" s="327"/>
    </row>
    <row r="101" spans="1:6">
      <c r="A101" s="1293" t="s">
        <v>74</v>
      </c>
      <c r="B101" s="1294">
        <v>156</v>
      </c>
      <c r="C101" s="327"/>
      <c r="D101" s="327"/>
      <c r="E101" s="327"/>
      <c r="F101" s="327"/>
    </row>
    <row r="102" spans="1:6">
      <c r="A102" s="1293" t="s">
        <v>75</v>
      </c>
      <c r="B102" s="1294">
        <v>152</v>
      </c>
      <c r="C102" s="327"/>
      <c r="D102" s="327"/>
      <c r="E102" s="327"/>
      <c r="F102" s="327"/>
    </row>
    <row r="103" spans="1:6">
      <c r="A103" s="1293" t="s">
        <v>76</v>
      </c>
      <c r="B103" s="1294">
        <v>274</v>
      </c>
      <c r="C103" s="327"/>
      <c r="D103" s="327"/>
      <c r="E103" s="327"/>
      <c r="F103" s="327"/>
    </row>
    <row r="104" spans="1:6">
      <c r="A104" s="1293" t="s">
        <v>77</v>
      </c>
      <c r="B104" s="1294">
        <v>3449</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2</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28</v>
      </c>
      <c r="C123" s="1294">
        <v>22</v>
      </c>
      <c r="D123" s="327"/>
      <c r="E123" s="327"/>
      <c r="F123" s="327"/>
    </row>
    <row r="124" spans="1:6">
      <c r="A124" s="1293" t="s">
        <v>88</v>
      </c>
      <c r="B124" s="1294">
        <v>1</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98</v>
      </c>
      <c r="C129" s="327"/>
      <c r="D129" s="327"/>
      <c r="E129" s="327"/>
      <c r="F129" s="327"/>
    </row>
    <row r="130" spans="1:6">
      <c r="A130" s="1293" t="s">
        <v>284</v>
      </c>
      <c r="B130" s="1294">
        <v>5</v>
      </c>
      <c r="C130" s="327"/>
      <c r="D130" s="327"/>
      <c r="E130" s="327"/>
      <c r="F130" s="327"/>
    </row>
    <row r="131" spans="1:6">
      <c r="A131" s="1293" t="s">
        <v>285</v>
      </c>
      <c r="B131" s="1294">
        <v>8</v>
      </c>
      <c r="C131" s="327"/>
      <c r="D131" s="327"/>
      <c r="E131" s="327"/>
      <c r="F131" s="327"/>
    </row>
    <row r="132" spans="1:6">
      <c r="A132" s="1288" t="s">
        <v>286</v>
      </c>
      <c r="B132" s="1289">
        <v>9</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153944.88175444704</v>
      </c>
      <c r="C3" s="44" t="s">
        <v>163</v>
      </c>
      <c r="D3" s="44"/>
      <c r="E3" s="157"/>
      <c r="F3" s="44"/>
      <c r="G3" s="44"/>
      <c r="H3" s="44"/>
      <c r="I3" s="44"/>
      <c r="J3" s="44"/>
      <c r="K3" s="97"/>
    </row>
    <row r="4" spans="1:11">
      <c r="A4" s="352" t="s">
        <v>164</v>
      </c>
      <c r="B4" s="50">
        <f>IF(ISERROR('SEAP template'!B78+'SEAP template'!C78),0,'SEAP template'!B78+'SEAP template'!C78)</f>
        <v>9844.5725053878978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378.30441176470595</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0.20932474265176992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540.43487394957992</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2274.1071428571431</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0.23764705882352943</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2059.6559999999999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2059.6559999999999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0.20932474265176992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431.1369621511738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38553.9256936171</v>
      </c>
      <c r="C5" s="18">
        <f>IF(ISERROR('Eigen informatie GS &amp; warmtenet'!B57),0,'Eigen informatie GS &amp; warmtenet'!B57)</f>
        <v>0</v>
      </c>
      <c r="D5" s="31">
        <f>(SUM(HH_hh_gas_kWh,HH_rest_gas_kWh)/1000)*0.902</f>
        <v>50209.238697010456</v>
      </c>
      <c r="E5" s="18">
        <f>B32*B41</f>
        <v>2449.2251935152699</v>
      </c>
      <c r="F5" s="18">
        <f>B36*B45</f>
        <v>74669.765324912019</v>
      </c>
      <c r="G5" s="19"/>
      <c r="H5" s="18"/>
      <c r="I5" s="18"/>
      <c r="J5" s="18">
        <f>B35*B44+C35*C44</f>
        <v>1354.8568734518785</v>
      </c>
      <c r="K5" s="18"/>
      <c r="L5" s="18"/>
      <c r="M5" s="18"/>
      <c r="N5" s="18">
        <f>B34*B43+C34*C43</f>
        <v>12089.368349772003</v>
      </c>
      <c r="O5" s="18">
        <f>B52*B53*B54</f>
        <v>189.16333333333336</v>
      </c>
      <c r="P5" s="18">
        <f>B60*B61*B62/1000-B60*B61*B62/1000/B63</f>
        <v>724.5333333333333</v>
      </c>
    </row>
    <row r="6" spans="1:16">
      <c r="A6" s="17" t="s">
        <v>622</v>
      </c>
      <c r="B6" s="766">
        <f>kWh_PV_kleiner_dan_10kW</f>
        <v>3770.128700489885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42324.054394106985</v>
      </c>
      <c r="C8" s="22">
        <f>C5</f>
        <v>0</v>
      </c>
      <c r="D8" s="22">
        <f>D5</f>
        <v>50209.238697010456</v>
      </c>
      <c r="E8" s="22">
        <f>E5</f>
        <v>2449.2251935152699</v>
      </c>
      <c r="F8" s="22">
        <f>F5</f>
        <v>74669.765324912019</v>
      </c>
      <c r="G8" s="22"/>
      <c r="H8" s="22"/>
      <c r="I8" s="22"/>
      <c r="J8" s="22">
        <f>J5</f>
        <v>1354.8568734518785</v>
      </c>
      <c r="K8" s="22"/>
      <c r="L8" s="22">
        <f>L5</f>
        <v>0</v>
      </c>
      <c r="M8" s="22">
        <f>M5</f>
        <v>0</v>
      </c>
      <c r="N8" s="22">
        <f>N5</f>
        <v>12089.368349772003</v>
      </c>
      <c r="O8" s="22">
        <f>O5</f>
        <v>189.16333333333336</v>
      </c>
      <c r="P8" s="22">
        <f>P5</f>
        <v>724.5333333333333</v>
      </c>
    </row>
    <row r="9" spans="1:16">
      <c r="B9" s="20"/>
      <c r="C9" s="20"/>
      <c r="D9" s="258"/>
      <c r="E9" s="20"/>
      <c r="F9" s="20"/>
      <c r="G9" s="20"/>
      <c r="H9" s="20"/>
      <c r="I9" s="20"/>
      <c r="J9" s="20"/>
      <c r="K9" s="20"/>
      <c r="L9" s="20"/>
      <c r="M9" s="20"/>
      <c r="N9" s="20"/>
      <c r="O9" s="20"/>
      <c r="P9" s="20"/>
    </row>
    <row r="10" spans="1:16">
      <c r="A10" s="25" t="s">
        <v>207</v>
      </c>
      <c r="B10" s="26">
        <f ca="1">'EF ele_warmte'!B12</f>
        <v>0.20932474265176992</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8859.4717940259561</v>
      </c>
      <c r="C12" s="24">
        <f ca="1">C10*C8</f>
        <v>0</v>
      </c>
      <c r="D12" s="24">
        <f>D8*D10</f>
        <v>10142.266216796113</v>
      </c>
      <c r="E12" s="24">
        <f>E10*E8</f>
        <v>555.97411892796629</v>
      </c>
      <c r="F12" s="24">
        <f>F10*F8</f>
        <v>19936.827341751512</v>
      </c>
      <c r="G12" s="24"/>
      <c r="H12" s="24"/>
      <c r="I12" s="24"/>
      <c r="J12" s="24">
        <f>J10*J8</f>
        <v>479.61933320196499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7976</v>
      </c>
      <c r="C26" s="37"/>
      <c r="D26" s="228"/>
    </row>
    <row r="27" spans="1:5" s="16" customFormat="1">
      <c r="A27" s="230" t="s">
        <v>648</v>
      </c>
      <c r="B27" s="38">
        <f>SUM(HH_hh_gas_aantal,HH_rest_gas_aantal)</f>
        <v>3399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3229.05</v>
      </c>
      <c r="C31" s="35" t="s">
        <v>104</v>
      </c>
      <c r="D31" s="174"/>
    </row>
    <row r="32" spans="1:5">
      <c r="A32" s="171" t="s">
        <v>72</v>
      </c>
      <c r="B32" s="34">
        <f>IF((B21*($B$26-($B$27-0.05*$B$27)-$B$60))&lt;0,0,B21*($B$26-($B$27-0.05*$B$27)-$B$60))</f>
        <v>115.72400287992002</v>
      </c>
      <c r="C32" s="35" t="s">
        <v>104</v>
      </c>
      <c r="D32" s="174"/>
    </row>
    <row r="33" spans="1:6">
      <c r="A33" s="171" t="s">
        <v>73</v>
      </c>
      <c r="B33" s="34">
        <f>IF((B22*($B$26-($B$27-0.05*$B$27)-$B$60))&lt;0,0,B22*($B$26-($B$27-0.05*$B$27)-$B$60))</f>
        <v>778.95826506425192</v>
      </c>
      <c r="C33" s="35" t="s">
        <v>104</v>
      </c>
      <c r="D33" s="174"/>
    </row>
    <row r="34" spans="1:6">
      <c r="A34" s="171" t="s">
        <v>74</v>
      </c>
      <c r="B34" s="34">
        <f>IF((B24*($B$26-($B$27-0.05*$B$27)-$B$60))&lt;0,0,B24*($B$26-($B$27-0.05*$B$27)-$B$60))</f>
        <v>197.56023497279415</v>
      </c>
      <c r="C34" s="34">
        <f>B26*C24</f>
        <v>1631.1105654885203</v>
      </c>
      <c r="D34" s="233"/>
    </row>
    <row r="35" spans="1:6">
      <c r="A35" s="171" t="s">
        <v>76</v>
      </c>
      <c r="B35" s="34">
        <f>IF((B19*($B$26-($B$27-0.05*$B$27)-$B$60))&lt;0,0,B19*($B$26-($B$27-0.05*$B$27)-$B$60))</f>
        <v>73.446643391587116</v>
      </c>
      <c r="C35" s="34">
        <f>B35/2</f>
        <v>36.723321695793558</v>
      </c>
      <c r="D35" s="233"/>
    </row>
    <row r="36" spans="1:6">
      <c r="A36" s="171" t="s">
        <v>77</v>
      </c>
      <c r="B36" s="34">
        <f>IF((B18*($B$26-($B$27-0.05*$B$27)-$B$60))&lt;0,0,B18*($B$26-($B$27-0.05*$B$27)-$B$60))</f>
        <v>3543.2608536914454</v>
      </c>
      <c r="C36" s="35" t="s">
        <v>104</v>
      </c>
      <c r="D36" s="174"/>
    </row>
    <row r="37" spans="1:6">
      <c r="A37" s="171" t="s">
        <v>78</v>
      </c>
      <c r="B37" s="34">
        <f>B60</f>
        <v>38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121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29452.519192236374</v>
      </c>
      <c r="C5" s="18">
        <f>IF(ISERROR('Eigen informatie GS &amp; warmtenet'!B58),0,'Eigen informatie GS &amp; warmtenet'!B58)</f>
        <v>0</v>
      </c>
      <c r="D5" s="31">
        <f>SUM(D6:D12)</f>
        <v>22042.349402560561</v>
      </c>
      <c r="E5" s="18">
        <f>SUM(E6:E12)</f>
        <v>279.3978312489217</v>
      </c>
      <c r="F5" s="18">
        <f>SUM(F6:F12)</f>
        <v>5989.1636025934504</v>
      </c>
      <c r="G5" s="19"/>
      <c r="H5" s="18"/>
      <c r="I5" s="18"/>
      <c r="J5" s="18">
        <f>SUM(J6:J12)</f>
        <v>0</v>
      </c>
      <c r="K5" s="18"/>
      <c r="L5" s="18"/>
      <c r="M5" s="18"/>
      <c r="N5" s="18">
        <f>SUM(N6:N12)</f>
        <v>2619.6072845927156</v>
      </c>
      <c r="O5" s="18">
        <f>B38*B39*B40</f>
        <v>7.8166666666666664</v>
      </c>
      <c r="P5" s="18">
        <f>B46*B47*B48/1000-B46*B47*B48/1000/B49</f>
        <v>152.53333333333333</v>
      </c>
      <c r="R5" s="33"/>
    </row>
    <row r="6" spans="1:18">
      <c r="A6" s="33" t="s">
        <v>53</v>
      </c>
      <c r="B6" s="38">
        <f>B26</f>
        <v>6120.6196766364201</v>
      </c>
      <c r="C6" s="34"/>
      <c r="D6" s="38">
        <f>IF(ISERROR(TER_kantoor_gas_kWh/1000),0,TER_kantoor_gas_kWh/1000)*0.902</f>
        <v>7227.4027304912097</v>
      </c>
      <c r="E6" s="34">
        <f>$C$26*'E Balans VL '!I12/100/3.6*1000000</f>
        <v>10.045177391149609</v>
      </c>
      <c r="F6" s="34">
        <f>$C$26*('E Balans VL '!L12+'E Balans VL '!N12)/100/3.6*1000000</f>
        <v>721.47704951485991</v>
      </c>
      <c r="G6" s="35"/>
      <c r="H6" s="34"/>
      <c r="I6" s="34"/>
      <c r="J6" s="34">
        <f>$C$26*('E Balans VL '!D12+'E Balans VL '!E12)/100/3.6*1000000</f>
        <v>0</v>
      </c>
      <c r="K6" s="34"/>
      <c r="L6" s="34"/>
      <c r="M6" s="34"/>
      <c r="N6" s="34">
        <f>$C$26*'E Balans VL '!Y12/100/3.6*1000000</f>
        <v>1.2366422221574158</v>
      </c>
      <c r="O6" s="34"/>
      <c r="P6" s="34"/>
      <c r="R6" s="33"/>
    </row>
    <row r="7" spans="1:18">
      <c r="A7" s="33" t="s">
        <v>52</v>
      </c>
      <c r="B7" s="38">
        <f t="shared" ref="B7:B12" si="0">B27</f>
        <v>2650.6749165800302</v>
      </c>
      <c r="C7" s="34"/>
      <c r="D7" s="38">
        <f>IF(ISERROR(TER_horeca_gas_kWh/1000),0,TER_horeca_gas_kWh/1000)*0.902</f>
        <v>2397.0004732504976</v>
      </c>
      <c r="E7" s="34">
        <f>$C$27*'E Balans VL '!I9/100/3.6*1000000</f>
        <v>137.55084747635561</v>
      </c>
      <c r="F7" s="34">
        <f>$C$27*('E Balans VL '!L9+'E Balans VL '!N9)/100/3.6*1000000</f>
        <v>604.8859393028149</v>
      </c>
      <c r="G7" s="35"/>
      <c r="H7" s="34"/>
      <c r="I7" s="34"/>
      <c r="J7" s="34">
        <f>$C$27*('E Balans VL '!D9+'E Balans VL '!E9)/100/3.6*1000000</f>
        <v>0</v>
      </c>
      <c r="K7" s="34"/>
      <c r="L7" s="34"/>
      <c r="M7" s="34"/>
      <c r="N7" s="34">
        <f>$C$27*'E Balans VL '!Y9/100/3.6*1000000</f>
        <v>0.27991005646607547</v>
      </c>
      <c r="O7" s="34"/>
      <c r="P7" s="34"/>
      <c r="R7" s="33"/>
    </row>
    <row r="8" spans="1:18">
      <c r="A8" s="6" t="s">
        <v>51</v>
      </c>
      <c r="B8" s="38">
        <f t="shared" si="0"/>
        <v>12069.796792754199</v>
      </c>
      <c r="C8" s="34"/>
      <c r="D8" s="38">
        <f>IF(ISERROR(TER_handel_gas_kWh/1000),0,TER_handel_gas_kWh/1000)*0.902</f>
        <v>3255.0732623391837</v>
      </c>
      <c r="E8" s="34">
        <f>$C$28*'E Balans VL '!I13/100/3.6*1000000</f>
        <v>64.997338909876504</v>
      </c>
      <c r="F8" s="34">
        <f>$C$28*('E Balans VL '!L13+'E Balans VL '!N13)/100/3.6*1000000</f>
        <v>2461.39024809793</v>
      </c>
      <c r="G8" s="35"/>
      <c r="H8" s="34"/>
      <c r="I8" s="34"/>
      <c r="J8" s="34">
        <f>$C$28*('E Balans VL '!D13+'E Balans VL '!E13)/100/3.6*1000000</f>
        <v>0</v>
      </c>
      <c r="K8" s="34"/>
      <c r="L8" s="34"/>
      <c r="M8" s="34"/>
      <c r="N8" s="34">
        <f>$C$28*'E Balans VL '!Y13/100/3.6*1000000</f>
        <v>60.016725573295659</v>
      </c>
      <c r="O8" s="34"/>
      <c r="P8" s="34"/>
      <c r="R8" s="33"/>
    </row>
    <row r="9" spans="1:18">
      <c r="A9" s="33" t="s">
        <v>50</v>
      </c>
      <c r="B9" s="38">
        <f t="shared" si="0"/>
        <v>637.70678535542697</v>
      </c>
      <c r="C9" s="34"/>
      <c r="D9" s="38">
        <f>IF(ISERROR(TER_gezond_gas_kWh/1000),0,TER_gezond_gas_kWh/1000)*0.902</f>
        <v>4208.9471984457869</v>
      </c>
      <c r="E9" s="34">
        <f>$C$29*'E Balans VL '!I10/100/3.6*1000000</f>
        <v>0.63197467625877823</v>
      </c>
      <c r="F9" s="34">
        <f>$C$29*('E Balans VL '!L10+'E Balans VL '!N10)/100/3.6*1000000</f>
        <v>221.26587332542795</v>
      </c>
      <c r="G9" s="35"/>
      <c r="H9" s="34"/>
      <c r="I9" s="34"/>
      <c r="J9" s="34">
        <f>$C$29*('E Balans VL '!D10+'E Balans VL '!E10)/100/3.6*1000000</f>
        <v>0</v>
      </c>
      <c r="K9" s="34"/>
      <c r="L9" s="34"/>
      <c r="M9" s="34"/>
      <c r="N9" s="34">
        <f>$C$29*'E Balans VL '!Y10/100/3.6*1000000</f>
        <v>5.495064125133756</v>
      </c>
      <c r="O9" s="34"/>
      <c r="P9" s="34"/>
      <c r="R9" s="33"/>
    </row>
    <row r="10" spans="1:18">
      <c r="A10" s="33" t="s">
        <v>49</v>
      </c>
      <c r="B10" s="38">
        <f t="shared" si="0"/>
        <v>3981.8187402324402</v>
      </c>
      <c r="C10" s="34"/>
      <c r="D10" s="38">
        <f>IF(ISERROR(TER_ander_gas_kWh/1000),0,TER_ander_gas_kWh/1000)*0.902</f>
        <v>446.87092896067799</v>
      </c>
      <c r="E10" s="34">
        <f>$C$30*'E Balans VL '!I14/100/3.6*1000000</f>
        <v>32.575256839517678</v>
      </c>
      <c r="F10" s="34">
        <f>$C$30*('E Balans VL '!L14+'E Balans VL '!N14)/100/3.6*1000000</f>
        <v>1164.1216930891649</v>
      </c>
      <c r="G10" s="35"/>
      <c r="H10" s="34"/>
      <c r="I10" s="34"/>
      <c r="J10" s="34">
        <f>$C$30*('E Balans VL '!D14+'E Balans VL '!E14)/100/3.6*1000000</f>
        <v>0</v>
      </c>
      <c r="K10" s="34"/>
      <c r="L10" s="34"/>
      <c r="M10" s="34"/>
      <c r="N10" s="34">
        <f>$C$30*'E Balans VL '!Y14/100/3.6*1000000</f>
        <v>2296.9869543505447</v>
      </c>
      <c r="O10" s="34"/>
      <c r="P10" s="34"/>
      <c r="R10" s="33"/>
    </row>
    <row r="11" spans="1:18">
      <c r="A11" s="33" t="s">
        <v>54</v>
      </c>
      <c r="B11" s="38">
        <f t="shared" si="0"/>
        <v>111.435900338918</v>
      </c>
      <c r="C11" s="34"/>
      <c r="D11" s="38">
        <f>IF(ISERROR(TER_onderwijs_gas_kWh/1000),0,TER_onderwijs_gas_kWh/1000)*0.902</f>
        <v>192.43100438779271</v>
      </c>
      <c r="E11" s="34">
        <f>$C$31*'E Balans VL '!I11/100/3.6*1000000</f>
        <v>6.8684387021455864E-2</v>
      </c>
      <c r="F11" s="34">
        <f>$C$31*('E Balans VL '!L11+'E Balans VL '!N11)/100/3.6*1000000</f>
        <v>43.082923738581485</v>
      </c>
      <c r="G11" s="35"/>
      <c r="H11" s="34"/>
      <c r="I11" s="34"/>
      <c r="J11" s="34">
        <f>$C$31*('E Balans VL '!D11+'E Balans VL '!E11)/100/3.6*1000000</f>
        <v>0</v>
      </c>
      <c r="K11" s="34"/>
      <c r="L11" s="34"/>
      <c r="M11" s="34"/>
      <c r="N11" s="34">
        <f>$C$31*'E Balans VL '!Y11/100/3.6*1000000</f>
        <v>0.36247710359893442</v>
      </c>
      <c r="O11" s="34"/>
      <c r="P11" s="34"/>
      <c r="R11" s="33"/>
    </row>
    <row r="12" spans="1:18">
      <c r="A12" s="33" t="s">
        <v>249</v>
      </c>
      <c r="B12" s="38">
        <f t="shared" si="0"/>
        <v>3880.4663803389399</v>
      </c>
      <c r="C12" s="34"/>
      <c r="D12" s="38">
        <f>IF(ISERROR(TER_rest_gas_kWh/1000),0,TER_rest_gas_kWh/1000)*0.902</f>
        <v>4314.6238046854123</v>
      </c>
      <c r="E12" s="34">
        <f>$C$32*'E Balans VL '!I8/100/3.6*1000000</f>
        <v>33.528551568742067</v>
      </c>
      <c r="F12" s="34">
        <f>$C$32*('E Balans VL '!L8+'E Balans VL '!N8)/100/3.6*1000000</f>
        <v>772.93987552467115</v>
      </c>
      <c r="G12" s="35"/>
      <c r="H12" s="34"/>
      <c r="I12" s="34"/>
      <c r="J12" s="34">
        <f>$C$32*('E Balans VL '!D8+'E Balans VL '!E8)/100/3.6*1000000</f>
        <v>0</v>
      </c>
      <c r="K12" s="34"/>
      <c r="L12" s="34"/>
      <c r="M12" s="34"/>
      <c r="N12" s="34">
        <f>$C$32*'E Balans VL '!Y8/100/3.6*1000000</f>
        <v>255.22951116151893</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29452.519192236374</v>
      </c>
      <c r="C16" s="22">
        <f t="shared" ca="1" si="1"/>
        <v>0</v>
      </c>
      <c r="D16" s="22">
        <f t="shared" ca="1" si="1"/>
        <v>22042.349402560561</v>
      </c>
      <c r="E16" s="22">
        <f t="shared" si="1"/>
        <v>279.3978312489217</v>
      </c>
      <c r="F16" s="22">
        <f t="shared" ca="1" si="1"/>
        <v>5989.1636025934504</v>
      </c>
      <c r="G16" s="22">
        <f t="shared" si="1"/>
        <v>0</v>
      </c>
      <c r="H16" s="22">
        <f t="shared" si="1"/>
        <v>0</v>
      </c>
      <c r="I16" s="22">
        <f t="shared" si="1"/>
        <v>0</v>
      </c>
      <c r="J16" s="22">
        <f t="shared" si="1"/>
        <v>0</v>
      </c>
      <c r="K16" s="22">
        <f t="shared" si="1"/>
        <v>0</v>
      </c>
      <c r="L16" s="22">
        <f t="shared" ca="1" si="1"/>
        <v>0</v>
      </c>
      <c r="M16" s="22">
        <f t="shared" si="1"/>
        <v>0</v>
      </c>
      <c r="N16" s="22">
        <f t="shared" ca="1" si="1"/>
        <v>2619.6072845927156</v>
      </c>
      <c r="O16" s="22">
        <f>O5</f>
        <v>7.8166666666666664</v>
      </c>
      <c r="P16" s="22">
        <f>P5</f>
        <v>152.53333333333333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0.20932474265176992</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6165.1410003611936</v>
      </c>
      <c r="C20" s="24">
        <f t="shared" ref="C20:P20" ca="1" si="2">C16*C18</f>
        <v>0</v>
      </c>
      <c r="D20" s="24">
        <f t="shared" ca="1" si="2"/>
        <v>4452.5545793172341</v>
      </c>
      <c r="E20" s="24">
        <f t="shared" si="2"/>
        <v>63.42330769350523</v>
      </c>
      <c r="F20" s="24">
        <f t="shared" ca="1" si="2"/>
        <v>1599.1066818924514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6120.6196766364201</v>
      </c>
      <c r="C26" s="40">
        <f>IF(ISERROR(B26*3.6/1000000/'E Balans VL '!Z12*100),0,B26*3.6/1000000/'E Balans VL '!Z12*100)</f>
        <v>0.13005877884214714</v>
      </c>
      <c r="D26" s="236" t="s">
        <v>685</v>
      </c>
      <c r="F26" s="6"/>
    </row>
    <row r="27" spans="1:18">
      <c r="A27" s="231" t="s">
        <v>52</v>
      </c>
      <c r="B27" s="34">
        <f>IF(ISERROR(TER_horeca_ele_kWh/1000),0,TER_horeca_ele_kWh/1000)</f>
        <v>2650.6749165800302</v>
      </c>
      <c r="C27" s="40">
        <f>IF(ISERROR(B27*3.6/1000000/'E Balans VL '!Z9*100),0,B27*3.6/1000000/'E Balans VL '!Z9*100)</f>
        <v>0.20862861351508727</v>
      </c>
      <c r="D27" s="236" t="s">
        <v>685</v>
      </c>
      <c r="F27" s="6"/>
    </row>
    <row r="28" spans="1:18">
      <c r="A28" s="171" t="s">
        <v>51</v>
      </c>
      <c r="B28" s="34">
        <f>IF(ISERROR(TER_handel_ele_kWh/1000),0,TER_handel_ele_kWh/1000)</f>
        <v>12069.796792754199</v>
      </c>
      <c r="C28" s="40">
        <f>IF(ISERROR(B28*3.6/1000000/'E Balans VL '!Z13*100),0,B28*3.6/1000000/'E Balans VL '!Z13*100)</f>
        <v>0.33808146766526942</v>
      </c>
      <c r="D28" s="236" t="s">
        <v>685</v>
      </c>
      <c r="F28" s="6"/>
    </row>
    <row r="29" spans="1:18">
      <c r="A29" s="231" t="s">
        <v>50</v>
      </c>
      <c r="B29" s="34">
        <f>IF(ISERROR(TER_gezond_ele_kWh/1000),0,TER_gezond_ele_kWh/1000)</f>
        <v>637.70678535542697</v>
      </c>
      <c r="C29" s="40">
        <f>IF(ISERROR(B29*3.6/1000000/'E Balans VL '!Z10*100),0,B29*3.6/1000000/'E Balans VL '!Z10*100)</f>
        <v>8.1581981323517974E-2</v>
      </c>
      <c r="D29" s="236" t="s">
        <v>685</v>
      </c>
      <c r="F29" s="6"/>
    </row>
    <row r="30" spans="1:18">
      <c r="A30" s="231" t="s">
        <v>49</v>
      </c>
      <c r="B30" s="34">
        <f>IF(ISERROR(TER_ander_ele_kWh/1000),0,TER_ander_ele_kWh/1000)</f>
        <v>3981.8187402324402</v>
      </c>
      <c r="C30" s="40">
        <f>IF(ISERROR(B30*3.6/1000000/'E Balans VL '!Z14*100),0,B30*3.6/1000000/'E Balans VL '!Z14*100)</f>
        <v>0.29780649037857543</v>
      </c>
      <c r="D30" s="236" t="s">
        <v>685</v>
      </c>
      <c r="F30" s="6"/>
    </row>
    <row r="31" spans="1:18">
      <c r="A31" s="231" t="s">
        <v>54</v>
      </c>
      <c r="B31" s="34">
        <f>IF(ISERROR(TER_onderwijs_ele_kWh/1000),0,TER_onderwijs_ele_kWh/1000)</f>
        <v>111.435900338918</v>
      </c>
      <c r="C31" s="40">
        <f>IF(ISERROR(B31*3.6/1000000/'E Balans VL '!Z11*100),0,B31*3.6/1000000/'E Balans VL '!Z11*100)</f>
        <v>2.352983470294933E-2</v>
      </c>
      <c r="D31" s="236" t="s">
        <v>685</v>
      </c>
    </row>
    <row r="32" spans="1:18">
      <c r="A32" s="231" t="s">
        <v>249</v>
      </c>
      <c r="B32" s="34">
        <f>IF(ISERROR(TER_rest_ele_kWh/1000),0,TER_rest_ele_kWh/1000)</f>
        <v>3880.4663803389399</v>
      </c>
      <c r="C32" s="40">
        <f>IF(ISERROR(B32*3.6/1000000/'E Balans VL '!Z8*100),0,B32*3.6/1000000/'E Balans VL '!Z8*100)</f>
        <v>3.1967018423454743E-2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5</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8</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71820.441168852994</v>
      </c>
      <c r="C5" s="18">
        <f>IF(ISERROR('Eigen informatie GS &amp; warmtenet'!B59),0,'Eigen informatie GS &amp; warmtenet'!B59)</f>
        <v>0</v>
      </c>
      <c r="D5" s="31">
        <f>SUM(D6:D15)</f>
        <v>199209.52722953123</v>
      </c>
      <c r="E5" s="18">
        <f>SUM(E6:E15)</f>
        <v>788.66333987459598</v>
      </c>
      <c r="F5" s="18">
        <f>SUM(F6:F15)</f>
        <v>18166.631842286199</v>
      </c>
      <c r="G5" s="19"/>
      <c r="H5" s="18"/>
      <c r="I5" s="18"/>
      <c r="J5" s="18">
        <f>SUM(J6:J15)</f>
        <v>292.51729468537224</v>
      </c>
      <c r="K5" s="18"/>
      <c r="L5" s="18"/>
      <c r="M5" s="18"/>
      <c r="N5" s="18">
        <f>SUM(N6:N15)</f>
        <v>4491.9708010278628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1669.4138702063199</v>
      </c>
      <c r="C8" s="34"/>
      <c r="D8" s="38">
        <f>IF( ISERROR(IND_metaal_Gas_kWH/1000),0,IND_metaal_Gas_kWH/1000)*0.902</f>
        <v>0</v>
      </c>
      <c r="E8" s="34">
        <f>C30*'E Balans VL '!I18/100/3.6*1000000</f>
        <v>15.203051266964883</v>
      </c>
      <c r="F8" s="34">
        <f>C30*'E Balans VL '!L18/100/3.6*1000000+C30*'E Balans VL '!N18/100/3.6*1000000</f>
        <v>220.18301173353612</v>
      </c>
      <c r="G8" s="35"/>
      <c r="H8" s="34"/>
      <c r="I8" s="34"/>
      <c r="J8" s="41">
        <f>C30*'E Balans VL '!D18/100/3.6*1000000+C30*'E Balans VL '!E18/100/3.6*1000000</f>
        <v>27.375963569726196</v>
      </c>
      <c r="K8" s="34"/>
      <c r="L8" s="34"/>
      <c r="M8" s="34"/>
      <c r="N8" s="34">
        <f>C30*'E Balans VL '!Y18/100/3.6*1000000</f>
        <v>5.7371122989403487</v>
      </c>
      <c r="O8" s="34"/>
      <c r="P8" s="34"/>
      <c r="R8" s="33"/>
    </row>
    <row r="9" spans="1:18">
      <c r="A9" s="6" t="s">
        <v>32</v>
      </c>
      <c r="B9" s="38">
        <f t="shared" si="0"/>
        <v>7715.3829258743299</v>
      </c>
      <c r="C9" s="34"/>
      <c r="D9" s="38">
        <f>IF( ISERROR(IND_andere_gas_kWh/1000),0,IND_andere_gas_kWh/1000)*0.902</f>
        <v>1599.0354571364805</v>
      </c>
      <c r="E9" s="34">
        <f>C31*'E Balans VL '!I19/100/3.6*1000000</f>
        <v>44.596066280166426</v>
      </c>
      <c r="F9" s="34">
        <f>C31*'E Balans VL '!L19/100/3.6*1000000+C31*'E Balans VL '!N19/100/3.6*1000000</f>
        <v>6137.958367068537</v>
      </c>
      <c r="G9" s="35"/>
      <c r="H9" s="34"/>
      <c r="I9" s="34"/>
      <c r="J9" s="41">
        <f>C31*'E Balans VL '!D19/100/3.6*1000000+C31*'E Balans VL '!E19/100/3.6*1000000</f>
        <v>0.72978952474152181</v>
      </c>
      <c r="K9" s="34"/>
      <c r="L9" s="34"/>
      <c r="M9" s="34"/>
      <c r="N9" s="34">
        <f>C31*'E Balans VL '!Y19/100/3.6*1000000</f>
        <v>584.55701589535283</v>
      </c>
      <c r="O9" s="34"/>
      <c r="P9" s="34"/>
      <c r="R9" s="33"/>
    </row>
    <row r="10" spans="1:18">
      <c r="A10" s="6" t="s">
        <v>40</v>
      </c>
      <c r="B10" s="38">
        <f t="shared" si="0"/>
        <v>3823.4416233797001</v>
      </c>
      <c r="C10" s="34"/>
      <c r="D10" s="38">
        <f>IF( ISERROR(IND_voed_gas_kWh/1000),0,IND_voed_gas_kWh/1000)*0.902</f>
        <v>4216.4731976934518</v>
      </c>
      <c r="E10" s="34">
        <f>C32*'E Balans VL '!I20/100/3.6*1000000</f>
        <v>37.594433859652163</v>
      </c>
      <c r="F10" s="34">
        <f>C32*'E Balans VL '!L20/100/3.6*1000000+C32*'E Balans VL '!N20/100/3.6*1000000</f>
        <v>424.64309830017754</v>
      </c>
      <c r="G10" s="35"/>
      <c r="H10" s="34"/>
      <c r="I10" s="34"/>
      <c r="J10" s="41">
        <f>C32*'E Balans VL '!D20/100/3.6*1000000+C32*'E Balans VL '!E20/100/3.6*1000000</f>
        <v>1.5069919175793055E-2</v>
      </c>
      <c r="K10" s="34"/>
      <c r="L10" s="34"/>
      <c r="M10" s="34"/>
      <c r="N10" s="34">
        <f>C32*'E Balans VL '!Y20/100/3.6*1000000</f>
        <v>56.616176759551507</v>
      </c>
      <c r="O10" s="34"/>
      <c r="P10" s="34"/>
      <c r="R10" s="33"/>
    </row>
    <row r="11" spans="1:18">
      <c r="A11" s="6" t="s">
        <v>39</v>
      </c>
      <c r="B11" s="38">
        <f t="shared" si="0"/>
        <v>119.33106119851999</v>
      </c>
      <c r="C11" s="34"/>
      <c r="D11" s="38">
        <f>IF( ISERROR(IND_textiel_gas_kWh/1000),0,IND_textiel_gas_kWh/1000)*0.902</f>
        <v>235.0267728437411</v>
      </c>
      <c r="E11" s="34">
        <f>C33*'E Balans VL '!I21/100/3.6*1000000</f>
        <v>0.23236528564287337</v>
      </c>
      <c r="F11" s="34">
        <f>C33*'E Balans VL '!L21/100/3.6*1000000+C33*'E Balans VL '!N21/100/3.6*1000000</f>
        <v>3.9359299836319943</v>
      </c>
      <c r="G11" s="35"/>
      <c r="H11" s="34"/>
      <c r="I11" s="34"/>
      <c r="J11" s="41">
        <f>C33*'E Balans VL '!D21/100/3.6*1000000+C33*'E Balans VL '!E21/100/3.6*1000000</f>
        <v>0</v>
      </c>
      <c r="K11" s="34"/>
      <c r="L11" s="34"/>
      <c r="M11" s="34"/>
      <c r="N11" s="34">
        <f>C33*'E Balans VL '!Y21/100/3.6*1000000</f>
        <v>1.2377769664762543</v>
      </c>
      <c r="O11" s="34"/>
      <c r="P11" s="34"/>
      <c r="R11" s="33"/>
    </row>
    <row r="12" spans="1:18">
      <c r="A12" s="6" t="s">
        <v>36</v>
      </c>
      <c r="B12" s="38">
        <f t="shared" si="0"/>
        <v>705.46257582042199</v>
      </c>
      <c r="C12" s="34"/>
      <c r="D12" s="38">
        <f>IF( ISERROR(IND_min_gas_kWh/1000),0,IND_min_gas_kWh/1000)*0.902</f>
        <v>798.40997069673188</v>
      </c>
      <c r="E12" s="34">
        <f>C34*'E Balans VL '!I22/100/3.6*1000000</f>
        <v>17.884731664228998</v>
      </c>
      <c r="F12" s="34">
        <f>C34*'E Balans VL '!L22/100/3.6*1000000+C34*'E Balans VL '!N22/100/3.6*1000000</f>
        <v>195.20395368300566</v>
      </c>
      <c r="G12" s="35"/>
      <c r="H12" s="34"/>
      <c r="I12" s="34"/>
      <c r="J12" s="41">
        <f>C34*'E Balans VL '!D22/100/3.6*1000000+C34*'E Balans VL '!E22/100/3.6*1000000</f>
        <v>4.6590166140772311</v>
      </c>
      <c r="K12" s="34"/>
      <c r="L12" s="34"/>
      <c r="M12" s="34"/>
      <c r="N12" s="34">
        <f>C34*'E Balans VL '!Y22/100/3.6*1000000</f>
        <v>0</v>
      </c>
      <c r="O12" s="34"/>
      <c r="P12" s="34"/>
      <c r="R12" s="33"/>
    </row>
    <row r="13" spans="1:18">
      <c r="A13" s="6" t="s">
        <v>38</v>
      </c>
      <c r="B13" s="38">
        <f t="shared" si="0"/>
        <v>6137.1180397896896</v>
      </c>
      <c r="C13" s="34"/>
      <c r="D13" s="38">
        <f>IF( ISERROR(IND_papier_gas_kWh/1000),0,IND_papier_gas_kWh/1000)*0.902</f>
        <v>6175.2466770001256</v>
      </c>
      <c r="E13" s="34">
        <f>C35*'E Balans VL '!I23/100/3.6*1000000</f>
        <v>209.03913868110067</v>
      </c>
      <c r="F13" s="34">
        <f>C35*'E Balans VL '!L23/100/3.6*1000000+C35*'E Balans VL '!N23/100/3.6*1000000</f>
        <v>1013.7078651132996</v>
      </c>
      <c r="G13" s="35"/>
      <c r="H13" s="34"/>
      <c r="I13" s="34"/>
      <c r="J13" s="41">
        <f>C35*'E Balans VL '!D23/100/3.6*1000000+C35*'E Balans VL '!E23/100/3.6*1000000</f>
        <v>0</v>
      </c>
      <c r="K13" s="34"/>
      <c r="L13" s="34"/>
      <c r="M13" s="34"/>
      <c r="N13" s="34">
        <f>C35*'E Balans VL '!Y23/100/3.6*1000000</f>
        <v>2258.2948538953974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51650.291072584005</v>
      </c>
      <c r="C15" s="34"/>
      <c r="D15" s="38">
        <f>IF( ISERROR(IND_rest_gas_kWh/1000),0,IND_rest_gas_kWh/1000)*0.902</f>
        <v>186185.33515416071</v>
      </c>
      <c r="E15" s="34">
        <f>C37*'E Balans VL '!I15/100/3.6*1000000</f>
        <v>464.11355283683997</v>
      </c>
      <c r="F15" s="34">
        <f>C37*'E Balans VL '!L15/100/3.6*1000000+C37*'E Balans VL '!N15/100/3.6*1000000</f>
        <v>10170.999616404011</v>
      </c>
      <c r="G15" s="35"/>
      <c r="H15" s="34"/>
      <c r="I15" s="34"/>
      <c r="J15" s="41">
        <f>C37*'E Balans VL '!D15/100/3.6*1000000+C37*'E Balans VL '!E15/100/3.6*1000000</f>
        <v>259.73745505765146</v>
      </c>
      <c r="K15" s="34"/>
      <c r="L15" s="34"/>
      <c r="M15" s="34"/>
      <c r="N15" s="34">
        <f>C37*'E Balans VL '!Y15/100/3.6*1000000</f>
        <v>1585.5278652121444</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71820.441168852994</v>
      </c>
      <c r="C18" s="22">
        <f>C5+C16</f>
        <v>0</v>
      </c>
      <c r="D18" s="22">
        <f>MAX((D5+D16),0)</f>
        <v>199209.52722953123</v>
      </c>
      <c r="E18" s="22">
        <f>MAX((E5+E16),0)</f>
        <v>788.66333987459598</v>
      </c>
      <c r="F18" s="22">
        <f>MAX((F5+F16),0)</f>
        <v>18166.631842286199</v>
      </c>
      <c r="G18" s="22"/>
      <c r="H18" s="22"/>
      <c r="I18" s="22"/>
      <c r="J18" s="22">
        <f>MAX((J5+J16),0)</f>
        <v>292.51729468537224</v>
      </c>
      <c r="K18" s="22"/>
      <c r="L18" s="22">
        <f>MAX((L5+L16),0)</f>
        <v>0</v>
      </c>
      <c r="M18" s="22"/>
      <c r="N18" s="22">
        <f>MAX((N5+N16),0)</f>
        <v>4491.9708010278628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0.20932474265176992</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15033.795364806734</v>
      </c>
      <c r="C22" s="24">
        <f ca="1">C18*C20</f>
        <v>0</v>
      </c>
      <c r="D22" s="24">
        <f>D18*D20</f>
        <v>40240.324500365314</v>
      </c>
      <c r="E22" s="24">
        <f>E18*E20</f>
        <v>179.0265781515333</v>
      </c>
      <c r="F22" s="24">
        <f>F18*F20</f>
        <v>4850.490701890415</v>
      </c>
      <c r="G22" s="24"/>
      <c r="H22" s="24"/>
      <c r="I22" s="24"/>
      <c r="J22" s="24">
        <f>J18*J20</f>
        <v>103.55112231862176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1669.4138702063199</v>
      </c>
      <c r="C30" s="40">
        <f>IF(ISERROR(B30*3.6/1000000/'E Balans VL '!Z18*100),0,B30*3.6/1000000/'E Balans VL '!Z18*100)</f>
        <v>9.2891718602209628E-2</v>
      </c>
      <c r="D30" s="236" t="s">
        <v>685</v>
      </c>
    </row>
    <row r="31" spans="1:18">
      <c r="A31" s="6" t="s">
        <v>32</v>
      </c>
      <c r="B31" s="38">
        <f>IF( ISERROR(IND_ander_ele_kWh/1000),0,IND_ander_ele_kWh/1000)</f>
        <v>7715.3829258743299</v>
      </c>
      <c r="C31" s="40">
        <f>IF(ISERROR(B31*3.6/1000000/'E Balans VL '!Z19*100),0,B31*3.6/1000000/'E Balans VL '!Z19*100)</f>
        <v>0.35866788929276155</v>
      </c>
      <c r="D31" s="236" t="s">
        <v>685</v>
      </c>
    </row>
    <row r="32" spans="1:18">
      <c r="A32" s="171" t="s">
        <v>40</v>
      </c>
      <c r="B32" s="38">
        <f>IF( ISERROR(IND_voed_ele_kWh/1000),0,IND_voed_ele_kWh/1000)</f>
        <v>3823.4416233797001</v>
      </c>
      <c r="C32" s="40">
        <f>IF(ISERROR(B32*3.6/1000000/'E Balans VL '!Z20*100),0,B32*3.6/1000000/'E Balans VL '!Z20*100)</f>
        <v>0.13515093961909375</v>
      </c>
      <c r="D32" s="236" t="s">
        <v>685</v>
      </c>
    </row>
    <row r="33" spans="1:5">
      <c r="A33" s="171" t="s">
        <v>39</v>
      </c>
      <c r="B33" s="38">
        <f>IF( ISERROR(IND_textiel_ele_kWh/1000),0,IND_textiel_ele_kWh/1000)</f>
        <v>119.33106119851999</v>
      </c>
      <c r="C33" s="40">
        <f>IF(ISERROR(B33*3.6/1000000/'E Balans VL '!Z21*100),0,B33*3.6/1000000/'E Balans VL '!Z21*100)</f>
        <v>1.6117470536819601E-2</v>
      </c>
      <c r="D33" s="236" t="s">
        <v>685</v>
      </c>
    </row>
    <row r="34" spans="1:5">
      <c r="A34" s="171" t="s">
        <v>36</v>
      </c>
      <c r="B34" s="38">
        <f>IF( ISERROR(IND_min_ele_kWh/1000),0,IND_min_ele_kWh/1000)</f>
        <v>705.46257582042199</v>
      </c>
      <c r="C34" s="40">
        <f>IF(ISERROR(B34*3.6/1000000/'E Balans VL '!Z22*100),0,B34*3.6/1000000/'E Balans VL '!Z22*100)</f>
        <v>0.1417780843673464</v>
      </c>
      <c r="D34" s="236" t="s">
        <v>685</v>
      </c>
    </row>
    <row r="35" spans="1:5">
      <c r="A35" s="171" t="s">
        <v>38</v>
      </c>
      <c r="B35" s="38">
        <f>IF( ISERROR(IND_papier_ele_kWh/1000),0,IND_papier_ele_kWh/1000)</f>
        <v>6137.1180397896896</v>
      </c>
      <c r="C35" s="40">
        <f>IF(ISERROR(B35*3.6/1000000/'E Balans VL '!Z22*100),0,B35*3.6/1000000/'E Balans VL '!Z22*100)</f>
        <v>1.2333876651157121</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51650.291072584005</v>
      </c>
      <c r="C37" s="40">
        <f>IF(ISERROR(B37*3.6/1000000/'E Balans VL '!Z15*100),0,B37*3.6/1000000/'E Balans VL '!Z15*100)</f>
        <v>0.39003599661547689</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6416.3548136290201</v>
      </c>
      <c r="C5" s="18">
        <f>'Eigen informatie GS &amp; warmtenet'!B60</f>
        <v>0</v>
      </c>
      <c r="D5" s="31">
        <f>IF(ISERROR(SUM(LB_lb_gas_kWh,LB_rest_gas_kWh)/1000),0,SUM(LB_lb_gas_kWh,LB_rest_gas_kWh)/1000)*0.902</f>
        <v>10628.781432762989</v>
      </c>
      <c r="E5" s="18">
        <f>B17*'E Balans VL '!I25/3.6*1000000/100</f>
        <v>60.446361443134244</v>
      </c>
      <c r="F5" s="18">
        <f>B17*('E Balans VL '!L25/3.6*1000000+'E Balans VL '!N25/3.6*1000000)/100</f>
        <v>20938.695158023176</v>
      </c>
      <c r="G5" s="19"/>
      <c r="H5" s="18"/>
      <c r="I5" s="18"/>
      <c r="J5" s="18">
        <f>('E Balans VL '!D25+'E Balans VL '!E25)/3.6*1000000*landbouw!B17/100</f>
        <v>793.73429958972815</v>
      </c>
      <c r="K5" s="18"/>
      <c r="L5" s="18">
        <f>L6*(-1)</f>
        <v>0</v>
      </c>
      <c r="M5" s="18"/>
      <c r="N5" s="18">
        <f>N6*(-1)</f>
        <v>0</v>
      </c>
      <c r="O5" s="18"/>
      <c r="P5" s="18"/>
      <c r="R5" s="33"/>
    </row>
    <row r="6" spans="1:18">
      <c r="A6" s="17" t="s">
        <v>489</v>
      </c>
      <c r="B6" s="18" t="s">
        <v>204</v>
      </c>
      <c r="C6" s="18">
        <f>'lokale energieproductie'!O39+'lokale energieproductie'!O32</f>
        <v>2274.1071428571431</v>
      </c>
      <c r="D6" s="305">
        <f>('lokale energieproductie'!P32+'lokale energieproductie'!P39)*(-1)</f>
        <v>-4548.2142857142862</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6416.3548136290201</v>
      </c>
      <c r="C8" s="22">
        <f>C5+C6</f>
        <v>2274.1071428571431</v>
      </c>
      <c r="D8" s="22">
        <f>MAX((D5+D6),0)</f>
        <v>6080.5671470487032</v>
      </c>
      <c r="E8" s="22">
        <f>MAX((E5+E6),0)</f>
        <v>60.446361443134244</v>
      </c>
      <c r="F8" s="22">
        <f>MAX((F5+F6),0)</f>
        <v>20938.695158023176</v>
      </c>
      <c r="G8" s="22"/>
      <c r="H8" s="22"/>
      <c r="I8" s="22"/>
      <c r="J8" s="22">
        <f>MAX((J5+J6),0)</f>
        <v>793.73429958972815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0.20932474265176992</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1343.1018201253398</v>
      </c>
      <c r="C12" s="24">
        <f ca="1">C8*C10</f>
        <v>540.43487394957992</v>
      </c>
      <c r="D12" s="24">
        <f>D8*D10</f>
        <v>1228.2745637038381</v>
      </c>
      <c r="E12" s="24">
        <f>E8*E10</f>
        <v>13.721324047591473</v>
      </c>
      <c r="F12" s="24">
        <f>F8*F10</f>
        <v>5590.6316071921883</v>
      </c>
      <c r="G12" s="24"/>
      <c r="H12" s="24"/>
      <c r="I12" s="24"/>
      <c r="J12" s="24">
        <f>J8*J10</f>
        <v>280.98194205476375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0.86867191169302316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997.41212993358977</v>
      </c>
      <c r="C26" s="246">
        <f>B26*'GWP N2O_CH4'!B5</f>
        <v>20945.654728605386</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646.36938536123512</v>
      </c>
      <c r="C27" s="246">
        <f>B27*'GWP N2O_CH4'!B5</f>
        <v>13573.757092585938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15.914637739025796</v>
      </c>
      <c r="C28" s="246">
        <f>B28*'GWP N2O_CH4'!B4</f>
        <v>4933.5376990979967</v>
      </c>
      <c r="D28" s="51"/>
    </row>
    <row r="29" spans="1:4">
      <c r="A29" s="42" t="s">
        <v>266</v>
      </c>
      <c r="B29" s="246">
        <f>B34*'ha_N2O bodem landbouw'!B4</f>
        <v>27.328632852266015</v>
      </c>
      <c r="C29" s="246">
        <f>B29*'GWP N2O_CH4'!B4</f>
        <v>8471.8761842024651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7.3778705574573077E-3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6.7646497637944994E-5</v>
      </c>
      <c r="C5" s="433" t="s">
        <v>204</v>
      </c>
      <c r="D5" s="418">
        <f>SUM(D6:D11)</f>
        <v>7.5240777202344668E-5</v>
      </c>
      <c r="E5" s="418">
        <f>SUM(E6:E11)</f>
        <v>5.6494507500298406E-3</v>
      </c>
      <c r="F5" s="431" t="s">
        <v>204</v>
      </c>
      <c r="G5" s="418">
        <f>SUM(G6:G11)</f>
        <v>1.4593803181289942</v>
      </c>
      <c r="H5" s="418">
        <f>SUM(H6:H11)</f>
        <v>0.18948249894588551</v>
      </c>
      <c r="I5" s="433" t="s">
        <v>204</v>
      </c>
      <c r="J5" s="433" t="s">
        <v>204</v>
      </c>
      <c r="K5" s="433" t="s">
        <v>204</v>
      </c>
      <c r="L5" s="433" t="s">
        <v>204</v>
      </c>
      <c r="M5" s="418">
        <f>SUM(M6:M11)</f>
        <v>7.3615364947300116E-2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1.0756272010574231E-5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1.2527630723127821E-5</v>
      </c>
      <c r="E6" s="421">
        <f>vkm_GW_PW*SUMIFS(TableVerdeelsleutelVkm[LPG],TableVerdeelsleutelVkm[Voertuigtype],"Lichte voertuigen")*SUMIFS(TableECFTransport[EnergieConsumptieFactor (PJ per km)],TableECFTransport[Index],CONCATENATE($A6,"_LPG_LPG"))</f>
        <v>8.1276048898451568E-4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0.12680591696569515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3.0560205925939408E-2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7.0421442478158947E-3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6.0761912741253357E-7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0.10051361312890202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2.6971384141209226E-6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4.4725278903373043E-3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4.7166779516756928E-6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8.9719330405984161E-6</v>
      </c>
      <c r="E8" s="421">
        <f>vkm_NGW_PW*SUMIFS(TableVerdeelsleutelVkm[LPG],TableVerdeelsleutelVkm[Voertuigtype],"Lichte voertuigen")*SUMIFS(TableECFTransport[EnergieConsumptieFactor (PJ per km)],TableECFTransport[Index],CONCATENATE($A8,"_LPG_LPG"))</f>
        <v>5.5149540038578458E-4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8.1002409887678678E-2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2.086295808074683E-2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4.5598986959152392E-3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3.9077039631004184E-8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8.2893433381876977E-3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2.093678047443701E-7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3.6884813873520504E-4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4.8183272672866582E-5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5.3741213438618429E-5</v>
      </c>
      <c r="E10" s="421">
        <f>vkm_SW_PW*SUMIFS(TableVerdeelsleutelVkm[LPG],TableVerdeelsleutelVkm[Voertuigtype],"Lichte voertuigen")*SUMIFS(TableECFTransport[EnergieConsumptieFactor (PJ per km)],TableECFTransport[Index],CONCATENATE($A10,"_LPG_LPG"))</f>
        <v>4.2851948606595401E-3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0.62466978779451854</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0.13804115228682814</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3.4118156693431954E-2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3.3435788357849459E-6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0.51809924701401211</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1.5276146152267474E-5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2.3053789281064514E-2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18.790693788318055</v>
      </c>
      <c r="C14" s="22"/>
      <c r="D14" s="22">
        <f t="shared" ref="D14:M14" si="0">((D5)*10^9/3600)+D12</f>
        <v>20.900215889540188</v>
      </c>
      <c r="E14" s="22">
        <f t="shared" si="0"/>
        <v>1569.291875008289</v>
      </c>
      <c r="F14" s="22"/>
      <c r="G14" s="22">
        <f t="shared" si="0"/>
        <v>405383.4217024984</v>
      </c>
      <c r="H14" s="22">
        <f t="shared" si="0"/>
        <v>52634.027484968195</v>
      </c>
      <c r="I14" s="22"/>
      <c r="J14" s="22"/>
      <c r="K14" s="22"/>
      <c r="L14" s="22"/>
      <c r="M14" s="22">
        <f t="shared" si="0"/>
        <v>20448.712485361146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0.20932474265176992</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3.9333571414878885</v>
      </c>
      <c r="C18" s="24"/>
      <c r="D18" s="24">
        <f t="shared" ref="D18:M18" si="1">D14*D16</f>
        <v>4.2218436096871184</v>
      </c>
      <c r="E18" s="24">
        <f t="shared" si="1"/>
        <v>356.22925562688164</v>
      </c>
      <c r="F18" s="24"/>
      <c r="G18" s="24">
        <f t="shared" si="1"/>
        <v>108237.37359456708</v>
      </c>
      <c r="H18" s="24">
        <f t="shared" si="1"/>
        <v>13105.872843757081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1.258796428623438E-5</v>
      </c>
      <c r="C50" s="316">
        <f t="shared" ref="C50:P50" si="2">SUM(C51:C52)</f>
        <v>0</v>
      </c>
      <c r="D50" s="316">
        <f t="shared" si="2"/>
        <v>0</v>
      </c>
      <c r="E50" s="316">
        <f t="shared" si="2"/>
        <v>0</v>
      </c>
      <c r="F50" s="316">
        <f t="shared" si="2"/>
        <v>0</v>
      </c>
      <c r="G50" s="316">
        <f t="shared" si="2"/>
        <v>2.5106942948836348E-3</v>
      </c>
      <c r="H50" s="316">
        <f t="shared" si="2"/>
        <v>0</v>
      </c>
      <c r="I50" s="316">
        <f t="shared" si="2"/>
        <v>0</v>
      </c>
      <c r="J50" s="316">
        <f t="shared" si="2"/>
        <v>0</v>
      </c>
      <c r="K50" s="316">
        <f t="shared" si="2"/>
        <v>0</v>
      </c>
      <c r="L50" s="316">
        <f t="shared" si="2"/>
        <v>0</v>
      </c>
      <c r="M50" s="316">
        <f t="shared" si="2"/>
        <v>1.1097001379432914E-4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1.258796428623438E-5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2.5106942948836348E-3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1.1097001379432914E-4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3.4966567461762166</v>
      </c>
      <c r="C54" s="22">
        <f t="shared" ref="C54:P54" si="3">(C50)*10^9/3600</f>
        <v>0</v>
      </c>
      <c r="D54" s="22">
        <f t="shared" si="3"/>
        <v>0</v>
      </c>
      <c r="E54" s="22">
        <f t="shared" si="3"/>
        <v>0</v>
      </c>
      <c r="F54" s="22">
        <f t="shared" si="3"/>
        <v>0</v>
      </c>
      <c r="G54" s="22">
        <f t="shared" si="3"/>
        <v>697.41508191212085</v>
      </c>
      <c r="H54" s="22">
        <f t="shared" si="3"/>
        <v>0</v>
      </c>
      <c r="I54" s="22">
        <f t="shared" si="3"/>
        <v>0</v>
      </c>
      <c r="J54" s="22">
        <f t="shared" si="3"/>
        <v>0</v>
      </c>
      <c r="K54" s="22">
        <f t="shared" si="3"/>
        <v>0</v>
      </c>
      <c r="L54" s="22">
        <f t="shared" si="3"/>
        <v>0</v>
      </c>
      <c r="M54" s="22">
        <f t="shared" si="3"/>
        <v>30.825003831758092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0.20932474265176992</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0.73193677353491171</v>
      </c>
      <c r="C58" s="24">
        <f t="shared" ref="C58:P58" ca="1" si="4">C54*C56</f>
        <v>0</v>
      </c>
      <c r="D58" s="24">
        <f t="shared" si="4"/>
        <v>0</v>
      </c>
      <c r="E58" s="24">
        <f t="shared" si="4"/>
        <v>0</v>
      </c>
      <c r="F58" s="24">
        <f t="shared" si="4"/>
        <v>0</v>
      </c>
      <c r="G58" s="24">
        <f t="shared" si="4"/>
        <v>186.20982687053629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8252.6975053878978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1591.875</v>
      </c>
      <c r="C8" s="544">
        <f>B48</f>
        <v>1872.794117647059</v>
      </c>
      <c r="D8" s="967"/>
      <c r="E8" s="967">
        <f>E48</f>
        <v>0</v>
      </c>
      <c r="F8" s="968"/>
      <c r="G8" s="545"/>
      <c r="H8" s="967">
        <f>I48</f>
        <v>0</v>
      </c>
      <c r="I8" s="967">
        <f>G48+F48</f>
        <v>0</v>
      </c>
      <c r="J8" s="967">
        <f>H48+D48+C48</f>
        <v>0</v>
      </c>
      <c r="K8" s="967"/>
      <c r="L8" s="967"/>
      <c r="M8" s="967"/>
      <c r="N8" s="546"/>
      <c r="O8" s="547">
        <f>C8*$C$12+D8*$D$12+E8*$E$12+F8*$F$12+G8*$G$12+H8*$H$12+I8*$I$12+J8*$J$12</f>
        <v>378.30441176470595</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9844.5725053878978</v>
      </c>
      <c r="C10" s="556">
        <f t="shared" ref="C10:L10" si="0">SUM(C8:C9)</f>
        <v>1872.794117647059</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378.30441176470595</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2274.1071428571431</v>
      </c>
      <c r="C17" s="568">
        <f>B49</f>
        <v>2675.4201680672272</v>
      </c>
      <c r="D17" s="569"/>
      <c r="E17" s="569">
        <f>E49</f>
        <v>0</v>
      </c>
      <c r="F17" s="570"/>
      <c r="G17" s="571"/>
      <c r="H17" s="568">
        <f>I49</f>
        <v>0</v>
      </c>
      <c r="I17" s="569">
        <f>G49+F49</f>
        <v>0</v>
      </c>
      <c r="J17" s="569">
        <f>H49+D49+C49</f>
        <v>0</v>
      </c>
      <c r="K17" s="569"/>
      <c r="L17" s="569"/>
      <c r="M17" s="569"/>
      <c r="N17" s="974"/>
      <c r="O17" s="572">
        <f>C17*$C$22+E17*$E$22+H17*$H$22+I17*$I$22+J17*$J$22+D17*$D$22+F17*$F$22+G17*$G$22+K17*$K$22+L17*$L$22</f>
        <v>540.43487394957992</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2274.1071428571431</v>
      </c>
      <c r="C20" s="555">
        <f>SUM(C17:C19)</f>
        <v>2675.4201680672272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540.43487394957992</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44001</v>
      </c>
      <c r="C28" s="775">
        <v>9880</v>
      </c>
      <c r="D28" s="628"/>
      <c r="E28" s="627"/>
      <c r="F28" s="627"/>
      <c r="G28" s="627" t="s">
        <v>959</v>
      </c>
      <c r="H28" s="627" t="s">
        <v>960</v>
      </c>
      <c r="I28" s="627"/>
      <c r="J28" s="774"/>
      <c r="K28" s="774"/>
      <c r="L28" s="627" t="s">
        <v>961</v>
      </c>
      <c r="M28" s="627">
        <v>2830</v>
      </c>
      <c r="N28" s="627">
        <v>1591.875</v>
      </c>
      <c r="O28" s="627">
        <v>2274.1071428571431</v>
      </c>
      <c r="P28" s="627">
        <v>4548.2142857142862</v>
      </c>
      <c r="Q28" s="627">
        <v>0</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2830</v>
      </c>
      <c r="N29" s="585">
        <f>SUM(N28:N28)</f>
        <v>1591.875</v>
      </c>
      <c r="O29" s="585">
        <f>SUM(O28:O28)</f>
        <v>2274.1071428571431</v>
      </c>
      <c r="P29" s="585">
        <f>SUM(P28:P28)</f>
        <v>4548.2142857142862</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2830</v>
      </c>
      <c r="N32" s="590">
        <f>SUMIF($Z$28:$Z$28,"landbouw",N28:N28)</f>
        <v>1591.875</v>
      </c>
      <c r="O32" s="590">
        <f>SUMIF($Z$28:$Z$28,"landbouw",O28:O28)</f>
        <v>2274.1071428571431</v>
      </c>
      <c r="P32" s="590">
        <f>SUMIF($Z$28:$Z$28,"landbouw",P28:P28)</f>
        <v>4548.2142857142862</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1872.794117647059</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2675.4201680672272</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2021-11-11T13:36:21Z</dcterms:modified>
</cp:coreProperties>
</file>