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7769E3C1-BB01-42AA-BAA3-4469E462B0CB}"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L16" i="15" s="1"/>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<sst xmlns="http://schemas.openxmlformats.org/spreadsheetml/2006/main" count="2553" uniqueCount="959">
  <si>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</si>
  <si>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</si>
  <si>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</si>
  <si>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</si>
  <si>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</si>
  <si>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</si>
  <si>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</si>
  <si>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</si>
  <si>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</si>
  <si>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</si>
  <si>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</si>
  <si>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</si>
  <si>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</si>
  <si>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</si>
  <si>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</si>
  <si>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</si>
  <si>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</si>
  <si>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</si>
  <si>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</si>
  <si>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</si>
  <si>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</si>
  <si>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</si>
  <si>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</si>
  <si>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</si>
  <si>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</si>
  <si>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</si>
  <si>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</si>
  <si>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</si>
  <si>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</si>
  <si>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</si>
  <si>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</si>
  <si>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</si>
  <si>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</si>
  <si>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</si>
  <si>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</si>
  <si>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</si>
  <si>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</si>
  <si>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</si>
  <si>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</si>
  <si>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</si>
  <si>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</si>
  <si>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</si>
  <si>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</si>
  <si>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</si>
  <si>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</si>
  <si>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</si>
  <si>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</si>
  <si>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</si>
  <si>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</si>
  <si>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</si>
  <si>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</si>
  <si>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</si>
  <si>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</si>
  <si>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</si>
  <si>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</si>
  <si>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</si>
  <si>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</si>
  <si>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</si>
  <si>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</si>
  <si>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</si>
  <si>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</si>
  <si>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</si>
  <si>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</si>
  <si>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</si>
  <si>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</si>
  <si>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</si>
  <si>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</si>
  <si>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</si>
  <si>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</si>
  <si>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</si>
  <si>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</si>
  <si>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</si>
  <si>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</si>
  <si>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</si>
  <si>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</si>
  <si>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</si>
  <si>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</si>
  <si>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</si>
  <si>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</si>
  <si>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</si>
  <si>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</si>
  <si>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</si>
  <si>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</si>
  <si>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</si>
  <si>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</si>
  <si>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</si>
  <si>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</si>
  <si>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</si>
  <si>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</si>
  <si>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</si>
  <si>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</si>
  <si>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</si>
  <si>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</si>
  <si>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</si>
  <si>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</si>
  <si>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</si>
  <si>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</si>
  <si>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</si>
  <si>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</si>
  <si>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</si>
  <si>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</si>
  <si>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</si>
  <si>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</si>
  <si>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</si>
  <si>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</si>
  <si>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</si>
  <si>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</si>
  <si>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</si>
  <si>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</si>
  <si>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</si>
  <si>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</si>
  <si>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</si>
  <si>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</si>
  <si>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</si>
  <si>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</si>
  <si>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</si>
  <si>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</si>
  <si>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</si>
  <si>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</si>
  <si>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</si>
  <si>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</si>
  <si>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</si>
  <si>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</si>
  <si>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</si>
  <si>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</si>
  <si>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</si>
  <si>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</si>
  <si>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</si>
  <si>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</si>
  <si>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</si>
  <si>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</si>
  <si>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</si>
  <si>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</si>
  <si>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</si>
  <si>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</si>
  <si>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</si>
  <si>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</si>
  <si>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</si>
  <si>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</si>
  <si>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</si>
  <si>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</si>
  <si>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</si>
  <si>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</si>
  <si>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</si>
  <si>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</si>
  <si>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</si>
  <si>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</si>
  <si>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</si>
  <si>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</si>
  <si>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</si>
  <si>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</si>
  <si>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</si>
  <si>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</si>
  <si>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</si>
  <si>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</si>
  <si>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</si>
  <si>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</si>
  <si>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</si>
  <si>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</si>
  <si>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</si>
  <si>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</si>
  <si>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</si>
  <si>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</si>
  <si>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</si>
  <si>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</si>
  <si>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</si>
  <si>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</si>
  <si>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</si>
  <si>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</si>
  <si>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</si>
  <si>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</si>
  <si>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</si>
  <si>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</si>
  <si>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</si>
  <si>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</si>
  <si>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</si>
  <si>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</si>
  <si>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</si>
  <si>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</si>
  <si>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</si>
  <si>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</si>
  <si>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</si>
  <si>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</si>
  <si>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</si>
  <si>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</si>
  <si>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</si>
  <si>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</si>
  <si>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</si>
  <si>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</si>
  <si>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</si>
  <si>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</si>
  <si>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</si>
  <si>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</si>
  <si>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</si>
  <si>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</si>
  <si>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</si>
  <si>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</si>
  <si>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</si>
  <si>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</si>
  <si>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</si>
  <si>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</si>
  <si>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</si>
  <si>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</si>
  <si>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</si>
  <si>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</si>
  <si>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</si>
  <si>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</si>
  <si>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</si>
  <si>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</si>
  <si>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</si>
  <si>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</si>
  <si>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</si>
  <si>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</si>
  <si>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</si>
  <si>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</si>
  <si>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</si>
  <si>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</si>
  <si>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</si>
  <si>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</si>
  <si>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</si>
  <si>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</si>
  <si>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</si>
  <si>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</si>
  <si>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</si>
  <si>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</si>
  <si>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</si>
  <si>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</si>
  <si>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</si>
  <si>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</si>
  <si>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</si>
  <si>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</si>
  <si>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</si>
  <si>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</si>
  <si>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</si>
  <si>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</si>
  <si>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</si>
  <si>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</si>
  <si>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</si>
  <si>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</si>
  <si>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</si>
  <si>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</si>
  <si>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</si>
  <si>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</si>
  <si>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</si>
  <si>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</si>
  <si>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</si>
  <si>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</si>
  <si>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</si>
  <si>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</si>
  <si>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</si>
  <si>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</si>
  <si>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</si>
  <si>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</si>
  <si>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</si>
  <si>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</si>
  <si>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</si>
  <si>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</si>
  <si>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</si>
  <si>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</si>
  <si>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</si>
  <si>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</si>
  <si>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</si>
  <si>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</si>
  <si>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</si>
  <si>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</si>
  <si>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</si>
  <si>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</si>
  <si>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</si>
  <si>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</si>
  <si>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</si>
  <si>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</si>
  <si>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</si>
  <si>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</si>
  <si>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</si>
  <si>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</si>
  <si>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</si>
  <si>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</si>
  <si>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</si>
  <si>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</si>
  <si>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</si>
  <si>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</si>
  <si>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</si>
  <si>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</si>
  <si>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</si>
  <si>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</si>
  <si>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</si>
  <si>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</si>
  <si>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</si>
  <si>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</si>
  <si>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</si>
  <si>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</si>
  <si>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</si>
  <si>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</si>
  <si>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</si>
  <si>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</si>
  <si>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</si>
  <si>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</si>
  <si>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</si>
  <si>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</si>
  <si>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</si>
  <si>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</si>
  <si>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</si>
  <si>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</si>
  <si>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</si>
  <si>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</si>
  <si>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</si>
  <si>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</si>
  <si>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</si>
  <si>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</si>
  <si>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</si>
  <si>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</si>
  <si>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</si>
  <si>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</si>
  <si>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</si>
  <si>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</si>
  <si>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</si>
  <si>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</si>
  <si>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</si>
  <si>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</si>
  <si>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</si>
  <si>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</si>
  <si>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</si>
  <si>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</si>
  <si>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</si>
  <si>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</si>
  <si>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</si>
  <si>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</si>
  <si>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</si>
  <si>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</si>
  <si>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</si>
  <si>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</si>
  <si>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</si>
  <si>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</si>
  <si>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</si>
  <si>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</si>
  <si>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</si>
  <si>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</si>
  <si>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</si>
  <si>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</si>
  <si>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</si>
  <si>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</si>
  <si>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</si>
  <si>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</si>
  <si>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</si>
  <si>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</si>
  <si>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</si>
  <si>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</si>
  <si>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</si>
  <si>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</si>
  <si>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</si>
  <si>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</si>
  <si>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</si>
  <si>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</si>
  <si>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</si>
  <si>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</si>
  <si>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</si>
  <si>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</si>
  <si>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</si>
  <si>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</si>
  <si>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</si>
  <si>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</si>
  <si>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</si>
  <si>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</si>
  <si>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</si>
  <si>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</si>
  <si>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</si>
  <si>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</si>
  <si>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</si>
  <si>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</si>
  <si>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</si>
  <si>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</si>
  <si>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</si>
  <si>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</si>
  <si>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</si>
  <si>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</si>
  <si>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</si>
  <si>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</si>
  <si>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</si>
  <si>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</si>
  <si>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</si>
  <si>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</si>
  <si>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</si>
  <si>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</si>
  <si>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</si>
  <si>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</si>
  <si>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</si>
  <si>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</si>
  <si>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</si>
  <si>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</si>
  <si>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</si>
  <si>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</si>
  <si>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</si>
  <si>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</si>
  <si>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</si>
  <si>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</si>
  <si>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</si>
  <si>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</si>
  <si>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</si>
  <si>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</si>
  <si>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</si>
  <si>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</si>
  <si>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</si>
  <si>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</si>
  <si>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</si>
  <si>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</si>
  <si>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</si>
  <si>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</si>
  <si>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</si>
  <si>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</si>
  <si>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</si>
  <si>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</si>
  <si>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</si>
  <si>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</si>
  <si>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</si>
  <si>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</si>
  <si>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</si>
  <si>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</si>
  <si>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</si>
  <si>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</si>
  <si>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</si>
  <si>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</si>
  <si>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</si>
  <si>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</si>
  <si>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</si>
  <si>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</si>
  <si>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</si>
  <si>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</si>
  <si>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</si>
  <si>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</si>
  <si>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</si>
  <si>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</si>
  <si>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</si>
  <si>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</si>
  <si>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</si>
  <si>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</si>
  <si>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</si>
  <si>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</si>
  <si>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</si>
  <si>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</si>
  <si>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</si>
  <si>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</si>
  <si>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</si>
  <si>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</si>
  <si>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</si>
  <si>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</si>
  <si>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</si>
  <si>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</si>
  <si>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</si>
  <si>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</si>
  <si>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</si>
  <si>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</si>
  <si>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</si>
  <si>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</si>
  <si>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</si>
  <si>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</si>
  <si>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</si>
  <si>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</si>
  <si>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</si>
  <si>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</si>
  <si>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</si>
  <si>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</si>
  <si>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</si>
  <si>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</si>
  <si>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</si>
  <si>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</si>
  <si>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</si>
  <si>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</si>
  <si>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</si>
  <si>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</si>
  <si>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</si>
  <si>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</si>
  <si>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</si>
  <si>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</si>
  <si>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</si>
  <si>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</si>
  <si>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</si>
  <si>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</si>
  <si>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</si>
  <si>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</si>
  <si>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</si>
  <si>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</si>
  <si>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</si>
  <si>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</si>
  <si>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</si>
  <si>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</si>
  <si>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</si>
  <si>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</si>
  <si>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</si>
  <si>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</si>
  <si>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</si>
  <si>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</si>
  <si>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</si>
  <si>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</si>
  <si>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</si>
  <si>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</si>
  <si>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</si>
  <si>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</si>
  <si>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</si>
  <si>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</si>
  <si>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</si>
  <si>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</si>
  <si>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</si>
  <si>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</si>
  <si>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</si>
  <si>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</si>
  <si>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</si>
  <si>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</si>
  <si>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</si>
  <si>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</si>
  <si>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</si>
  <si>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</si>
  <si>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</si>
  <si>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</si>
  <si>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</si>
  <si>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</si>
  <si>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</si>
  <si>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</si>
  <si>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</si>
  <si>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</si>
  <si>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</si>
  <si>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</si>
  <si>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</si>
  <si>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</si>
  <si>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</si>
  <si>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</si>
  <si>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</si>
  <si>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</si>
  <si>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</si>
  <si>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</si>
  <si>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</si>
  <si>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</si>
  <si>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</si>
  <si>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</si>
  <si>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</si>
  <si>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</si>
  <si>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</si>
  <si>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</si>
  <si>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</si>
  <si>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</si>
  <si>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</si>
  <si>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</si>
  <si>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</si>
  <si>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</si>
  <si>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</si>
  <si>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</si>
  <si>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</si>
  <si>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</si>
  <si>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</si>
  <si>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</si>
  <si>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</si>
  <si>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</si>
  <si>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</si>
  <si>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</si>
  <si>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</si>
  <si>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</si>
  <si>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</si>
  <si>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</si>
  <si>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</si>
  <si>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</si>
  <si>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</si>
  <si>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</si>
  <si>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</si>
  <si>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</si>
  <si>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</si>
  <si>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</si>
  <si>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</si>
  <si>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</si>
  <si>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</si>
  <si>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</si>
  <si>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</si>
  <si>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</si>
  <si>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</si>
  <si>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</si>
  <si>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</si>
  <si>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</si>
  <si>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</si>
  <si>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</si>
  <si>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</si>
  <si>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</si>
  <si>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</si>
  <si>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</si>
  <si>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</si>
  <si>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</si>
  <si>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</si>
  <si>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</si>
  <si>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</si>
  <si>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</si>
  <si>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</si>
  <si>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</si>
  <si>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</si>
  <si>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</si>
  <si>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</si>
  <si>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</si>
  <si>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</si>
  <si>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</si>
  <si>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</si>
  <si>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</si>
  <si>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</si>
  <si>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</si>
  <si>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</si>
  <si>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</si>
  <si>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</si>
  <si>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</si>
  <si>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</si>
  <si>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</si>
  <si>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</si>
  <si>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</si>
  <si>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</si>
  <si>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</si>
  <si>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</si>
  <si>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</si>
  <si>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</si>
  <si>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</si>
  <si>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</si>
  <si>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</si>
  <si>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</si>
  <si>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</si>
  <si>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</si>
  <si>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</si>
  <si>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</si>
  <si>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</si>
  <si>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</si>
  <si>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</si>
  <si>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</si>
  <si>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</si>
  <si>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</si>
  <si>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</si>
  <si>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</si>
  <si>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</si>
  <si>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</si>
  <si>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</si>
  <si>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</si>
  <si>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</si>
  <si>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</si>
  <si>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</si>
  <si>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</si>
  <si>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</si>
  <si>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</si>
  <si>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</si>
  <si>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</si>
  <si>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</si>
  <si>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</si>
  <si>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</si>
  <si>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</si>
  <si>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</si>
  <si>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</si>
  <si>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</si>
  <si>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</si>
  <si>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</si>
  <si>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</si>
  <si>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</si>
  <si>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</si>
  <si>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</si>
  <si>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</si>
  <si>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</si>
  <si>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</si>
  <si>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</si>
  <si>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</si>
  <si>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</si>
  <si>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</si>
  <si>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</si>
  <si>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</si>
  <si>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</si>
  <si>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</si>
  <si>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</si>
  <si>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</si>
  <si>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</si>
  <si>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</si>
  <si>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</si>
  <si>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</si>
  <si>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</si>
  <si>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</si>
  <si>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</si>
  <si>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</si>
  <si>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</si>
  <si>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</si>
  <si>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</si>
  <si>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</si>
  <si>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</si>
  <si>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</si>
  <si>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</si>
  <si>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</si>
  <si>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</si>
  <si>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</si>
  <si>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</si>
  <si>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</si>
  <si>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</si>
  <si>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</si>
  <si>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</si>
  <si>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</si>
  <si>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</si>
  <si>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</si>
  <si>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</si>
  <si>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</si>
  <si>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</si>
  <si>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</si>
  <si>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</si>
  <si>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</si>
  <si>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</si>
  <si>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</si>
  <si>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</si>
  <si>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</si>
  <si>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</si>
  <si>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</si>
  <si>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</si>
  <si>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</si>
  <si>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</si>
  <si>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</si>
  <si>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</si>
  <si>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</si>
  <si>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</si>
  <si>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</si>
  <si>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</si>
  <si>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</si>
  <si>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</si>
  <si>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</si>
  <si>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</si>
  <si>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</si>
  <si>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</si>
  <si>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</si>
  <si>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</si>
  <si>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</si>
  <si>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</si>
  <si>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</si>
  <si>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</si>
  <si>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</si>
  <si>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</si>
  <si>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</si>
  <si>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</si>
  <si>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</si>
  <si>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</si>
  <si>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</si>
  <si>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</si>
  <si>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</si>
  <si>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</si>
  <si>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</si>
  <si>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</si>
  <si>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</si>
  <si>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</si>
  <si>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</si>
  <si>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</si>
  <si>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</si>
  <si>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</si>
  <si>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</si>
  <si>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</si>
  <si>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</si>
  <si>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</si>
  <si>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</si>
  <si>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</si>
  <si>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</si>
  <si>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</si>
  <si>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</si>
  <si>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</si>
  <si>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</si>
  <si>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</si>
  <si>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</si>
  <si>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</si>
  <si>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</si>
  <si>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</si>
  <si>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</si>
  <si>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</si>
  <si>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</si>
  <si>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</si>
  <si>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</si>
  <si>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</si>
  <si>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</si>
  <si>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</si>
  <si>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</si>
  <si>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</si>
  <si>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</si>
  <si>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</si>
  <si>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</si>
  <si>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</si>
  <si>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</si>
  <si>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</si>
  <si>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</si>
  <si>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</si>
  <si>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</si>
  <si>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</si>
  <si>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</si>
  <si>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</si>
  <si>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</si>
  <si>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</si>
  <si>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</si>
  <si>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</si>
  <si>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</si>
  <si>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</si>
  <si>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</si>
  <si>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</si>
  <si>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</si>
  <si>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</si>
  <si>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</si>
  <si>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</si>
  <si>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</si>
  <si>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</si>
  <si>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</si>
  <si>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</si>
  <si>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</si>
  <si>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</si>
  <si>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</si>
  <si>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</si>
  <si>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</si>
  <si>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</si>
  <si>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</si>
  <si>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</si>
  <si>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</si>
  <si>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</si>
  <si>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</si>
  <si>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</si>
  <si>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</si>
  <si>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</si>
  <si>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</si>
  <si>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</si>
  <si>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</si>
  <si>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</si>
  <si>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</si>
  <si>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</si>
  <si>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</si>
  <si>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</si>
  <si>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</si>
  <si>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</si>
  <si>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</si>
  <si>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</si>
  <si>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</si>
  <si>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</si>
  <si>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</si>
  <si>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</si>
  <si>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</si>
  <si>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</si>
  <si>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</si>
  <si>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</si>
  <si>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</si>
  <si>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</si>
  <si>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</si>
  <si>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</si>
  <si>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</si>
  <si>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</si>
  <si>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</si>
  <si>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</si>
  <si>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</si>
  <si>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</si>
  <si>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</si>
  <si>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</si>
  <si>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</si>
  <si>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</si>
  <si>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</si>
  <si>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</si>
  <si>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</si>
  <si>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</si>
  <si>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</si>
  <si>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</si>
  <si>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</si>
  <si>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</si>
  <si>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</si>
  <si>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</si>
  <si>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</si>
  <si>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</si>
  <si>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</si>
  <si>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</si>
  <si>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</si>
  <si>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</si>
  <si>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</si>
  <si>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</si>
  <si>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</si>
  <si>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</si>
  <si>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</si>
  <si>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</si>
  <si>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</si>
  <si>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</si>
  <si>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</si>
  <si>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</si>
  <si>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</si>
  <si>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</si>
  <si>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</si>
  <si>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</si>
  <si>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</si>
  <si>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</si>
  <si>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</si>
  <si>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</si>
  <si>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</si>
  <si>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</si>
  <si>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</si>
  <si>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</si>
  <si>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</si>
  <si>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</si>
  <si>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</si>
  <si>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</si>
  <si>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</si>
  <si>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</si>
  <si>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</si>
  <si>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</si>
  <si>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</si>
  <si>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</si>
  <si>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</si>
  <si>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</si>
  <si>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</si>
  <si>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</si>
  <si>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</si>
  <si>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</si>
  <si>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</si>
  <si>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</si>
  <si>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</si>
  <si>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</si>
  <si>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</si>
  <si>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</si>
  <si>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</si>
  <si>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</si>
  <si>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</si>
  <si>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</si>
  <si>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</si>
  <si>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</si>
  <si>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</si>
  <si>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</si>
  <si>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</si>
  <si>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</si>
  <si>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</si>
  <si>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</si>
  <si>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</si>
  <si>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</si>
  <si>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</si>
  <si>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</si>
  <si>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</si>
  <si>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</si>
  <si>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</si>
  <si>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</si>
  <si>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</si>
  <si>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</si>
  <si>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</si>
  <si>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</si>
  <si>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</si>
  <si>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</si>
  <si>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</si>
  <si>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</si>
  <si>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</si>
  <si>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</si>
  <si>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</si>
  <si>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</si>
  <si>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</si>
  <si>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</si>
  <si>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</si>
  <si>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</si>
  <si>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</si>
  <si>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</si>
  <si>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</si>
  <si>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</si>
  <si>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</si>
  <si>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</si>
  <si>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</si>
  <si>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</si>
  <si>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</si>
  <si>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</si>
  <si>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</si>
  <si>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</si>
  <si>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42026</t>
  </si>
  <si>
    <t>WICHELEN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</si>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</sst>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FEF40B9A-0958-4EAA-9DA9-22B9022CA2EE}"/>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42026</v>
      </c>
      <c r="B6" s="384"/>
      <c r="C6" s="385"/>
    </row>
    <row r="7" spans="1:7" s="382" customFormat="1" ht="15.75" customHeight="1">
      <c r="A7" s="386" t="str">
        <f>txtMunicipality</f>
        <v>WICHELEN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7998.8427055708462</v>
      </c>
      <c r="D10" s="674">
        <f ca="1">tertiair!C16</f>
        <v>0</v>
      </c>
      <c r="E10" s="674">
        <f ca="1">tertiair!D16</f>
        <v>5493.443208446306</v>
      </c>
      <c r="F10" s="674">
        <f>tertiair!E16</f>
        <v>77.451004171260408</v>
      </c>
      <c r="G10" s="674">
        <f ca="1">tertiair!F16</f>
        <v>1484.2238491527573</v>
      </c>
      <c r="H10" s="674">
        <f>tertiair!G16</f>
        <v>0</v>
      </c>
      <c r="I10" s="674">
        <f>tertiair!H16</f>
        <v>0</v>
      </c>
      <c r="J10" s="674">
        <f>tertiair!I16</f>
        <v>0</v>
      </c>
      <c r="K10" s="674">
        <f>tertiair!J16</f>
        <v>0</v>
      </c>
      <c r="L10" s="674">
        <f>tertiair!K16</f>
        <v>0</v>
      </c>
      <c r="M10" s="674">
        <f ca="1">tertiair!L16</f>
        <v>0</v>
      </c>
      <c r="N10" s="674">
        <f>tertiair!M16</f>
        <v>0</v>
      </c>
      <c r="O10" s="674">
        <f ca="1">tertiair!N16</f>
        <v>994.44630519913426</v>
      </c>
      <c r="P10" s="674">
        <f>tertiair!O16</f>
        <v>1.5633333333333335</v>
      </c>
      <c r="Q10" s="675">
        <f>tertiair!P16</f>
        <v>0</v>
      </c>
      <c r="R10" s="677">
        <f ca="1">SUM(C10:Q10)</f>
        <v>16049.970405873637</v>
      </c>
      <c r="S10" s="68"/>
    </row>
    <row r="11" spans="1:19" s="443" customFormat="1">
      <c r="A11" s="789" t="s">
        <v>214</v>
      </c>
      <c r="B11" s="794"/>
      <c r="C11" s="674">
        <f>huishoudens!B8</f>
        <v>26151.544649734762</v>
      </c>
      <c r="D11" s="674">
        <f>huishoudens!C8</f>
        <v>0</v>
      </c>
      <c r="E11" s="674">
        <f>huishoudens!D8</f>
        <v>37211.617604349376</v>
      </c>
      <c r="F11" s="674">
        <f>huishoudens!E8</f>
        <v>1378.971595431542</v>
      </c>
      <c r="G11" s="674">
        <f>huishoudens!F8</f>
        <v>42040.840382181377</v>
      </c>
      <c r="H11" s="674">
        <f>huishoudens!G8</f>
        <v>0</v>
      </c>
      <c r="I11" s="674">
        <f>huishoudens!H8</f>
        <v>0</v>
      </c>
      <c r="J11" s="674">
        <f>huishoudens!I8</f>
        <v>0</v>
      </c>
      <c r="K11" s="674">
        <f>huishoudens!J8</f>
        <v>762.81639977899385</v>
      </c>
      <c r="L11" s="674">
        <f>huishoudens!K8</f>
        <v>0</v>
      </c>
      <c r="M11" s="674">
        <f>huishoudens!L8</f>
        <v>0</v>
      </c>
      <c r="N11" s="674">
        <f>huishoudens!M8</f>
        <v>0</v>
      </c>
      <c r="O11" s="674">
        <f>huishoudens!N8</f>
        <v>7287.9013121467187</v>
      </c>
      <c r="P11" s="674">
        <f>huishoudens!O8</f>
        <v>64.096666666666678</v>
      </c>
      <c r="Q11" s="675">
        <f>huishoudens!P8</f>
        <v>247.86666666666667</v>
      </c>
      <c r="R11" s="677">
        <f>SUM(C11:Q11)</f>
        <v>115145.65527695609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5545.7774011323772</v>
      </c>
      <c r="D13" s="674">
        <f>industrie!C18</f>
        <v>0</v>
      </c>
      <c r="E13" s="674">
        <f>industrie!D18</f>
        <v>2943.9093996967067</v>
      </c>
      <c r="F13" s="674">
        <f>industrie!E18</f>
        <v>27.978319513176011</v>
      </c>
      <c r="G13" s="674">
        <f>industrie!F18</f>
        <v>1141.1558429572133</v>
      </c>
      <c r="H13" s="674">
        <f>industrie!G18</f>
        <v>0</v>
      </c>
      <c r="I13" s="674">
        <f>industrie!H18</f>
        <v>0</v>
      </c>
      <c r="J13" s="674">
        <f>industrie!I18</f>
        <v>0</v>
      </c>
      <c r="K13" s="674">
        <f>industrie!J18</f>
        <v>5.8711827885544405</v>
      </c>
      <c r="L13" s="674">
        <f>industrie!K18</f>
        <v>0</v>
      </c>
      <c r="M13" s="674">
        <f>industrie!L18</f>
        <v>0</v>
      </c>
      <c r="N13" s="674">
        <f>industrie!M18</f>
        <v>0</v>
      </c>
      <c r="O13" s="674">
        <f>industrie!N18</f>
        <v>142.20593089897949</v>
      </c>
      <c r="P13" s="674">
        <f>industrie!O18</f>
        <v>0</v>
      </c>
      <c r="Q13" s="675">
        <f>industrie!P18</f>
        <v>0</v>
      </c>
      <c r="R13" s="677">
        <f>SUM(C13:Q13)</f>
        <v>9806.8980769870068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39696.164756437989</v>
      </c>
      <c r="D16" s="707">
        <f t="shared" ref="D16:R16" ca="1" si="0">SUM(D9:D15)</f>
        <v>0</v>
      </c>
      <c r="E16" s="707">
        <f t="shared" ca="1" si="0"/>
        <v>45648.970212492386</v>
      </c>
      <c r="F16" s="707">
        <f t="shared" si="0"/>
        <v>1484.4009191159785</v>
      </c>
      <c r="G16" s="707">
        <f t="shared" ca="1" si="0"/>
        <v>44666.220074291348</v>
      </c>
      <c r="H16" s="707">
        <f t="shared" si="0"/>
        <v>0</v>
      </c>
      <c r="I16" s="707">
        <f t="shared" si="0"/>
        <v>0</v>
      </c>
      <c r="J16" s="707">
        <f t="shared" si="0"/>
        <v>0</v>
      </c>
      <c r="K16" s="707">
        <f t="shared" si="0"/>
        <v>768.68758256754825</v>
      </c>
      <c r="L16" s="707">
        <f t="shared" si="0"/>
        <v>0</v>
      </c>
      <c r="M16" s="707">
        <f t="shared" ca="1" si="0"/>
        <v>0</v>
      </c>
      <c r="N16" s="707">
        <f t="shared" si="0"/>
        <v>0</v>
      </c>
      <c r="O16" s="707">
        <f t="shared" ca="1" si="0"/>
        <v>8424.5535482448322</v>
      </c>
      <c r="P16" s="707">
        <f t="shared" si="0"/>
        <v>65.660000000000011</v>
      </c>
      <c r="Q16" s="707">
        <f t="shared" si="0"/>
        <v>247.86666666666667</v>
      </c>
      <c r="R16" s="707">
        <f t="shared" ca="1" si="0"/>
        <v>141002.52375981674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2.5039638740761938</v>
      </c>
      <c r="D19" s="674">
        <f>transport!C54</f>
        <v>0</v>
      </c>
      <c r="E19" s="674">
        <f>transport!D54</f>
        <v>0</v>
      </c>
      <c r="F19" s="674">
        <f>transport!E54</f>
        <v>0</v>
      </c>
      <c r="G19" s="674">
        <f>transport!F54</f>
        <v>0</v>
      </c>
      <c r="H19" s="674">
        <f>transport!G54</f>
        <v>499.42053141290347</v>
      </c>
      <c r="I19" s="674">
        <f>transport!H54</f>
        <v>0</v>
      </c>
      <c r="J19" s="674">
        <f>transport!I54</f>
        <v>0</v>
      </c>
      <c r="K19" s="674">
        <f>transport!J54</f>
        <v>0</v>
      </c>
      <c r="L19" s="674">
        <f>transport!K54</f>
        <v>0</v>
      </c>
      <c r="M19" s="674">
        <f>transport!L54</f>
        <v>0</v>
      </c>
      <c r="N19" s="674">
        <f>transport!M54</f>
        <v>22.073855575726203</v>
      </c>
      <c r="O19" s="674">
        <f>transport!N54</f>
        <v>0</v>
      </c>
      <c r="P19" s="674">
        <f>transport!O54</f>
        <v>0</v>
      </c>
      <c r="Q19" s="675">
        <f>transport!P54</f>
        <v>0</v>
      </c>
      <c r="R19" s="677">
        <f>SUM(C19:Q19)</f>
        <v>523.99835086270582</v>
      </c>
      <c r="S19" s="68"/>
    </row>
    <row r="20" spans="1:19" s="443" customFormat="1">
      <c r="A20" s="789" t="s">
        <v>296</v>
      </c>
      <c r="B20" s="794"/>
      <c r="C20" s="674">
        <f>transport!B14</f>
        <v>1.6414110691108403</v>
      </c>
      <c r="D20" s="674">
        <f>transport!C14</f>
        <v>0</v>
      </c>
      <c r="E20" s="674">
        <f>transport!D14</f>
        <v>2.1983371773086144</v>
      </c>
      <c r="F20" s="674">
        <f>transport!E14</f>
        <v>139.55063727431218</v>
      </c>
      <c r="G20" s="674">
        <f>transport!F14</f>
        <v>0</v>
      </c>
      <c r="H20" s="674">
        <f>transport!G14</f>
        <v>30502.468657243389</v>
      </c>
      <c r="I20" s="674">
        <f>transport!H14</f>
        <v>5260.1223332025238</v>
      </c>
      <c r="J20" s="674">
        <f>transport!I14</f>
        <v>0</v>
      </c>
      <c r="K20" s="674">
        <f>transport!J14</f>
        <v>0</v>
      </c>
      <c r="L20" s="674">
        <f>transport!K14</f>
        <v>0</v>
      </c>
      <c r="M20" s="674">
        <f>transport!L14</f>
        <v>0</v>
      </c>
      <c r="N20" s="674">
        <f>transport!M14</f>
        <v>1598.1696878922301</v>
      </c>
      <c r="O20" s="674">
        <f>transport!N14</f>
        <v>0</v>
      </c>
      <c r="P20" s="674">
        <f>transport!O14</f>
        <v>0</v>
      </c>
      <c r="Q20" s="675">
        <f>transport!P14</f>
        <v>0</v>
      </c>
      <c r="R20" s="677">
        <f>SUM(C20:Q20)</f>
        <v>37504.151063858873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4.1453749431870346</v>
      </c>
      <c r="D22" s="792">
        <f t="shared" ref="D22:R22" si="1">SUM(D18:D21)</f>
        <v>0</v>
      </c>
      <c r="E22" s="792">
        <f t="shared" si="1"/>
        <v>2.1983371773086144</v>
      </c>
      <c r="F22" s="792">
        <f t="shared" si="1"/>
        <v>139.55063727431218</v>
      </c>
      <c r="G22" s="792">
        <f t="shared" si="1"/>
        <v>0</v>
      </c>
      <c r="H22" s="792">
        <f t="shared" si="1"/>
        <v>31001.889188656292</v>
      </c>
      <c r="I22" s="792">
        <f t="shared" si="1"/>
        <v>5260.1223332025238</v>
      </c>
      <c r="J22" s="792">
        <f t="shared" si="1"/>
        <v>0</v>
      </c>
      <c r="K22" s="792">
        <f t="shared" si="1"/>
        <v>0</v>
      </c>
      <c r="L22" s="792">
        <f t="shared" si="1"/>
        <v>0</v>
      </c>
      <c r="M22" s="792">
        <f t="shared" si="1"/>
        <v>0</v>
      </c>
      <c r="N22" s="792">
        <f t="shared" si="1"/>
        <v>1620.2435434679562</v>
      </c>
      <c r="O22" s="792">
        <f t="shared" si="1"/>
        <v>0</v>
      </c>
      <c r="P22" s="792">
        <f t="shared" si="1"/>
        <v>0</v>
      </c>
      <c r="Q22" s="792">
        <f t="shared" si="1"/>
        <v>0</v>
      </c>
      <c r="R22" s="792">
        <f t="shared" si="1"/>
        <v>38028.149414721578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651.620782654153</v>
      </c>
      <c r="D24" s="674">
        <f>+landbouw!C8</f>
        <v>0</v>
      </c>
      <c r="E24" s="674">
        <f>+landbouw!D8</f>
        <v>258.99686263949138</v>
      </c>
      <c r="F24" s="674">
        <f>+landbouw!E8</f>
        <v>6.1387043728483386</v>
      </c>
      <c r="G24" s="674">
        <f>+landbouw!F8</f>
        <v>2126.4548677461366</v>
      </c>
      <c r="H24" s="674">
        <f>+landbouw!G8</f>
        <v>0</v>
      </c>
      <c r="I24" s="674">
        <f>+landbouw!H8</f>
        <v>0</v>
      </c>
      <c r="J24" s="674">
        <f>+landbouw!I8</f>
        <v>0</v>
      </c>
      <c r="K24" s="674">
        <f>+landbouw!J8</f>
        <v>80.608660297196707</v>
      </c>
      <c r="L24" s="674">
        <f>+landbouw!K8</f>
        <v>0</v>
      </c>
      <c r="M24" s="674">
        <f>+landbouw!L8</f>
        <v>0</v>
      </c>
      <c r="N24" s="674">
        <f>+landbouw!M8</f>
        <v>0</v>
      </c>
      <c r="O24" s="674">
        <f>+landbouw!N8</f>
        <v>0</v>
      </c>
      <c r="P24" s="674">
        <f>+landbouw!O8</f>
        <v>0</v>
      </c>
      <c r="Q24" s="675">
        <f>+landbouw!P8</f>
        <v>0</v>
      </c>
      <c r="R24" s="677">
        <f>SUM(C24:Q24)</f>
        <v>3123.8198777098264</v>
      </c>
      <c r="S24" s="68"/>
    </row>
    <row r="25" spans="1:19" s="443" customFormat="1" ht="15" thickBot="1">
      <c r="A25" s="811" t="s">
        <v>873</v>
      </c>
      <c r="B25" s="977"/>
      <c r="C25" s="978">
        <f>IF(Onbekend_ele_kWh="---",0,Onbekend_ele_kWh)/1000+IF(REST_rest_ele_kWh="---",0,REST_rest_ele_kWh)/1000</f>
        <v>543.57947318597303</v>
      </c>
      <c r="D25" s="978"/>
      <c r="E25" s="978">
        <f>IF(onbekend_gas_kWh="---",0,onbekend_gas_kWh)/1000+IF(REST_rest_gas_kWh="---",0,REST_rest_gas_kWh)/1000</f>
        <v>783.56669364921504</v>
      </c>
      <c r="F25" s="978"/>
      <c r="G25" s="978"/>
      <c r="H25" s="978"/>
      <c r="I25" s="978"/>
      <c r="J25" s="978"/>
      <c r="K25" s="978"/>
      <c r="L25" s="978"/>
      <c r="M25" s="978"/>
      <c r="N25" s="978"/>
      <c r="O25" s="978"/>
      <c r="P25" s="978"/>
      <c r="Q25" s="979"/>
      <c r="R25" s="677">
        <f>SUM(C25:Q25)</f>
        <v>1327.1461668351881</v>
      </c>
      <c r="S25" s="68"/>
    </row>
    <row r="26" spans="1:19" s="443" customFormat="1" ht="15.75" thickBot="1">
      <c r="A26" s="680" t="s">
        <v>874</v>
      </c>
      <c r="B26" s="797"/>
      <c r="C26" s="792">
        <f>SUM(C24:C25)</f>
        <v>1195.2002558401259</v>
      </c>
      <c r="D26" s="792">
        <f t="shared" ref="D26:R26" si="2">SUM(D24:D25)</f>
        <v>0</v>
      </c>
      <c r="E26" s="792">
        <f t="shared" si="2"/>
        <v>1042.5635562887064</v>
      </c>
      <c r="F26" s="792">
        <f t="shared" si="2"/>
        <v>6.1387043728483386</v>
      </c>
      <c r="G26" s="792">
        <f t="shared" si="2"/>
        <v>2126.4548677461366</v>
      </c>
      <c r="H26" s="792">
        <f t="shared" si="2"/>
        <v>0</v>
      </c>
      <c r="I26" s="792">
        <f t="shared" si="2"/>
        <v>0</v>
      </c>
      <c r="J26" s="792">
        <f t="shared" si="2"/>
        <v>0</v>
      </c>
      <c r="K26" s="792">
        <f t="shared" si="2"/>
        <v>80.608660297196707</v>
      </c>
      <c r="L26" s="792">
        <f t="shared" si="2"/>
        <v>0</v>
      </c>
      <c r="M26" s="792">
        <f t="shared" si="2"/>
        <v>0</v>
      </c>
      <c r="N26" s="792">
        <f t="shared" si="2"/>
        <v>0</v>
      </c>
      <c r="O26" s="792">
        <f t="shared" si="2"/>
        <v>0</v>
      </c>
      <c r="P26" s="792">
        <f t="shared" si="2"/>
        <v>0</v>
      </c>
      <c r="Q26" s="792">
        <f t="shared" si="2"/>
        <v>0</v>
      </c>
      <c r="R26" s="792">
        <f t="shared" si="2"/>
        <v>4450.9660445450145</v>
      </c>
      <c r="S26" s="68"/>
    </row>
    <row r="27" spans="1:19" s="443" customFormat="1" ht="17.25" thickTop="1" thickBot="1">
      <c r="A27" s="681" t="s">
        <v>109</v>
      </c>
      <c r="B27" s="784"/>
      <c r="C27" s="682">
        <f ca="1">C22+C16+C26</f>
        <v>40895.510387221308</v>
      </c>
      <c r="D27" s="682">
        <f t="shared" ref="D27:R27" ca="1" si="3">D22+D16+D26</f>
        <v>0</v>
      </c>
      <c r="E27" s="682">
        <f t="shared" ca="1" si="3"/>
        <v>46693.732105958399</v>
      </c>
      <c r="F27" s="682">
        <f t="shared" si="3"/>
        <v>1630.090260763139</v>
      </c>
      <c r="G27" s="682">
        <f t="shared" ca="1" si="3"/>
        <v>46792.674942037484</v>
      </c>
      <c r="H27" s="682">
        <f t="shared" si="3"/>
        <v>31001.889188656292</v>
      </c>
      <c r="I27" s="682">
        <f t="shared" si="3"/>
        <v>5260.1223332025238</v>
      </c>
      <c r="J27" s="682">
        <f t="shared" si="3"/>
        <v>0</v>
      </c>
      <c r="K27" s="682">
        <f t="shared" si="3"/>
        <v>849.29624286474495</v>
      </c>
      <c r="L27" s="682">
        <f t="shared" si="3"/>
        <v>0</v>
      </c>
      <c r="M27" s="682">
        <f t="shared" ca="1" si="3"/>
        <v>0</v>
      </c>
      <c r="N27" s="682">
        <f t="shared" si="3"/>
        <v>1620.2435434679562</v>
      </c>
      <c r="O27" s="682">
        <f t="shared" ca="1" si="3"/>
        <v>8424.5535482448322</v>
      </c>
      <c r="P27" s="682">
        <f t="shared" si="3"/>
        <v>65.660000000000011</v>
      </c>
      <c r="Q27" s="682">
        <f t="shared" si="3"/>
        <v>247.86666666666667</v>
      </c>
      <c r="R27" s="682">
        <f t="shared" ca="1" si="3"/>
        <v>183481.63921908336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1663.7810988366105</v>
      </c>
      <c r="D40" s="674">
        <f ca="1">tertiair!C20</f>
        <v>0</v>
      </c>
      <c r="E40" s="674">
        <f ca="1">tertiair!D20</f>
        <v>1109.6755281061539</v>
      </c>
      <c r="F40" s="674">
        <f>tertiair!E20</f>
        <v>17.581377946876113</v>
      </c>
      <c r="G40" s="674">
        <f ca="1">tertiair!F20</f>
        <v>396.28776772378626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3187.3257726134266</v>
      </c>
    </row>
    <row r="41" spans="1:18">
      <c r="A41" s="802" t="s">
        <v>214</v>
      </c>
      <c r="B41" s="809"/>
      <c r="C41" s="674">
        <f ca="1">huishoudens!B12</f>
        <v>5439.5926129797808</v>
      </c>
      <c r="D41" s="674">
        <f ca="1">huishoudens!C12</f>
        <v>0</v>
      </c>
      <c r="E41" s="674">
        <f>huishoudens!D12</f>
        <v>7516.7467560785744</v>
      </c>
      <c r="F41" s="674">
        <f>huishoudens!E12</f>
        <v>313.02655216296006</v>
      </c>
      <c r="G41" s="674">
        <f>huishoudens!F12</f>
        <v>11224.904382042429</v>
      </c>
      <c r="H41" s="674">
        <f>huishoudens!G12</f>
        <v>0</v>
      </c>
      <c r="I41" s="674">
        <f>huishoudens!H12</f>
        <v>0</v>
      </c>
      <c r="J41" s="674">
        <f>huishoudens!I12</f>
        <v>0</v>
      </c>
      <c r="K41" s="674">
        <f>huishoudens!J12</f>
        <v>270.03700552176383</v>
      </c>
      <c r="L41" s="674">
        <f>huishoudens!K12</f>
        <v>0</v>
      </c>
      <c r="M41" s="674">
        <f>huishoudens!L12</f>
        <v>0</v>
      </c>
      <c r="N41" s="674">
        <f>huishoudens!M12</f>
        <v>0</v>
      </c>
      <c r="O41" s="674">
        <f>huishoudens!N12</f>
        <v>0</v>
      </c>
      <c r="P41" s="674">
        <f>huishoudens!O12</f>
        <v>0</v>
      </c>
      <c r="Q41" s="749">
        <f>huishoudens!P12</f>
        <v>0</v>
      </c>
      <c r="R41" s="830">
        <f t="shared" ca="1" si="4"/>
        <v>24764.307308785508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1153.5368250125848</v>
      </c>
      <c r="D43" s="674">
        <f ca="1">industrie!C22</f>
        <v>0</v>
      </c>
      <c r="E43" s="674">
        <f>industrie!D22</f>
        <v>594.66969873873484</v>
      </c>
      <c r="F43" s="674">
        <f>industrie!E22</f>
        <v>6.3510785294909544</v>
      </c>
      <c r="G43" s="674">
        <f>industrie!F22</f>
        <v>304.68861006957599</v>
      </c>
      <c r="H43" s="674">
        <f>industrie!G22</f>
        <v>0</v>
      </c>
      <c r="I43" s="674">
        <f>industrie!H22</f>
        <v>0</v>
      </c>
      <c r="J43" s="674">
        <f>industrie!I22</f>
        <v>0</v>
      </c>
      <c r="K43" s="674">
        <f>industrie!J22</f>
        <v>2.0783987071482719</v>
      </c>
      <c r="L43" s="674">
        <f>industrie!K22</f>
        <v>0</v>
      </c>
      <c r="M43" s="674">
        <f>industrie!L22</f>
        <v>0</v>
      </c>
      <c r="N43" s="674">
        <f>industrie!M22</f>
        <v>0</v>
      </c>
      <c r="O43" s="674">
        <f>industrie!N22</f>
        <v>0</v>
      </c>
      <c r="P43" s="674">
        <f>industrie!O22</f>
        <v>0</v>
      </c>
      <c r="Q43" s="749">
        <f>industrie!P22</f>
        <v>0</v>
      </c>
      <c r="R43" s="829">
        <f t="shared" ca="1" si="4"/>
        <v>2061.3246110575346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8256.9105368289765</v>
      </c>
      <c r="D46" s="707">
        <f t="shared" ref="D46:Q46" ca="1" si="5">SUM(D39:D45)</f>
        <v>0</v>
      </c>
      <c r="E46" s="707">
        <f t="shared" ca="1" si="5"/>
        <v>9221.0919829234626</v>
      </c>
      <c r="F46" s="707">
        <f t="shared" si="5"/>
        <v>336.95900863932712</v>
      </c>
      <c r="G46" s="707">
        <f t="shared" ca="1" si="5"/>
        <v>11925.880759835791</v>
      </c>
      <c r="H46" s="707">
        <f t="shared" si="5"/>
        <v>0</v>
      </c>
      <c r="I46" s="707">
        <f t="shared" si="5"/>
        <v>0</v>
      </c>
      <c r="J46" s="707">
        <f t="shared" si="5"/>
        <v>0</v>
      </c>
      <c r="K46" s="707">
        <f t="shared" si="5"/>
        <v>272.1154042289121</v>
      </c>
      <c r="L46" s="707">
        <f t="shared" si="5"/>
        <v>0</v>
      </c>
      <c r="M46" s="707">
        <f t="shared" ca="1" si="5"/>
        <v>0</v>
      </c>
      <c r="N46" s="707">
        <f t="shared" si="5"/>
        <v>0</v>
      </c>
      <c r="O46" s="707">
        <f t="shared" ca="1" si="5"/>
        <v>0</v>
      </c>
      <c r="P46" s="707">
        <f t="shared" si="5"/>
        <v>0</v>
      </c>
      <c r="Q46" s="707">
        <f t="shared" si="5"/>
        <v>0</v>
      </c>
      <c r="R46" s="707">
        <f ca="1">SUM(R39:R45)</f>
        <v>30012.957692456468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0.52083131512964931</v>
      </c>
      <c r="D49" s="674">
        <f ca="1">transport!C58</f>
        <v>0</v>
      </c>
      <c r="E49" s="674">
        <f>transport!D58</f>
        <v>0</v>
      </c>
      <c r="F49" s="674">
        <f>transport!E58</f>
        <v>0</v>
      </c>
      <c r="G49" s="674">
        <f>transport!F58</f>
        <v>0</v>
      </c>
      <c r="H49" s="674">
        <f>transport!G58</f>
        <v>133.34528188724522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133.86611320237486</v>
      </c>
    </row>
    <row r="50" spans="1:18">
      <c r="A50" s="805" t="s">
        <v>296</v>
      </c>
      <c r="B50" s="815"/>
      <c r="C50" s="984">
        <f ca="1">transport!B18</f>
        <v>0.34141797916663896</v>
      </c>
      <c r="D50" s="984">
        <f>transport!C18</f>
        <v>0</v>
      </c>
      <c r="E50" s="984">
        <f>transport!D18</f>
        <v>0.44406410981634015</v>
      </c>
      <c r="F50" s="984">
        <f>transport!E18</f>
        <v>31.677994661268865</v>
      </c>
      <c r="G50" s="984">
        <f>transport!F18</f>
        <v>0</v>
      </c>
      <c r="H50" s="984">
        <f>transport!G18</f>
        <v>8144.1591314839852</v>
      </c>
      <c r="I50" s="984">
        <f>transport!H18</f>
        <v>1309.7704609674283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9486.3930692016656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0.86224929429628827</v>
      </c>
      <c r="D52" s="707">
        <f t="shared" ref="D52:Q52" ca="1" si="6">SUM(D48:D51)</f>
        <v>0</v>
      </c>
      <c r="E52" s="707">
        <f t="shared" si="6"/>
        <v>0.44406410981634015</v>
      </c>
      <c r="F52" s="707">
        <f t="shared" si="6"/>
        <v>31.677994661268865</v>
      </c>
      <c r="G52" s="707">
        <f t="shared" si="6"/>
        <v>0</v>
      </c>
      <c r="H52" s="707">
        <f t="shared" si="6"/>
        <v>8277.5044133712308</v>
      </c>
      <c r="I52" s="707">
        <f t="shared" si="6"/>
        <v>1309.7704609674283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9620.259182404041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135.53890002537898</v>
      </c>
      <c r="D54" s="984">
        <f ca="1">+landbouw!C12</f>
        <v>0</v>
      </c>
      <c r="E54" s="984">
        <f>+landbouw!D12</f>
        <v>52.317366253177262</v>
      </c>
      <c r="F54" s="984">
        <f>+landbouw!E12</f>
        <v>1.393485892636573</v>
      </c>
      <c r="G54" s="984">
        <f>+landbouw!F12</f>
        <v>567.76344968821854</v>
      </c>
      <c r="H54" s="984">
        <f>+landbouw!G12</f>
        <v>0</v>
      </c>
      <c r="I54" s="984">
        <f>+landbouw!H12</f>
        <v>0</v>
      </c>
      <c r="J54" s="984">
        <f>+landbouw!I12</f>
        <v>0</v>
      </c>
      <c r="K54" s="984">
        <f>+landbouw!J12</f>
        <v>28.535465745207631</v>
      </c>
      <c r="L54" s="984">
        <f>+landbouw!K12</f>
        <v>0</v>
      </c>
      <c r="M54" s="984">
        <f>+landbouw!L12</f>
        <v>0</v>
      </c>
      <c r="N54" s="984">
        <f>+landbouw!M12</f>
        <v>0</v>
      </c>
      <c r="O54" s="984">
        <f>+landbouw!N12</f>
        <v>0</v>
      </c>
      <c r="P54" s="984">
        <f>+landbouw!O12</f>
        <v>0</v>
      </c>
      <c r="Q54" s="985">
        <f>+landbouw!P12</f>
        <v>0</v>
      </c>
      <c r="R54" s="706">
        <f ca="1">SUM(C54:Q54)</f>
        <v>785.54866760461891</v>
      </c>
    </row>
    <row r="55" spans="1:18" ht="15" thickBot="1">
      <c r="A55" s="805" t="s">
        <v>873</v>
      </c>
      <c r="B55" s="815"/>
      <c r="C55" s="984">
        <f ca="1">C25*'EF ele_warmte'!B12</f>
        <v>113.06601298366708</v>
      </c>
      <c r="D55" s="984"/>
      <c r="E55" s="984">
        <f>E25*EF_CO2_aardgas</f>
        <v>158.28047211714144</v>
      </c>
      <c r="F55" s="984"/>
      <c r="G55" s="984"/>
      <c r="H55" s="984"/>
      <c r="I55" s="984"/>
      <c r="J55" s="984"/>
      <c r="K55" s="984"/>
      <c r="L55" s="984"/>
      <c r="M55" s="984"/>
      <c r="N55" s="984"/>
      <c r="O55" s="984"/>
      <c r="P55" s="984"/>
      <c r="Q55" s="985"/>
      <c r="R55" s="706">
        <f ca="1">SUM(C55:Q55)</f>
        <v>271.34648510080854</v>
      </c>
    </row>
    <row r="56" spans="1:18" ht="15.75" thickBot="1">
      <c r="A56" s="803" t="s">
        <v>874</v>
      </c>
      <c r="B56" s="816"/>
      <c r="C56" s="707">
        <f ca="1">SUM(C54:C55)</f>
        <v>248.60491300904607</v>
      </c>
      <c r="D56" s="707">
        <f t="shared" ref="D56:Q56" ca="1" si="7">SUM(D54:D55)</f>
        <v>0</v>
      </c>
      <c r="E56" s="707">
        <f t="shared" si="7"/>
        <v>210.5978383703187</v>
      </c>
      <c r="F56" s="707">
        <f t="shared" si="7"/>
        <v>1.393485892636573</v>
      </c>
      <c r="G56" s="707">
        <f t="shared" si="7"/>
        <v>567.76344968821854</v>
      </c>
      <c r="H56" s="707">
        <f t="shared" si="7"/>
        <v>0</v>
      </c>
      <c r="I56" s="707">
        <f t="shared" si="7"/>
        <v>0</v>
      </c>
      <c r="J56" s="707">
        <f t="shared" si="7"/>
        <v>0</v>
      </c>
      <c r="K56" s="707">
        <f t="shared" si="7"/>
        <v>28.535465745207631</v>
      </c>
      <c r="L56" s="707">
        <f t="shared" si="7"/>
        <v>0</v>
      </c>
      <c r="M56" s="707">
        <f t="shared" si="7"/>
        <v>0</v>
      </c>
      <c r="N56" s="707">
        <f t="shared" si="7"/>
        <v>0</v>
      </c>
      <c r="O56" s="707">
        <f t="shared" si="7"/>
        <v>0</v>
      </c>
      <c r="P56" s="707">
        <f t="shared" si="7"/>
        <v>0</v>
      </c>
      <c r="Q56" s="708">
        <f t="shared" si="7"/>
        <v>0</v>
      </c>
      <c r="R56" s="709">
        <f ca="1">SUM(R54:R55)</f>
        <v>1056.8951527054273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8506.3776991323193</v>
      </c>
      <c r="D61" s="715">
        <f t="shared" ref="D61:Q61" ca="1" si="8">D46+D52+D56</f>
        <v>0</v>
      </c>
      <c r="E61" s="715">
        <f t="shared" ca="1" si="8"/>
        <v>9432.1338854035985</v>
      </c>
      <c r="F61" s="715">
        <f t="shared" si="8"/>
        <v>370.0304891932326</v>
      </c>
      <c r="G61" s="715">
        <f t="shared" ca="1" si="8"/>
        <v>12493.644209524009</v>
      </c>
      <c r="H61" s="715">
        <f t="shared" si="8"/>
        <v>8277.5044133712308</v>
      </c>
      <c r="I61" s="715">
        <f t="shared" si="8"/>
        <v>1309.7704609674283</v>
      </c>
      <c r="J61" s="715">
        <f t="shared" si="8"/>
        <v>0</v>
      </c>
      <c r="K61" s="715">
        <f t="shared" si="8"/>
        <v>300.6508699741197</v>
      </c>
      <c r="L61" s="715">
        <f t="shared" si="8"/>
        <v>0</v>
      </c>
      <c r="M61" s="715">
        <f t="shared" ca="1" si="8"/>
        <v>0</v>
      </c>
      <c r="N61" s="715">
        <f t="shared" si="8"/>
        <v>0</v>
      </c>
      <c r="O61" s="715">
        <f t="shared" ca="1" si="8"/>
        <v>0</v>
      </c>
      <c r="P61" s="715">
        <f t="shared" si="8"/>
        <v>0</v>
      </c>
      <c r="Q61" s="715">
        <f t="shared" si="8"/>
        <v>0</v>
      </c>
      <c r="R61" s="715">
        <f ca="1">R46+R52+R56</f>
        <v>40690.112027565941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0.20800272740428549</v>
      </c>
      <c r="D63" s="759">
        <f t="shared" ca="1" si="9"/>
        <v>0</v>
      </c>
      <c r="E63" s="986">
        <f t="shared" ca="1" si="9"/>
        <v>0.20200000000000004</v>
      </c>
      <c r="F63" s="759">
        <f t="shared" si="9"/>
        <v>0.22700000000000004</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2405.1135585682691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2405.1135585682691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26151.544649734762</v>
      </c>
      <c r="C4" s="447">
        <f>huishoudens!C8</f>
        <v>0</v>
      </c>
      <c r="D4" s="447">
        <f>huishoudens!D8</f>
        <v>37211.617604349376</v>
      </c>
      <c r="E4" s="447">
        <f>huishoudens!E8</f>
        <v>1378.971595431542</v>
      </c>
      <c r="F4" s="447">
        <f>huishoudens!F8</f>
        <v>42040.840382181377</v>
      </c>
      <c r="G4" s="447">
        <f>huishoudens!G8</f>
        <v>0</v>
      </c>
      <c r="H4" s="447">
        <f>huishoudens!H8</f>
        <v>0</v>
      </c>
      <c r="I4" s="447">
        <f>huishoudens!I8</f>
        <v>0</v>
      </c>
      <c r="J4" s="447">
        <f>huishoudens!J8</f>
        <v>762.81639977899385</v>
      </c>
      <c r="K4" s="447">
        <f>huishoudens!K8</f>
        <v>0</v>
      </c>
      <c r="L4" s="447">
        <f>huishoudens!L8</f>
        <v>0</v>
      </c>
      <c r="M4" s="447">
        <f>huishoudens!M8</f>
        <v>0</v>
      </c>
      <c r="N4" s="447">
        <f>huishoudens!N8</f>
        <v>7287.9013121467187</v>
      </c>
      <c r="O4" s="447">
        <f>huishoudens!O8</f>
        <v>64.096666666666678</v>
      </c>
      <c r="P4" s="448">
        <f>huishoudens!P8</f>
        <v>247.86666666666667</v>
      </c>
      <c r="Q4" s="449">
        <f>SUM(B4:P4)</f>
        <v>115145.65527695609</v>
      </c>
    </row>
    <row r="5" spans="1:17">
      <c r="A5" s="446" t="s">
        <v>149</v>
      </c>
      <c r="B5" s="447">
        <f ca="1">tertiair!B16</f>
        <v>7188.3837055708464</v>
      </c>
      <c r="C5" s="447">
        <f ca="1">tertiair!C16</f>
        <v>0</v>
      </c>
      <c r="D5" s="447">
        <f ca="1">tertiair!D16</f>
        <v>5493.443208446306</v>
      </c>
      <c r="E5" s="447">
        <f>tertiair!E16</f>
        <v>77.451004171260408</v>
      </c>
      <c r="F5" s="447">
        <f ca="1">tertiair!F16</f>
        <v>1484.2238491527573</v>
      </c>
      <c r="G5" s="447">
        <f>tertiair!G16</f>
        <v>0</v>
      </c>
      <c r="H5" s="447">
        <f>tertiair!H16</f>
        <v>0</v>
      </c>
      <c r="I5" s="447">
        <f>tertiair!I16</f>
        <v>0</v>
      </c>
      <c r="J5" s="447">
        <f>tertiair!J16</f>
        <v>0</v>
      </c>
      <c r="K5" s="447">
        <f>tertiair!K16</f>
        <v>0</v>
      </c>
      <c r="L5" s="447">
        <f ca="1">tertiair!L16</f>
        <v>0</v>
      </c>
      <c r="M5" s="447">
        <f>tertiair!M16</f>
        <v>0</v>
      </c>
      <c r="N5" s="447">
        <f ca="1">tertiair!N16</f>
        <v>994.44630519913426</v>
      </c>
      <c r="O5" s="447">
        <f>tertiair!O16</f>
        <v>1.5633333333333335</v>
      </c>
      <c r="P5" s="448">
        <f>tertiair!P16</f>
        <v>0</v>
      </c>
      <c r="Q5" s="446">
        <f t="shared" ref="Q5:Q14" ca="1" si="0">SUM(B5:P5)</f>
        <v>15239.511405873638</v>
      </c>
    </row>
    <row r="6" spans="1:17">
      <c r="A6" s="446" t="s">
        <v>187</v>
      </c>
      <c r="B6" s="447">
        <f>'openbare verlichting'!B8</f>
        <v>810.45899999999995</v>
      </c>
      <c r="C6" s="447"/>
      <c r="D6" s="447"/>
      <c r="E6" s="447"/>
      <c r="F6" s="447"/>
      <c r="G6" s="447"/>
      <c r="H6" s="447"/>
      <c r="I6" s="447"/>
      <c r="J6" s="447"/>
      <c r="K6" s="447"/>
      <c r="L6" s="447"/>
      <c r="M6" s="447"/>
      <c r="N6" s="447"/>
      <c r="O6" s="447"/>
      <c r="P6" s="448"/>
      <c r="Q6" s="446">
        <f t="shared" si="0"/>
        <v>810.45899999999995</v>
      </c>
    </row>
    <row r="7" spans="1:17">
      <c r="A7" s="446" t="s">
        <v>105</v>
      </c>
      <c r="B7" s="447">
        <f>landbouw!B8</f>
        <v>651.620782654153</v>
      </c>
      <c r="C7" s="447">
        <f>landbouw!C8</f>
        <v>0</v>
      </c>
      <c r="D7" s="447">
        <f>landbouw!D8</f>
        <v>258.99686263949138</v>
      </c>
      <c r="E7" s="447">
        <f>landbouw!E8</f>
        <v>6.1387043728483386</v>
      </c>
      <c r="F7" s="447">
        <f>landbouw!F8</f>
        <v>2126.4548677461366</v>
      </c>
      <c r="G7" s="447">
        <f>landbouw!G8</f>
        <v>0</v>
      </c>
      <c r="H7" s="447">
        <f>landbouw!H8</f>
        <v>0</v>
      </c>
      <c r="I7" s="447">
        <f>landbouw!I8</f>
        <v>0</v>
      </c>
      <c r="J7" s="447">
        <f>landbouw!J8</f>
        <v>80.608660297196707</v>
      </c>
      <c r="K7" s="447">
        <f>landbouw!K8</f>
        <v>0</v>
      </c>
      <c r="L7" s="447">
        <f>landbouw!L8</f>
        <v>0</v>
      </c>
      <c r="M7" s="447">
        <f>landbouw!M8</f>
        <v>0</v>
      </c>
      <c r="N7" s="447">
        <f>landbouw!N8</f>
        <v>0</v>
      </c>
      <c r="O7" s="447">
        <f>landbouw!O8</f>
        <v>0</v>
      </c>
      <c r="P7" s="448">
        <f>landbouw!P8</f>
        <v>0</v>
      </c>
      <c r="Q7" s="446">
        <f t="shared" si="0"/>
        <v>3123.8198777098264</v>
      </c>
    </row>
    <row r="8" spans="1:17">
      <c r="A8" s="446" t="s">
        <v>665</v>
      </c>
      <c r="B8" s="447">
        <f>industrie!B18</f>
        <v>5545.7774011323772</v>
      </c>
      <c r="C8" s="447">
        <f>industrie!C18</f>
        <v>0</v>
      </c>
      <c r="D8" s="447">
        <f>industrie!D18</f>
        <v>2943.9093996967067</v>
      </c>
      <c r="E8" s="447">
        <f>industrie!E18</f>
        <v>27.978319513176011</v>
      </c>
      <c r="F8" s="447">
        <f>industrie!F18</f>
        <v>1141.1558429572133</v>
      </c>
      <c r="G8" s="447">
        <f>industrie!G18</f>
        <v>0</v>
      </c>
      <c r="H8" s="447">
        <f>industrie!H18</f>
        <v>0</v>
      </c>
      <c r="I8" s="447">
        <f>industrie!I18</f>
        <v>0</v>
      </c>
      <c r="J8" s="447">
        <f>industrie!J18</f>
        <v>5.8711827885544405</v>
      </c>
      <c r="K8" s="447">
        <f>industrie!K18</f>
        <v>0</v>
      </c>
      <c r="L8" s="447">
        <f>industrie!L18</f>
        <v>0</v>
      </c>
      <c r="M8" s="447">
        <f>industrie!M18</f>
        <v>0</v>
      </c>
      <c r="N8" s="447">
        <f>industrie!N18</f>
        <v>142.20593089897949</v>
      </c>
      <c r="O8" s="447">
        <f>industrie!O18</f>
        <v>0</v>
      </c>
      <c r="P8" s="448">
        <f>industrie!P18</f>
        <v>0</v>
      </c>
      <c r="Q8" s="446">
        <f t="shared" si="0"/>
        <v>9806.8980769870068</v>
      </c>
    </row>
    <row r="9" spans="1:17" s="452" customFormat="1">
      <c r="A9" s="450" t="s">
        <v>562</v>
      </c>
      <c r="B9" s="451">
        <f>transport!B14</f>
        <v>1.6414110691108403</v>
      </c>
      <c r="C9" s="451">
        <f>transport!C14</f>
        <v>0</v>
      </c>
      <c r="D9" s="451">
        <f>transport!D14</f>
        <v>2.1983371773086144</v>
      </c>
      <c r="E9" s="451">
        <f>transport!E14</f>
        <v>139.55063727431218</v>
      </c>
      <c r="F9" s="451">
        <f>transport!F14</f>
        <v>0</v>
      </c>
      <c r="G9" s="451">
        <f>transport!G14</f>
        <v>30502.468657243389</v>
      </c>
      <c r="H9" s="451">
        <f>transport!H14</f>
        <v>5260.1223332025238</v>
      </c>
      <c r="I9" s="451">
        <f>transport!I14</f>
        <v>0</v>
      </c>
      <c r="J9" s="451">
        <f>transport!J14</f>
        <v>0</v>
      </c>
      <c r="K9" s="451">
        <f>transport!K14</f>
        <v>0</v>
      </c>
      <c r="L9" s="451">
        <f>transport!L14</f>
        <v>0</v>
      </c>
      <c r="M9" s="451">
        <f>transport!M14</f>
        <v>1598.1696878922301</v>
      </c>
      <c r="N9" s="451">
        <f>transport!N14</f>
        <v>0</v>
      </c>
      <c r="O9" s="451">
        <f>transport!O14</f>
        <v>0</v>
      </c>
      <c r="P9" s="451">
        <f>transport!P14</f>
        <v>0</v>
      </c>
      <c r="Q9" s="450">
        <f>SUM(B9:P9)</f>
        <v>37504.151063858873</v>
      </c>
    </row>
    <row r="10" spans="1:17">
      <c r="A10" s="446" t="s">
        <v>552</v>
      </c>
      <c r="B10" s="447">
        <f>transport!B54</f>
        <v>2.5039638740761938</v>
      </c>
      <c r="C10" s="447">
        <f>transport!C54</f>
        <v>0</v>
      </c>
      <c r="D10" s="447">
        <f>transport!D54</f>
        <v>0</v>
      </c>
      <c r="E10" s="447">
        <f>transport!E54</f>
        <v>0</v>
      </c>
      <c r="F10" s="447">
        <f>transport!F54</f>
        <v>0</v>
      </c>
      <c r="G10" s="447">
        <f>transport!G54</f>
        <v>499.42053141290347</v>
      </c>
      <c r="H10" s="447">
        <f>transport!H54</f>
        <v>0</v>
      </c>
      <c r="I10" s="447">
        <f>transport!I54</f>
        <v>0</v>
      </c>
      <c r="J10" s="447">
        <f>transport!J54</f>
        <v>0</v>
      </c>
      <c r="K10" s="447">
        <f>transport!K54</f>
        <v>0</v>
      </c>
      <c r="L10" s="447">
        <f>transport!L54</f>
        <v>0</v>
      </c>
      <c r="M10" s="447">
        <f>transport!M54</f>
        <v>22.073855575726203</v>
      </c>
      <c r="N10" s="447">
        <f>transport!N54</f>
        <v>0</v>
      </c>
      <c r="O10" s="447">
        <f>transport!O54</f>
        <v>0</v>
      </c>
      <c r="P10" s="448">
        <f>transport!P54</f>
        <v>0</v>
      </c>
      <c r="Q10" s="446">
        <f t="shared" si="0"/>
        <v>523.99835086270582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543.57947318597303</v>
      </c>
      <c r="C14" s="454"/>
      <c r="D14" s="454">
        <f>'SEAP template'!E25</f>
        <v>783.56669364921504</v>
      </c>
      <c r="E14" s="454"/>
      <c r="F14" s="454"/>
      <c r="G14" s="454"/>
      <c r="H14" s="454"/>
      <c r="I14" s="454"/>
      <c r="J14" s="454"/>
      <c r="K14" s="454"/>
      <c r="L14" s="454"/>
      <c r="M14" s="454"/>
      <c r="N14" s="454"/>
      <c r="O14" s="454"/>
      <c r="P14" s="455"/>
      <c r="Q14" s="446">
        <f t="shared" si="0"/>
        <v>1327.1461668351881</v>
      </c>
    </row>
    <row r="15" spans="1:17" s="459" customFormat="1">
      <c r="A15" s="456" t="s">
        <v>556</v>
      </c>
      <c r="B15" s="457">
        <f ca="1">SUM(B4:B14)</f>
        <v>40895.5103872213</v>
      </c>
      <c r="C15" s="457">
        <f t="shared" ref="C15:Q15" ca="1" si="1">SUM(C4:C14)</f>
        <v>0</v>
      </c>
      <c r="D15" s="457">
        <f t="shared" ca="1" si="1"/>
        <v>46693.732105958399</v>
      </c>
      <c r="E15" s="457">
        <f t="shared" si="1"/>
        <v>1630.0902607631392</v>
      </c>
      <c r="F15" s="457">
        <f t="shared" ca="1" si="1"/>
        <v>46792.674942037484</v>
      </c>
      <c r="G15" s="457">
        <f t="shared" si="1"/>
        <v>31001.889188656292</v>
      </c>
      <c r="H15" s="457">
        <f t="shared" si="1"/>
        <v>5260.1223332025238</v>
      </c>
      <c r="I15" s="457">
        <f t="shared" si="1"/>
        <v>0</v>
      </c>
      <c r="J15" s="457">
        <f t="shared" si="1"/>
        <v>849.29624286474495</v>
      </c>
      <c r="K15" s="457">
        <f t="shared" si="1"/>
        <v>0</v>
      </c>
      <c r="L15" s="457">
        <f t="shared" ca="1" si="1"/>
        <v>0</v>
      </c>
      <c r="M15" s="457">
        <f t="shared" si="1"/>
        <v>1620.2435434679562</v>
      </c>
      <c r="N15" s="457">
        <f t="shared" ca="1" si="1"/>
        <v>8424.5535482448322</v>
      </c>
      <c r="O15" s="457">
        <f t="shared" si="1"/>
        <v>65.660000000000011</v>
      </c>
      <c r="P15" s="457">
        <f t="shared" si="1"/>
        <v>247.86666666666667</v>
      </c>
      <c r="Q15" s="457">
        <f t="shared" ca="1" si="1"/>
        <v>183481.63921908333</v>
      </c>
    </row>
    <row r="17" spans="1:17">
      <c r="A17" s="460" t="s">
        <v>557</v>
      </c>
      <c r="B17" s="764">
        <f ca="1">huishoudens!B10</f>
        <v>0.20800272740428552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5439.5926129797808</v>
      </c>
      <c r="C22" s="447">
        <f t="shared" ref="C22:C32" ca="1" si="3">C4*$C$17</f>
        <v>0</v>
      </c>
      <c r="D22" s="447">
        <f t="shared" ref="D22:D32" si="4">D4*$D$17</f>
        <v>7516.7467560785744</v>
      </c>
      <c r="E22" s="447">
        <f t="shared" ref="E22:E32" si="5">E4*$E$17</f>
        <v>313.02655216296006</v>
      </c>
      <c r="F22" s="447">
        <f t="shared" ref="F22:F32" si="6">F4*$F$17</f>
        <v>11224.904382042429</v>
      </c>
      <c r="G22" s="447">
        <f t="shared" ref="G22:G32" si="7">G4*$G$17</f>
        <v>0</v>
      </c>
      <c r="H22" s="447">
        <f t="shared" ref="H22:H32" si="8">H4*$H$17</f>
        <v>0</v>
      </c>
      <c r="I22" s="447">
        <f t="shared" ref="I22:I32" si="9">I4*$I$17</f>
        <v>0</v>
      </c>
      <c r="J22" s="447">
        <f t="shared" ref="J22:J32" si="10">J4*$J$17</f>
        <v>270.03700552176383</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24764.307308785508</v>
      </c>
    </row>
    <row r="23" spans="1:17">
      <c r="A23" s="446" t="s">
        <v>149</v>
      </c>
      <c r="B23" s="447">
        <f t="shared" ca="1" si="2"/>
        <v>1495.2034163872606</v>
      </c>
      <c r="C23" s="447">
        <f t="shared" ca="1" si="3"/>
        <v>0</v>
      </c>
      <c r="D23" s="447">
        <f t="shared" ca="1" si="4"/>
        <v>1109.6755281061539</v>
      </c>
      <c r="E23" s="447">
        <f t="shared" si="5"/>
        <v>17.581377946876113</v>
      </c>
      <c r="F23" s="447">
        <f t="shared" ca="1" si="6"/>
        <v>396.28776772378626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3018.748090164077</v>
      </c>
    </row>
    <row r="24" spans="1:17">
      <c r="A24" s="446" t="s">
        <v>187</v>
      </c>
      <c r="B24" s="447">
        <f t="shared" ca="1" si="2"/>
        <v>168.57768244934982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168.57768244934982</v>
      </c>
    </row>
    <row r="25" spans="1:17">
      <c r="A25" s="446" t="s">
        <v>105</v>
      </c>
      <c r="B25" s="447">
        <f t="shared" ca="1" si="2"/>
        <v>135.53890002537898</v>
      </c>
      <c r="C25" s="447">
        <f t="shared" ca="1" si="3"/>
        <v>0</v>
      </c>
      <c r="D25" s="447">
        <f t="shared" si="4"/>
        <v>52.317366253177262</v>
      </c>
      <c r="E25" s="447">
        <f t="shared" si="5"/>
        <v>1.393485892636573</v>
      </c>
      <c r="F25" s="447">
        <f t="shared" si="6"/>
        <v>567.76344968821854</v>
      </c>
      <c r="G25" s="447">
        <f t="shared" si="7"/>
        <v>0</v>
      </c>
      <c r="H25" s="447">
        <f t="shared" si="8"/>
        <v>0</v>
      </c>
      <c r="I25" s="447">
        <f t="shared" si="9"/>
        <v>0</v>
      </c>
      <c r="J25" s="447">
        <f t="shared" si="10"/>
        <v>28.535465745207631</v>
      </c>
      <c r="K25" s="447">
        <f t="shared" si="11"/>
        <v>0</v>
      </c>
      <c r="L25" s="447">
        <f t="shared" si="12"/>
        <v>0</v>
      </c>
      <c r="M25" s="447">
        <f t="shared" si="13"/>
        <v>0</v>
      </c>
      <c r="N25" s="447">
        <f t="shared" si="14"/>
        <v>0</v>
      </c>
      <c r="O25" s="447">
        <f t="shared" si="15"/>
        <v>0</v>
      </c>
      <c r="P25" s="448">
        <f t="shared" si="16"/>
        <v>0</v>
      </c>
      <c r="Q25" s="446">
        <f t="shared" ca="1" si="17"/>
        <v>785.54866760461891</v>
      </c>
    </row>
    <row r="26" spans="1:17">
      <c r="A26" s="446" t="s">
        <v>665</v>
      </c>
      <c r="B26" s="447">
        <f t="shared" ca="1" si="2"/>
        <v>1153.5368250125848</v>
      </c>
      <c r="C26" s="447">
        <f t="shared" ca="1" si="3"/>
        <v>0</v>
      </c>
      <c r="D26" s="447">
        <f t="shared" si="4"/>
        <v>594.66969873873484</v>
      </c>
      <c r="E26" s="447">
        <f t="shared" si="5"/>
        <v>6.3510785294909544</v>
      </c>
      <c r="F26" s="447">
        <f t="shared" si="6"/>
        <v>304.68861006957599</v>
      </c>
      <c r="G26" s="447">
        <f t="shared" si="7"/>
        <v>0</v>
      </c>
      <c r="H26" s="447">
        <f t="shared" si="8"/>
        <v>0</v>
      </c>
      <c r="I26" s="447">
        <f t="shared" si="9"/>
        <v>0</v>
      </c>
      <c r="J26" s="447">
        <f t="shared" si="10"/>
        <v>2.0783987071482719</v>
      </c>
      <c r="K26" s="447">
        <f t="shared" si="11"/>
        <v>0</v>
      </c>
      <c r="L26" s="447">
        <f t="shared" si="12"/>
        <v>0</v>
      </c>
      <c r="M26" s="447">
        <f t="shared" si="13"/>
        <v>0</v>
      </c>
      <c r="N26" s="447">
        <f t="shared" si="14"/>
        <v>0</v>
      </c>
      <c r="O26" s="447">
        <f t="shared" si="15"/>
        <v>0</v>
      </c>
      <c r="P26" s="448">
        <f t="shared" si="16"/>
        <v>0</v>
      </c>
      <c r="Q26" s="446">
        <f t="shared" ca="1" si="17"/>
        <v>2061.3246110575346</v>
      </c>
    </row>
    <row r="27" spans="1:17" s="452" customFormat="1">
      <c r="A27" s="450" t="s">
        <v>562</v>
      </c>
      <c r="B27" s="758">
        <f t="shared" ca="1" si="2"/>
        <v>0.34141797916663896</v>
      </c>
      <c r="C27" s="451">
        <f t="shared" ca="1" si="3"/>
        <v>0</v>
      </c>
      <c r="D27" s="451">
        <f t="shared" si="4"/>
        <v>0.44406410981634015</v>
      </c>
      <c r="E27" s="451">
        <f t="shared" si="5"/>
        <v>31.677994661268865</v>
      </c>
      <c r="F27" s="451">
        <f t="shared" si="6"/>
        <v>0</v>
      </c>
      <c r="G27" s="451">
        <f t="shared" si="7"/>
        <v>8144.1591314839852</v>
      </c>
      <c r="H27" s="451">
        <f t="shared" si="8"/>
        <v>1309.7704609674283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9486.3930692016656</v>
      </c>
    </row>
    <row r="28" spans="1:17">
      <c r="A28" s="446" t="s">
        <v>552</v>
      </c>
      <c r="B28" s="447">
        <f t="shared" ca="1" si="2"/>
        <v>0.52083131512964931</v>
      </c>
      <c r="C28" s="447">
        <f t="shared" ca="1" si="3"/>
        <v>0</v>
      </c>
      <c r="D28" s="447">
        <f t="shared" si="4"/>
        <v>0</v>
      </c>
      <c r="E28" s="447">
        <f t="shared" si="5"/>
        <v>0</v>
      </c>
      <c r="F28" s="447">
        <f t="shared" si="6"/>
        <v>0</v>
      </c>
      <c r="G28" s="447">
        <f t="shared" si="7"/>
        <v>133.34528188724522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133.86611320237486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113.06601298366708</v>
      </c>
      <c r="C32" s="447">
        <f t="shared" ca="1" si="3"/>
        <v>0</v>
      </c>
      <c r="D32" s="447">
        <f t="shared" si="4"/>
        <v>158.28047211714144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271.34648510080854</v>
      </c>
    </row>
    <row r="33" spans="1:17" s="459" customFormat="1">
      <c r="A33" s="456" t="s">
        <v>556</v>
      </c>
      <c r="B33" s="457">
        <f ca="1">SUM(B22:B32)</f>
        <v>8506.3776991323175</v>
      </c>
      <c r="C33" s="457">
        <f t="shared" ref="C33:Q33" ca="1" si="18">SUM(C22:C32)</f>
        <v>0</v>
      </c>
      <c r="D33" s="457">
        <f t="shared" ca="1" si="18"/>
        <v>9432.1338854035985</v>
      </c>
      <c r="E33" s="457">
        <f t="shared" si="18"/>
        <v>370.0304891932326</v>
      </c>
      <c r="F33" s="457">
        <f t="shared" ca="1" si="18"/>
        <v>12493.644209524009</v>
      </c>
      <c r="G33" s="457">
        <f t="shared" si="18"/>
        <v>8277.5044133712308</v>
      </c>
      <c r="H33" s="457">
        <f t="shared" si="18"/>
        <v>1309.7704609674283</v>
      </c>
      <c r="I33" s="457">
        <f t="shared" si="18"/>
        <v>0</v>
      </c>
      <c r="J33" s="457">
        <f t="shared" si="18"/>
        <v>300.6508699741197</v>
      </c>
      <c r="K33" s="457">
        <f t="shared" si="18"/>
        <v>0</v>
      </c>
      <c r="L33" s="457">
        <f t="shared" ca="1" si="18"/>
        <v>0</v>
      </c>
      <c r="M33" s="457">
        <f t="shared" si="18"/>
        <v>0</v>
      </c>
      <c r="N33" s="457">
        <f t="shared" ca="1" si="18"/>
        <v>0</v>
      </c>
      <c r="O33" s="457">
        <f t="shared" si="18"/>
        <v>0</v>
      </c>
      <c r="P33" s="457">
        <f t="shared" si="18"/>
        <v>0</v>
      </c>
      <c r="Q33" s="457">
        <f t="shared" ca="1" si="18"/>
        <v>40690.112027565949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2405.1135585682691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2405.1135585682691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0.20800272740428552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0.20800272740428552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0.20800272740428552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0.20800272740428552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4873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1071</v>
      </c>
      <c r="C14" s="327"/>
      <c r="D14" s="327"/>
      <c r="E14" s="327"/>
      <c r="F14" s="327"/>
    </row>
    <row r="15" spans="1:6">
      <c r="A15" s="1293" t="s">
        <v>177</v>
      </c>
      <c r="B15" s="1294">
        <v>4</v>
      </c>
      <c r="C15" s="327"/>
      <c r="D15" s="327"/>
      <c r="E15" s="327"/>
      <c r="F15" s="327"/>
    </row>
    <row r="16" spans="1:6">
      <c r="A16" s="1293" t="s">
        <v>6</v>
      </c>
      <c r="B16" s="1294">
        <v>292</v>
      </c>
      <c r="C16" s="327"/>
      <c r="D16" s="327"/>
      <c r="E16" s="327"/>
      <c r="F16" s="327"/>
    </row>
    <row r="17" spans="1:6">
      <c r="A17" s="1293" t="s">
        <v>7</v>
      </c>
      <c r="B17" s="1294">
        <v>199</v>
      </c>
      <c r="C17" s="327"/>
      <c r="D17" s="327"/>
      <c r="E17" s="327"/>
      <c r="F17" s="327"/>
    </row>
    <row r="18" spans="1:6">
      <c r="A18" s="1293" t="s">
        <v>8</v>
      </c>
      <c r="B18" s="1294">
        <v>345</v>
      </c>
      <c r="C18" s="327"/>
      <c r="D18" s="327"/>
      <c r="E18" s="327"/>
      <c r="F18" s="327"/>
    </row>
    <row r="19" spans="1:6">
      <c r="A19" s="1293" t="s">
        <v>9</v>
      </c>
      <c r="B19" s="1294">
        <v>332</v>
      </c>
      <c r="C19" s="327"/>
      <c r="D19" s="327"/>
      <c r="E19" s="327"/>
      <c r="F19" s="327"/>
    </row>
    <row r="20" spans="1:6">
      <c r="A20" s="1293" t="s">
        <v>10</v>
      </c>
      <c r="B20" s="1294">
        <v>357</v>
      </c>
      <c r="C20" s="327"/>
      <c r="D20" s="327"/>
      <c r="E20" s="327"/>
      <c r="F20" s="327"/>
    </row>
    <row r="21" spans="1:6">
      <c r="A21" s="1293" t="s">
        <v>11</v>
      </c>
      <c r="B21" s="1294">
        <v>943</v>
      </c>
      <c r="C21" s="327"/>
      <c r="D21" s="327"/>
      <c r="E21" s="327"/>
      <c r="F21" s="327"/>
    </row>
    <row r="22" spans="1:6">
      <c r="A22" s="1293" t="s">
        <v>12</v>
      </c>
      <c r="B22" s="1294">
        <v>1810</v>
      </c>
      <c r="C22" s="327"/>
      <c r="D22" s="327"/>
      <c r="E22" s="327"/>
      <c r="F22" s="327"/>
    </row>
    <row r="23" spans="1:6">
      <c r="A23" s="1293" t="s">
        <v>13</v>
      </c>
      <c r="B23" s="1294">
        <v>68</v>
      </c>
      <c r="C23" s="327"/>
      <c r="D23" s="327"/>
      <c r="E23" s="327"/>
      <c r="F23" s="327"/>
    </row>
    <row r="24" spans="1:6">
      <c r="A24" s="1293" t="s">
        <v>14</v>
      </c>
      <c r="B24" s="1294">
        <v>5</v>
      </c>
      <c r="C24" s="327"/>
      <c r="D24" s="327"/>
      <c r="E24" s="327"/>
      <c r="F24" s="327"/>
    </row>
    <row r="25" spans="1:6">
      <c r="A25" s="1293" t="s">
        <v>15</v>
      </c>
      <c r="B25" s="1294">
        <v>282</v>
      </c>
      <c r="C25" s="327"/>
      <c r="D25" s="327"/>
      <c r="E25" s="327"/>
      <c r="F25" s="327"/>
    </row>
    <row r="26" spans="1:6">
      <c r="A26" s="1293" t="s">
        <v>16</v>
      </c>
      <c r="B26" s="1294">
        <v>58</v>
      </c>
      <c r="C26" s="327"/>
      <c r="D26" s="327"/>
      <c r="E26" s="327"/>
      <c r="F26" s="327"/>
    </row>
    <row r="27" spans="1:6">
      <c r="A27" s="1293" t="s">
        <v>17</v>
      </c>
      <c r="B27" s="1294">
        <v>0</v>
      </c>
      <c r="C27" s="327"/>
      <c r="D27" s="327"/>
      <c r="E27" s="327"/>
      <c r="F27" s="327"/>
    </row>
    <row r="28" spans="1:6">
      <c r="A28" s="1293" t="s">
        <v>18</v>
      </c>
      <c r="B28" s="1295">
        <v>8933</v>
      </c>
      <c r="C28" s="327"/>
      <c r="D28" s="327"/>
      <c r="E28" s="327"/>
      <c r="F28" s="327"/>
    </row>
    <row r="29" spans="1:6">
      <c r="A29" s="1293" t="s">
        <v>955</v>
      </c>
      <c r="B29" s="1295">
        <v>26</v>
      </c>
      <c r="C29" s="327"/>
      <c r="D29" s="327"/>
      <c r="E29" s="327"/>
      <c r="F29" s="327"/>
    </row>
    <row r="30" spans="1:6">
      <c r="A30" s="1288" t="s">
        <v>956</v>
      </c>
      <c r="B30" s="1296">
        <v>20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2325</v>
      </c>
      <c r="D39" s="1294">
        <v>41254564.971562497</v>
      </c>
      <c r="E39" s="1294">
        <v>4820</v>
      </c>
      <c r="F39" s="1294">
        <v>24355312.032475598</v>
      </c>
    </row>
    <row r="40" spans="1:6">
      <c r="A40" s="1293" t="s">
        <v>29</v>
      </c>
      <c r="B40" s="1293" t="s">
        <v>28</v>
      </c>
      <c r="C40" s="1294">
        <v>0</v>
      </c>
      <c r="D40" s="1294">
        <v>0</v>
      </c>
      <c r="E40" s="1294">
        <v>0</v>
      </c>
      <c r="F40" s="1294">
        <v>0</v>
      </c>
    </row>
    <row r="41" spans="1:6">
      <c r="A41" s="1293" t="s">
        <v>31</v>
      </c>
      <c r="B41" s="1293" t="s">
        <v>32</v>
      </c>
      <c r="C41" s="1294">
        <v>35</v>
      </c>
      <c r="D41" s="1294">
        <v>855864.87455930805</v>
      </c>
      <c r="E41" s="1294">
        <v>100</v>
      </c>
      <c r="F41" s="1294">
        <v>968288.47630560002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77891.865274599593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22</v>
      </c>
      <c r="D48" s="1294">
        <v>768987.26290827105</v>
      </c>
      <c r="E48" s="1294">
        <v>28</v>
      </c>
      <c r="F48" s="1294">
        <v>894646.98608227901</v>
      </c>
    </row>
    <row r="49" spans="1:6">
      <c r="A49" s="1293" t="s">
        <v>31</v>
      </c>
      <c r="B49" s="1293" t="s">
        <v>39</v>
      </c>
      <c r="C49" s="1294">
        <v>4</v>
      </c>
      <c r="D49" s="1294">
        <v>1569523.16130157</v>
      </c>
      <c r="E49" s="1294">
        <v>11</v>
      </c>
      <c r="F49" s="1294">
        <v>2766256.0950466199</v>
      </c>
    </row>
    <row r="50" spans="1:6">
      <c r="A50" s="1293" t="s">
        <v>31</v>
      </c>
      <c r="B50" s="1293" t="s">
        <v>40</v>
      </c>
      <c r="C50" s="1294">
        <v>3</v>
      </c>
      <c r="D50" s="1294">
        <v>69382.350562011401</v>
      </c>
      <c r="E50" s="1294">
        <v>10</v>
      </c>
      <c r="F50" s="1294">
        <v>838693.97842327901</v>
      </c>
    </row>
    <row r="51" spans="1:6">
      <c r="A51" s="1293" t="s">
        <v>41</v>
      </c>
      <c r="B51" s="1293" t="s">
        <v>42</v>
      </c>
      <c r="C51" s="1294">
        <v>4</v>
      </c>
      <c r="D51" s="1294">
        <v>121106.762187563</v>
      </c>
      <c r="E51" s="1294">
        <v>51</v>
      </c>
      <c r="F51" s="1294">
        <v>474971.39956008102</v>
      </c>
    </row>
    <row r="52" spans="1:6">
      <c r="A52" s="1293" t="s">
        <v>41</v>
      </c>
      <c r="B52" s="1293" t="s">
        <v>28</v>
      </c>
      <c r="C52" s="1294">
        <v>4</v>
      </c>
      <c r="D52" s="1294">
        <v>166029.44916442299</v>
      </c>
      <c r="E52" s="1294">
        <v>11</v>
      </c>
      <c r="F52" s="1294">
        <v>176649.38309407199</v>
      </c>
    </row>
    <row r="53" spans="1:6">
      <c r="A53" s="1293" t="s">
        <v>43</v>
      </c>
      <c r="B53" s="1293" t="s">
        <v>44</v>
      </c>
      <c r="C53" s="1294">
        <v>34</v>
      </c>
      <c r="D53" s="1294">
        <v>783566.69364921504</v>
      </c>
      <c r="E53" s="1294">
        <v>90</v>
      </c>
      <c r="F53" s="1294">
        <v>543579.47318597301</v>
      </c>
    </row>
    <row r="54" spans="1:6">
      <c r="A54" s="1293" t="s">
        <v>45</v>
      </c>
      <c r="B54" s="1293" t="s">
        <v>46</v>
      </c>
      <c r="C54" s="1294">
        <v>0</v>
      </c>
      <c r="D54" s="1294">
        <v>0</v>
      </c>
      <c r="E54" s="1294">
        <v>3</v>
      </c>
      <c r="F54" s="1294">
        <v>810459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v>
      </c>
      <c r="D57" s="1294">
        <v>61034.917438099103</v>
      </c>
      <c r="E57" s="1294">
        <v>31</v>
      </c>
      <c r="F57" s="1294">
        <v>1604260.8944588001</v>
      </c>
    </row>
    <row r="58" spans="1:6">
      <c r="A58" s="1293" t="s">
        <v>48</v>
      </c>
      <c r="B58" s="1293" t="s">
        <v>50</v>
      </c>
      <c r="C58" s="1294">
        <v>3</v>
      </c>
      <c r="D58" s="1294">
        <v>101073.45624596901</v>
      </c>
      <c r="E58" s="1294">
        <v>12</v>
      </c>
      <c r="F58" s="1294">
        <v>132230.50642841501</v>
      </c>
    </row>
    <row r="59" spans="1:6">
      <c r="A59" s="1293" t="s">
        <v>48</v>
      </c>
      <c r="B59" s="1293" t="s">
        <v>51</v>
      </c>
      <c r="C59" s="1294">
        <v>11</v>
      </c>
      <c r="D59" s="1294">
        <v>332262.161003666</v>
      </c>
      <c r="E59" s="1294">
        <v>89</v>
      </c>
      <c r="F59" s="1294">
        <v>1451685.9122508001</v>
      </c>
    </row>
    <row r="60" spans="1:6">
      <c r="A60" s="1293" t="s">
        <v>48</v>
      </c>
      <c r="B60" s="1293" t="s">
        <v>52</v>
      </c>
      <c r="C60" s="1294">
        <v>29</v>
      </c>
      <c r="D60" s="1294">
        <v>1143895.0908608499</v>
      </c>
      <c r="E60" s="1294">
        <v>47</v>
      </c>
      <c r="F60" s="1294">
        <v>867222.94538186304</v>
      </c>
    </row>
    <row r="61" spans="1:6">
      <c r="A61" s="1293" t="s">
        <v>48</v>
      </c>
      <c r="B61" s="1293" t="s">
        <v>53</v>
      </c>
      <c r="C61" s="1294">
        <v>40</v>
      </c>
      <c r="D61" s="1294">
        <v>1766067.3423111499</v>
      </c>
      <c r="E61" s="1294">
        <v>154</v>
      </c>
      <c r="F61" s="1294">
        <v>2104874.3762697699</v>
      </c>
    </row>
    <row r="62" spans="1:6">
      <c r="A62" s="1293" t="s">
        <v>48</v>
      </c>
      <c r="B62" s="1293" t="s">
        <v>54</v>
      </c>
      <c r="C62" s="1294">
        <v>5</v>
      </c>
      <c r="D62" s="1294">
        <v>302845.84907549003</v>
      </c>
      <c r="E62" s="1294">
        <v>6</v>
      </c>
      <c r="F62" s="1294">
        <v>119932.44121304</v>
      </c>
    </row>
    <row r="63" spans="1:6">
      <c r="A63" s="1293" t="s">
        <v>48</v>
      </c>
      <c r="B63" s="1293" t="s">
        <v>28</v>
      </c>
      <c r="C63" s="1294">
        <v>62</v>
      </c>
      <c r="D63" s="1294">
        <v>2383112.98843762</v>
      </c>
      <c r="E63" s="1294">
        <v>65</v>
      </c>
      <c r="F63" s="1294">
        <v>908176.62956815795</v>
      </c>
    </row>
    <row r="64" spans="1:6">
      <c r="A64" s="1293" t="s">
        <v>55</v>
      </c>
      <c r="B64" s="1293" t="s">
        <v>56</v>
      </c>
      <c r="C64" s="1294">
        <v>0</v>
      </c>
      <c r="D64" s="1294">
        <v>0</v>
      </c>
      <c r="E64" s="1294">
        <v>0</v>
      </c>
      <c r="F64" s="1294">
        <v>0</v>
      </c>
    </row>
    <row r="65" spans="1:6">
      <c r="A65" s="1293" t="s">
        <v>55</v>
      </c>
      <c r="B65" s="1293" t="s">
        <v>28</v>
      </c>
      <c r="C65" s="1294">
        <v>0</v>
      </c>
      <c r="D65" s="1294">
        <v>0</v>
      </c>
      <c r="E65" s="1294">
        <v>4</v>
      </c>
      <c r="F65" s="1294">
        <v>43929.473821578402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28555672</v>
      </c>
      <c r="E73" s="445"/>
      <c r="F73" s="327"/>
    </row>
    <row r="74" spans="1:6">
      <c r="A74" s="1293" t="s">
        <v>63</v>
      </c>
      <c r="B74" s="1293" t="s">
        <v>749</v>
      </c>
      <c r="C74" s="1306" t="s">
        <v>743</v>
      </c>
      <c r="D74" s="1294">
        <v>2899426.549814037</v>
      </c>
      <c r="E74" s="445"/>
      <c r="F74" s="327"/>
    </row>
    <row r="75" spans="1:6">
      <c r="A75" s="1293" t="s">
        <v>64</v>
      </c>
      <c r="B75" s="1293" t="s">
        <v>748</v>
      </c>
      <c r="C75" s="1306" t="s">
        <v>744</v>
      </c>
      <c r="D75" s="1294">
        <v>11635175</v>
      </c>
      <c r="E75" s="445"/>
      <c r="F75" s="327"/>
    </row>
    <row r="76" spans="1:6">
      <c r="A76" s="1293" t="s">
        <v>64</v>
      </c>
      <c r="B76" s="1293" t="s">
        <v>749</v>
      </c>
      <c r="C76" s="1306" t="s">
        <v>745</v>
      </c>
      <c r="D76" s="1294">
        <v>416841.54981403687</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137950.90037192623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1796.2326172591652</v>
      </c>
      <c r="C91" s="327"/>
      <c r="D91" s="327"/>
      <c r="E91" s="327"/>
      <c r="F91" s="327"/>
    </row>
    <row r="92" spans="1:6">
      <c r="A92" s="1288" t="s">
        <v>68</v>
      </c>
      <c r="B92" s="1289">
        <v>608.88094130910395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940</v>
      </c>
      <c r="C97" s="327"/>
      <c r="D97" s="327"/>
      <c r="E97" s="327"/>
      <c r="F97" s="327"/>
    </row>
    <row r="98" spans="1:6">
      <c r="A98" s="1293" t="s">
        <v>71</v>
      </c>
      <c r="B98" s="1294">
        <v>0</v>
      </c>
      <c r="C98" s="327"/>
      <c r="D98" s="327"/>
      <c r="E98" s="327"/>
      <c r="F98" s="327"/>
    </row>
    <row r="99" spans="1:6">
      <c r="A99" s="1293" t="s">
        <v>72</v>
      </c>
      <c r="B99" s="1294">
        <v>93</v>
      </c>
      <c r="C99" s="327"/>
      <c r="D99" s="327"/>
      <c r="E99" s="327"/>
      <c r="F99" s="327"/>
    </row>
    <row r="100" spans="1:6">
      <c r="A100" s="1293" t="s">
        <v>73</v>
      </c>
      <c r="B100" s="1294">
        <v>693</v>
      </c>
      <c r="C100" s="327"/>
      <c r="D100" s="327"/>
      <c r="E100" s="327"/>
      <c r="F100" s="327"/>
    </row>
    <row r="101" spans="1:6">
      <c r="A101" s="1293" t="s">
        <v>74</v>
      </c>
      <c r="B101" s="1294">
        <v>61</v>
      </c>
      <c r="C101" s="327"/>
      <c r="D101" s="327"/>
      <c r="E101" s="327"/>
      <c r="F101" s="327"/>
    </row>
    <row r="102" spans="1:6">
      <c r="A102" s="1293" t="s">
        <v>75</v>
      </c>
      <c r="B102" s="1294">
        <v>73</v>
      </c>
      <c r="C102" s="327"/>
      <c r="D102" s="327"/>
      <c r="E102" s="327"/>
      <c r="F102" s="327"/>
    </row>
    <row r="103" spans="1:6">
      <c r="A103" s="1293" t="s">
        <v>76</v>
      </c>
      <c r="B103" s="1294">
        <v>251</v>
      </c>
      <c r="C103" s="327"/>
      <c r="D103" s="327"/>
      <c r="E103" s="327"/>
      <c r="F103" s="327"/>
    </row>
    <row r="104" spans="1:6">
      <c r="A104" s="1293" t="s">
        <v>77</v>
      </c>
      <c r="B104" s="1294">
        <v>2241</v>
      </c>
      <c r="C104" s="327"/>
      <c r="D104" s="327"/>
      <c r="E104" s="327"/>
      <c r="F104" s="327"/>
    </row>
    <row r="105" spans="1:6">
      <c r="A105" s="1288" t="s">
        <v>78</v>
      </c>
      <c r="B105" s="1296">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8</v>
      </c>
      <c r="C123" s="1294">
        <v>7</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34</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40895.510387221308</v>
      </c>
      <c r="C3" s="44" t="s">
        <v>163</v>
      </c>
      <c r="D3" s="44"/>
      <c r="E3" s="157"/>
      <c r="F3" s="44"/>
      <c r="G3" s="44"/>
      <c r="H3" s="44"/>
      <c r="I3" s="44"/>
      <c r="J3" s="44"/>
      <c r="K3" s="97"/>
    </row>
    <row r="4" spans="1:11">
      <c r="A4" s="352" t="s">
        <v>164</v>
      </c>
      <c r="B4" s="50">
        <f>IF(ISERROR('SEAP template'!B78+'SEAP template'!C78),0,'SEAP template'!B78+'SEAP template'!C78)</f>
        <v>2405.1135585682691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0.20800272740428552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810.45899999999995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810.45899999999995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0.20800272740428552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168.57768244934982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24355.312032475598</v>
      </c>
      <c r="C5" s="18">
        <f>IF(ISERROR('Eigen informatie GS &amp; warmtenet'!B57),0,'Eigen informatie GS &amp; warmtenet'!B57)</f>
        <v>0</v>
      </c>
      <c r="D5" s="31">
        <f>(SUM(HH_hh_gas_kWh,HH_rest_gas_kWh)/1000)*0.902</f>
        <v>37211.617604349376</v>
      </c>
      <c r="E5" s="18">
        <f>B32*B41</f>
        <v>1378.971595431542</v>
      </c>
      <c r="F5" s="18">
        <f>B36*B45</f>
        <v>42040.840382181377</v>
      </c>
      <c r="G5" s="19"/>
      <c r="H5" s="18"/>
      <c r="I5" s="18"/>
      <c r="J5" s="18">
        <f>B35*B44+C35*C44</f>
        <v>762.81639977899385</v>
      </c>
      <c r="K5" s="18"/>
      <c r="L5" s="18"/>
      <c r="M5" s="18"/>
      <c r="N5" s="18">
        <f>B34*B43+C34*C43</f>
        <v>7287.9013121467187</v>
      </c>
      <c r="O5" s="18">
        <f>B52*B53*B54</f>
        <v>64.096666666666678</v>
      </c>
      <c r="P5" s="18">
        <f>B60*B61*B62/1000-B60*B61*B62/1000/B63</f>
        <v>247.86666666666667</v>
      </c>
    </row>
    <row r="6" spans="1:16">
      <c r="A6" s="17" t="s">
        <v>622</v>
      </c>
      <c r="B6" s="766">
        <f>kWh_PV_kleiner_dan_10kW</f>
        <v>1796.2326172591652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26151.544649734762</v>
      </c>
      <c r="C8" s="22">
        <f>C5</f>
        <v>0</v>
      </c>
      <c r="D8" s="22">
        <f>D5</f>
        <v>37211.617604349376</v>
      </c>
      <c r="E8" s="22">
        <f>E5</f>
        <v>1378.971595431542</v>
      </c>
      <c r="F8" s="22">
        <f>F5</f>
        <v>42040.840382181377</v>
      </c>
      <c r="G8" s="22"/>
      <c r="H8" s="22"/>
      <c r="I8" s="22"/>
      <c r="J8" s="22">
        <f>J5</f>
        <v>762.81639977899385</v>
      </c>
      <c r="K8" s="22"/>
      <c r="L8" s="22">
        <f>L5</f>
        <v>0</v>
      </c>
      <c r="M8" s="22">
        <f>M5</f>
        <v>0</v>
      </c>
      <c r="N8" s="22">
        <f>N5</f>
        <v>7287.9013121467187</v>
      </c>
      <c r="O8" s="22">
        <f>O5</f>
        <v>64.096666666666678</v>
      </c>
      <c r="P8" s="22">
        <f>P5</f>
        <v>247.86666666666667</v>
      </c>
    </row>
    <row r="9" spans="1:16">
      <c r="B9" s="20"/>
      <c r="C9" s="20"/>
      <c r="D9" s="258"/>
      <c r="E9" s="20"/>
      <c r="F9" s="20"/>
      <c r="G9" s="20"/>
      <c r="H9" s="20"/>
      <c r="I9" s="20"/>
      <c r="J9" s="20"/>
      <c r="K9" s="20"/>
      <c r="L9" s="20"/>
      <c r="M9" s="20"/>
      <c r="N9" s="20"/>
      <c r="O9" s="20"/>
      <c r="P9" s="20"/>
    </row>
    <row r="10" spans="1:16">
      <c r="A10" s="25" t="s">
        <v>207</v>
      </c>
      <c r="B10" s="26">
        <f ca="1">'EF ele_warmte'!B12</f>
        <v>0.20800272740428552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5439.5926129797808</v>
      </c>
      <c r="C12" s="24">
        <f ca="1">C10*C8</f>
        <v>0</v>
      </c>
      <c r="D12" s="24">
        <f>D8*D10</f>
        <v>7516.7467560785744</v>
      </c>
      <c r="E12" s="24">
        <f>E10*E8</f>
        <v>313.02655216296006</v>
      </c>
      <c r="F12" s="24">
        <f>F10*F8</f>
        <v>11224.904382042429</v>
      </c>
      <c r="G12" s="24"/>
      <c r="H12" s="24"/>
      <c r="I12" s="24"/>
      <c r="J12" s="24">
        <f>J10*J8</f>
        <v>270.03700552176383</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4873</v>
      </c>
      <c r="C26" s="37"/>
      <c r="D26" s="228"/>
    </row>
    <row r="27" spans="1:5" s="16" customFormat="1">
      <c r="A27" s="230" t="s">
        <v>648</v>
      </c>
      <c r="B27" s="38">
        <f>SUM(HH_hh_gas_aantal,HH_rest_gas_aantal)</f>
        <v>2325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2208.75</v>
      </c>
      <c r="C31" s="35" t="s">
        <v>104</v>
      </c>
      <c r="D31" s="174"/>
    </row>
    <row r="32" spans="1:5">
      <c r="A32" s="171" t="s">
        <v>72</v>
      </c>
      <c r="B32" s="34">
        <f>IF((B21*($B$26-($B$27-0.05*$B$27)-$B$60))&lt;0,0,B21*($B$26-($B$27-0.05*$B$27)-$B$60))</f>
        <v>65.155345169387644</v>
      </c>
      <c r="C32" s="35" t="s">
        <v>104</v>
      </c>
      <c r="D32" s="174"/>
    </row>
    <row r="33" spans="1:6">
      <c r="A33" s="171" t="s">
        <v>73</v>
      </c>
      <c r="B33" s="34">
        <f>IF((B22*($B$26-($B$27-0.05*$B$27)-$B$60))&lt;0,0,B22*($B$26-($B$27-0.05*$B$27)-$B$60))</f>
        <v>438.57188975283191</v>
      </c>
      <c r="C33" s="35" t="s">
        <v>104</v>
      </c>
      <c r="D33" s="174"/>
    </row>
    <row r="34" spans="1:6">
      <c r="A34" s="171" t="s">
        <v>74</v>
      </c>
      <c r="B34" s="34">
        <f>IF((B24*($B$26-($B$27-0.05*$B$27)-$B$60))&lt;0,0,B24*($B$26-($B$27-0.05*$B$27)-$B$60))</f>
        <v>111.23107549912837</v>
      </c>
      <c r="C34" s="34">
        <f>B26*C24</f>
        <v>996.53984273138906</v>
      </c>
      <c r="D34" s="233"/>
    </row>
    <row r="35" spans="1:6">
      <c r="A35" s="171" t="s">
        <v>76</v>
      </c>
      <c r="B35" s="34">
        <f>IF((B19*($B$26-($B$27-0.05*$B$27)-$B$60))&lt;0,0,B19*($B$26-($B$27-0.05*$B$27)-$B$60))</f>
        <v>41.352193863163833</v>
      </c>
      <c r="C35" s="34">
        <f>B35/2</f>
        <v>20.676096931581917</v>
      </c>
      <c r="D35" s="233"/>
    </row>
    <row r="36" spans="1:6">
      <c r="A36" s="171" t="s">
        <v>77</v>
      </c>
      <c r="B36" s="34">
        <f>IF((B18*($B$26-($B$27-0.05*$B$27)-$B$60))&lt;0,0,B18*($B$26-($B$27-0.05*$B$27)-$B$60))</f>
        <v>1994.9394957154875</v>
      </c>
      <c r="C36" s="35" t="s">
        <v>104</v>
      </c>
      <c r="D36" s="174"/>
    </row>
    <row r="37" spans="1:6">
      <c r="A37" s="171" t="s">
        <v>78</v>
      </c>
      <c r="B37" s="34">
        <f>B60</f>
        <v>13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7188.3837055708464</v>
      </c>
      <c r="C5" s="18">
        <f>IF(ISERROR('Eigen informatie GS &amp; warmtenet'!B58),0,'Eigen informatie GS &amp; warmtenet'!B58)</f>
        <v>0</v>
      </c>
      <c r="D5" s="31">
        <f>SUM(D6:D12)</f>
        <v>5493.443208446306</v>
      </c>
      <c r="E5" s="18">
        <f>SUM(E6:E12)</f>
        <v>77.451004171260408</v>
      </c>
      <c r="F5" s="18">
        <f>SUM(F6:F12)</f>
        <v>1484.2238491527573</v>
      </c>
      <c r="G5" s="19"/>
      <c r="H5" s="18"/>
      <c r="I5" s="18"/>
      <c r="J5" s="18">
        <f>SUM(J6:J12)</f>
        <v>0</v>
      </c>
      <c r="K5" s="18"/>
      <c r="L5" s="18"/>
      <c r="M5" s="18"/>
      <c r="N5" s="18">
        <f>SUM(N6:N12)</f>
        <v>994.44630519913426</v>
      </c>
      <c r="O5" s="18">
        <f>B38*B39*B40</f>
        <v>1.5633333333333335</v>
      </c>
      <c r="P5" s="18">
        <f>B46*B47*B48/1000-B46*B47*B48/1000/B49</f>
        <v>0</v>
      </c>
      <c r="R5" s="33"/>
    </row>
    <row r="6" spans="1:18">
      <c r="A6" s="33" t="s">
        <v>53</v>
      </c>
      <c r="B6" s="38">
        <f>B26</f>
        <v>2104.87437626977</v>
      </c>
      <c r="C6" s="34"/>
      <c r="D6" s="38">
        <f>IF(ISERROR(TER_kantoor_gas_kWh/1000),0,TER_kantoor_gas_kWh/1000)*0.902</f>
        <v>1592.9927427646574</v>
      </c>
      <c r="E6" s="34">
        <f>$C$26*'E Balans VL '!I12/100/3.6*1000000</f>
        <v>3.454525458659897</v>
      </c>
      <c r="F6" s="34">
        <f>$C$26*('E Balans VL '!L12+'E Balans VL '!N12)/100/3.6*1000000</f>
        <v>248.11516395756507</v>
      </c>
      <c r="G6" s="35"/>
      <c r="H6" s="34"/>
      <c r="I6" s="34"/>
      <c r="J6" s="34">
        <f>$C$26*('E Balans VL '!D12+'E Balans VL '!E12)/100/3.6*1000000</f>
        <v>0</v>
      </c>
      <c r="K6" s="34"/>
      <c r="L6" s="34"/>
      <c r="M6" s="34"/>
      <c r="N6" s="34">
        <f>$C$26*'E Balans VL '!Y12/100/3.6*1000000</f>
        <v>0.42527990032913054</v>
      </c>
      <c r="O6" s="34"/>
      <c r="P6" s="34"/>
      <c r="R6" s="33"/>
    </row>
    <row r="7" spans="1:18">
      <c r="A7" s="33" t="s">
        <v>52</v>
      </c>
      <c r="B7" s="38">
        <f t="shared" ref="B7:B12" si="0">B27</f>
        <v>867.22294538186304</v>
      </c>
      <c r="C7" s="34"/>
      <c r="D7" s="38">
        <f>IF(ISERROR(TER_horeca_gas_kWh/1000),0,TER_horeca_gas_kWh/1000)*0.902</f>
        <v>1031.7933719564867</v>
      </c>
      <c r="E7" s="34">
        <f>$C$27*'E Balans VL '!I9/100/3.6*1000000</f>
        <v>45.002595505798219</v>
      </c>
      <c r="F7" s="34">
        <f>$C$27*('E Balans VL '!L9+'E Balans VL '!N9)/100/3.6*1000000</f>
        <v>197.90090539622904</v>
      </c>
      <c r="G7" s="35"/>
      <c r="H7" s="34"/>
      <c r="I7" s="34"/>
      <c r="J7" s="34">
        <f>$C$27*('E Balans VL '!D9+'E Balans VL '!E9)/100/3.6*1000000</f>
        <v>0</v>
      </c>
      <c r="K7" s="34"/>
      <c r="L7" s="34"/>
      <c r="M7" s="34"/>
      <c r="N7" s="34">
        <f>$C$27*'E Balans VL '!Y9/100/3.6*1000000</f>
        <v>9.1578345610071527E-2</v>
      </c>
      <c r="O7" s="34"/>
      <c r="P7" s="34"/>
      <c r="R7" s="33"/>
    </row>
    <row r="8" spans="1:18">
      <c r="A8" s="6" t="s">
        <v>51</v>
      </c>
      <c r="B8" s="38">
        <f t="shared" si="0"/>
        <v>1451.6859122508001</v>
      </c>
      <c r="C8" s="34"/>
      <c r="D8" s="38">
        <f>IF(ISERROR(TER_handel_gas_kWh/1000),0,TER_handel_gas_kWh/1000)*0.902</f>
        <v>299.70046922530673</v>
      </c>
      <c r="E8" s="34">
        <f>$C$28*'E Balans VL '!I13/100/3.6*1000000</f>
        <v>7.8175070259594257</v>
      </c>
      <c r="F8" s="34">
        <f>$C$28*('E Balans VL '!L13+'E Balans VL '!N13)/100/3.6*1000000</f>
        <v>296.04189772775021</v>
      </c>
      <c r="G8" s="35"/>
      <c r="H8" s="34"/>
      <c r="I8" s="34"/>
      <c r="J8" s="34">
        <f>$C$28*('E Balans VL '!D13+'E Balans VL '!E13)/100/3.6*1000000</f>
        <v>0</v>
      </c>
      <c r="K8" s="34"/>
      <c r="L8" s="34"/>
      <c r="M8" s="34"/>
      <c r="N8" s="34">
        <f>$C$28*'E Balans VL '!Y13/100/3.6*1000000</f>
        <v>7.2184674282568873</v>
      </c>
      <c r="O8" s="34"/>
      <c r="P8" s="34"/>
      <c r="R8" s="33"/>
    </row>
    <row r="9" spans="1:18">
      <c r="A9" s="33" t="s">
        <v>50</v>
      </c>
      <c r="B9" s="38">
        <f t="shared" si="0"/>
        <v>132.23050642841503</v>
      </c>
      <c r="C9" s="34"/>
      <c r="D9" s="38">
        <f>IF(ISERROR(TER_gezond_gas_kWh/1000),0,TER_gezond_gas_kWh/1000)*0.902</f>
        <v>91.16825753386405</v>
      </c>
      <c r="E9" s="34">
        <f>$C$29*'E Balans VL '!I10/100/3.6*1000000</f>
        <v>0.1310419355896551</v>
      </c>
      <c r="F9" s="34">
        <f>$C$29*('E Balans VL '!L10+'E Balans VL '!N10)/100/3.6*1000000</f>
        <v>45.880174332534054</v>
      </c>
      <c r="G9" s="35"/>
      <c r="H9" s="34"/>
      <c r="I9" s="34"/>
      <c r="J9" s="34">
        <f>$C$29*('E Balans VL '!D10+'E Balans VL '!E10)/100/3.6*1000000</f>
        <v>0</v>
      </c>
      <c r="K9" s="34"/>
      <c r="L9" s="34"/>
      <c r="M9" s="34"/>
      <c r="N9" s="34">
        <f>$C$29*'E Balans VL '!Y10/100/3.6*1000000</f>
        <v>1.1394188188197996</v>
      </c>
      <c r="O9" s="34"/>
      <c r="P9" s="34"/>
      <c r="R9" s="33"/>
    </row>
    <row r="10" spans="1:18">
      <c r="A10" s="33" t="s">
        <v>49</v>
      </c>
      <c r="B10" s="38">
        <f t="shared" si="0"/>
        <v>1604.2608944588001</v>
      </c>
      <c r="C10" s="34"/>
      <c r="D10" s="38">
        <f>IF(ISERROR(TER_ander_gas_kWh/1000),0,TER_ander_gas_kWh/1000)*0.902</f>
        <v>55.053495529165389</v>
      </c>
      <c r="E10" s="34">
        <f>$C$30*'E Balans VL '!I14/100/3.6*1000000</f>
        <v>13.124457461250262</v>
      </c>
      <c r="F10" s="34">
        <f>$C$30*('E Balans VL '!L14+'E Balans VL '!N14)/100/3.6*1000000</f>
        <v>469.02057337373839</v>
      </c>
      <c r="G10" s="35"/>
      <c r="H10" s="34"/>
      <c r="I10" s="34"/>
      <c r="J10" s="34">
        <f>$C$30*('E Balans VL '!D14+'E Balans VL '!E14)/100/3.6*1000000</f>
        <v>0</v>
      </c>
      <c r="K10" s="34"/>
      <c r="L10" s="34"/>
      <c r="M10" s="34"/>
      <c r="N10" s="34">
        <f>$C$30*'E Balans VL '!Y14/100/3.6*1000000</f>
        <v>925.44803928756642</v>
      </c>
      <c r="O10" s="34"/>
      <c r="P10" s="34"/>
      <c r="R10" s="33"/>
    </row>
    <row r="11" spans="1:18">
      <c r="A11" s="33" t="s">
        <v>54</v>
      </c>
      <c r="B11" s="38">
        <f t="shared" si="0"/>
        <v>119.93244121304001</v>
      </c>
      <c r="C11" s="34"/>
      <c r="D11" s="38">
        <f>IF(ISERROR(TER_onderwijs_gas_kWh/1000),0,TER_onderwijs_gas_kWh/1000)*0.902</f>
        <v>273.166955866092</v>
      </c>
      <c r="E11" s="34">
        <f>$C$31*'E Balans VL '!I11/100/3.6*1000000</f>
        <v>7.3921296311612206E-2</v>
      </c>
      <c r="F11" s="34">
        <f>$C$31*('E Balans VL '!L11+'E Balans VL '!N11)/100/3.6*1000000</f>
        <v>46.367824039186829</v>
      </c>
      <c r="G11" s="35"/>
      <c r="H11" s="34"/>
      <c r="I11" s="34"/>
      <c r="J11" s="34">
        <f>$C$31*('E Balans VL '!D11+'E Balans VL '!E11)/100/3.6*1000000</f>
        <v>0</v>
      </c>
      <c r="K11" s="34"/>
      <c r="L11" s="34"/>
      <c r="M11" s="34"/>
      <c r="N11" s="34">
        <f>$C$31*'E Balans VL '!Y11/100/3.6*1000000</f>
        <v>0.39011453029262</v>
      </c>
      <c r="O11" s="34"/>
      <c r="P11" s="34"/>
      <c r="R11" s="33"/>
    </row>
    <row r="12" spans="1:18">
      <c r="A12" s="33" t="s">
        <v>249</v>
      </c>
      <c r="B12" s="38">
        <f t="shared" si="0"/>
        <v>908.17662956815798</v>
      </c>
      <c r="C12" s="34"/>
      <c r="D12" s="38">
        <f>IF(ISERROR(TER_rest_gas_kWh/1000),0,TER_rest_gas_kWh/1000)*0.902</f>
        <v>2149.5679155707335</v>
      </c>
      <c r="E12" s="34">
        <f>$C$32*'E Balans VL '!I8/100/3.6*1000000</f>
        <v>7.8469554876913268</v>
      </c>
      <c r="F12" s="34">
        <f>$C$32*('E Balans VL '!L8+'E Balans VL '!N8)/100/3.6*1000000</f>
        <v>180.89731032575372</v>
      </c>
      <c r="G12" s="35"/>
      <c r="H12" s="34"/>
      <c r="I12" s="34"/>
      <c r="J12" s="34">
        <f>$C$32*('E Balans VL '!D8+'E Balans VL '!E8)/100/3.6*1000000</f>
        <v>0</v>
      </c>
      <c r="K12" s="34"/>
      <c r="L12" s="34"/>
      <c r="M12" s="34"/>
      <c r="N12" s="34">
        <f>$C$32*'E Balans VL '!Y8/100/3.6*1000000</f>
        <v>59.733406888259353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7188.3837055708464</v>
      </c>
      <c r="C16" s="22">
        <f t="shared" ca="1" si="1"/>
        <v>0</v>
      </c>
      <c r="D16" s="22">
        <f t="shared" ca="1" si="1"/>
        <v>5493.443208446306</v>
      </c>
      <c r="E16" s="22">
        <f t="shared" si="1"/>
        <v>77.451004171260408</v>
      </c>
      <c r="F16" s="22">
        <f t="shared" ca="1" si="1"/>
        <v>1484.2238491527573</v>
      </c>
      <c r="G16" s="22">
        <f t="shared" si="1"/>
        <v>0</v>
      </c>
      <c r="H16" s="22">
        <f t="shared" si="1"/>
        <v>0</v>
      </c>
      <c r="I16" s="22">
        <f t="shared" si="1"/>
        <v>0</v>
      </c>
      <c r="J16" s="22">
        <f t="shared" si="1"/>
        <v>0</v>
      </c>
      <c r="K16" s="22">
        <f t="shared" si="1"/>
        <v>0</v>
      </c>
      <c r="L16" s="22">
        <f t="shared" ca="1" si="1"/>
        <v>0</v>
      </c>
      <c r="M16" s="22">
        <f t="shared" si="1"/>
        <v>0</v>
      </c>
      <c r="N16" s="22">
        <f t="shared" ca="1" si="1"/>
        <v>994.44630519913426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0.20800272740428552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1495.2034163872606</v>
      </c>
      <c r="C20" s="24">
        <f t="shared" ref="C20:P20" ca="1" si="2">C16*C18</f>
        <v>0</v>
      </c>
      <c r="D20" s="24">
        <f t="shared" ca="1" si="2"/>
        <v>1109.6755281061539</v>
      </c>
      <c r="E20" s="24">
        <f t="shared" si="2"/>
        <v>17.581377946876113</v>
      </c>
      <c r="F20" s="24">
        <f t="shared" ca="1" si="2"/>
        <v>396.28776772378626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2104.87437626977</v>
      </c>
      <c r="C26" s="40">
        <f>IF(ISERROR(B26*3.6/1000000/'E Balans VL '!Z12*100),0,B26*3.6/1000000/'E Balans VL '!Z12*100)</f>
        <v>4.4727071024974294E-2</v>
      </c>
      <c r="D26" s="236" t="s">
        <v>685</v>
      </c>
      <c r="F26" s="6"/>
    </row>
    <row r="27" spans="1:18">
      <c r="A27" s="231" t="s">
        <v>52</v>
      </c>
      <c r="B27" s="34">
        <f>IF(ISERROR(TER_horeca_ele_kWh/1000),0,TER_horeca_ele_kWh/1000)</f>
        <v>867.22294538186304</v>
      </c>
      <c r="C27" s="40">
        <f>IF(ISERROR(B27*3.6/1000000/'E Balans VL '!Z9*100),0,B27*3.6/1000000/'E Balans VL '!Z9*100)</f>
        <v>6.8257152007506733E-2</v>
      </c>
      <c r="D27" s="236" t="s">
        <v>685</v>
      </c>
      <c r="F27" s="6"/>
    </row>
    <row r="28" spans="1:18">
      <c r="A28" s="171" t="s">
        <v>51</v>
      </c>
      <c r="B28" s="34">
        <f>IF(ISERROR(TER_handel_ele_kWh/1000),0,TER_handel_ele_kWh/1000)</f>
        <v>1451.6859122508001</v>
      </c>
      <c r="C28" s="40">
        <f>IF(ISERROR(B28*3.6/1000000/'E Balans VL '!Z13*100),0,B28*3.6/1000000/'E Balans VL '!Z13*100)</f>
        <v>4.0662499313772894E-2</v>
      </c>
      <c r="D28" s="236" t="s">
        <v>685</v>
      </c>
      <c r="F28" s="6"/>
    </row>
    <row r="29" spans="1:18">
      <c r="A29" s="231" t="s">
        <v>50</v>
      </c>
      <c r="B29" s="34">
        <f>IF(ISERROR(TER_gezond_ele_kWh/1000),0,TER_gezond_ele_kWh/1000)</f>
        <v>132.23050642841503</v>
      </c>
      <c r="C29" s="40">
        <f>IF(ISERROR(B29*3.6/1000000/'E Balans VL '!Z10*100),0,B29*3.6/1000000/'E Balans VL '!Z10*100)</f>
        <v>1.6916280261671947E-2</v>
      </c>
      <c r="D29" s="236" t="s">
        <v>685</v>
      </c>
      <c r="F29" s="6"/>
    </row>
    <row r="30" spans="1:18">
      <c r="A30" s="231" t="s">
        <v>49</v>
      </c>
      <c r="B30" s="34">
        <f>IF(ISERROR(TER_ander_ele_kWh/1000),0,TER_ander_ele_kWh/1000)</f>
        <v>1604.2608944588001</v>
      </c>
      <c r="C30" s="40">
        <f>IF(ISERROR(B30*3.6/1000000/'E Balans VL '!Z14*100),0,B30*3.6/1000000/'E Balans VL '!Z14*100)</f>
        <v>0.1199851971670815</v>
      </c>
      <c r="D30" s="236" t="s">
        <v>685</v>
      </c>
      <c r="F30" s="6"/>
    </row>
    <row r="31" spans="1:18">
      <c r="A31" s="231" t="s">
        <v>54</v>
      </c>
      <c r="B31" s="34">
        <f>IF(ISERROR(TER_onderwijs_ele_kWh/1000),0,TER_onderwijs_ele_kWh/1000)</f>
        <v>119.93244121304001</v>
      </c>
      <c r="C31" s="40">
        <f>IF(ISERROR(B31*3.6/1000000/'E Balans VL '!Z11*100),0,B31*3.6/1000000/'E Balans VL '!Z11*100)</f>
        <v>2.5323890314353784E-2</v>
      </c>
      <c r="D31" s="236" t="s">
        <v>685</v>
      </c>
    </row>
    <row r="32" spans="1:18">
      <c r="A32" s="231" t="s">
        <v>249</v>
      </c>
      <c r="B32" s="34">
        <f>IF(ISERROR(TER_rest_ele_kWh/1000),0,TER_rest_ele_kWh/1000)</f>
        <v>908.17662956815798</v>
      </c>
      <c r="C32" s="40">
        <f>IF(ISERROR(B32*3.6/1000000/'E Balans VL '!Z8*100),0,B32*3.6/1000000/'E Balans VL '!Z8*100)</f>
        <v>7.4814973778024501E-3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5545.7774011323772</v>
      </c>
      <c r="C5" s="18">
        <f>IF(ISERROR('Eigen informatie GS &amp; warmtenet'!B59),0,'Eigen informatie GS &amp; warmtenet'!B59)</f>
        <v>0</v>
      </c>
      <c r="D5" s="31">
        <f>SUM(D6:D15)</f>
        <v>2943.9093996967067</v>
      </c>
      <c r="E5" s="18">
        <f>SUM(E6:E15)</f>
        <v>27.978319513176011</v>
      </c>
      <c r="F5" s="18">
        <f>SUM(F6:F15)</f>
        <v>1141.1558429572133</v>
      </c>
      <c r="G5" s="19"/>
      <c r="H5" s="18"/>
      <c r="I5" s="18"/>
      <c r="J5" s="18">
        <f>SUM(J6:J15)</f>
        <v>5.8711827885544405</v>
      </c>
      <c r="K5" s="18"/>
      <c r="L5" s="18"/>
      <c r="M5" s="18"/>
      <c r="N5" s="18">
        <f>SUM(N6:N15)</f>
        <v>142.20593089897949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77.891865274599596</v>
      </c>
      <c r="C8" s="34"/>
      <c r="D8" s="38">
        <f>IF( ISERROR(IND_metaal_Gas_kWH/1000),0,IND_metaal_Gas_kWH/1000)*0.902</f>
        <v>0</v>
      </c>
      <c r="E8" s="34">
        <f>C30*'E Balans VL '!I18/100/3.6*1000000</f>
        <v>0.70934717997934615</v>
      </c>
      <c r="F8" s="34">
        <f>C30*'E Balans VL '!L18/100/3.6*1000000+C30*'E Balans VL '!N18/100/3.6*1000000</f>
        <v>10.273345508735098</v>
      </c>
      <c r="G8" s="35"/>
      <c r="H8" s="34"/>
      <c r="I8" s="34"/>
      <c r="J8" s="41">
        <f>C30*'E Balans VL '!D18/100/3.6*1000000+C30*'E Balans VL '!E18/100/3.6*1000000</f>
        <v>1.2773134955874805</v>
      </c>
      <c r="K8" s="34"/>
      <c r="L8" s="34"/>
      <c r="M8" s="34"/>
      <c r="N8" s="34">
        <f>C30*'E Balans VL '!Y18/100/3.6*1000000</f>
        <v>0.26768339848469186</v>
      </c>
      <c r="O8" s="34"/>
      <c r="P8" s="34"/>
      <c r="R8" s="33"/>
    </row>
    <row r="9" spans="1:18">
      <c r="A9" s="6" t="s">
        <v>32</v>
      </c>
      <c r="B9" s="38">
        <f t="shared" si="0"/>
        <v>968.28847630560006</v>
      </c>
      <c r="C9" s="34"/>
      <c r="D9" s="38">
        <f>IF( ISERROR(IND_andere_gas_kWh/1000),0,IND_andere_gas_kWh/1000)*0.902</f>
        <v>771.99011685249593</v>
      </c>
      <c r="E9" s="34">
        <f>C31*'E Balans VL '!I19/100/3.6*1000000</f>
        <v>5.5968520917906881</v>
      </c>
      <c r="F9" s="34">
        <f>C31*'E Balans VL '!L19/100/3.6*1000000+C31*'E Balans VL '!N19/100/3.6*1000000</f>
        <v>770.32007509886364</v>
      </c>
      <c r="G9" s="35"/>
      <c r="H9" s="34"/>
      <c r="I9" s="34"/>
      <c r="J9" s="41">
        <f>C31*'E Balans VL '!D19/100/3.6*1000000+C31*'E Balans VL '!E19/100/3.6*1000000</f>
        <v>9.1589334414749965E-2</v>
      </c>
      <c r="K9" s="34"/>
      <c r="L9" s="34"/>
      <c r="M9" s="34"/>
      <c r="N9" s="34">
        <f>C31*'E Balans VL '!Y19/100/3.6*1000000</f>
        <v>73.362505487168249</v>
      </c>
      <c r="O9" s="34"/>
      <c r="P9" s="34"/>
      <c r="R9" s="33"/>
    </row>
    <row r="10" spans="1:18">
      <c r="A10" s="6" t="s">
        <v>40</v>
      </c>
      <c r="B10" s="38">
        <f t="shared" si="0"/>
        <v>838.69397842327896</v>
      </c>
      <c r="C10" s="34"/>
      <c r="D10" s="38">
        <f>IF( ISERROR(IND_voed_gas_kWh/1000),0,IND_voed_gas_kWh/1000)*0.902</f>
        <v>62.582880206934284</v>
      </c>
      <c r="E10" s="34">
        <f>C32*'E Balans VL '!I20/100/3.6*1000000</f>
        <v>8.2465559582551222</v>
      </c>
      <c r="F10" s="34">
        <f>C32*'E Balans VL '!L20/100/3.6*1000000+C32*'E Balans VL '!N20/100/3.6*1000000</f>
        <v>93.147913478158841</v>
      </c>
      <c r="G10" s="35"/>
      <c r="H10" s="34"/>
      <c r="I10" s="34"/>
      <c r="J10" s="41">
        <f>C32*'E Balans VL '!D20/100/3.6*1000000+C32*'E Balans VL '!E20/100/3.6*1000000</f>
        <v>3.3056737131220934E-3</v>
      </c>
      <c r="K10" s="34"/>
      <c r="L10" s="34"/>
      <c r="M10" s="34"/>
      <c r="N10" s="34">
        <f>C32*'E Balans VL '!Y20/100/3.6*1000000</f>
        <v>12.41908500426144</v>
      </c>
      <c r="O10" s="34"/>
      <c r="P10" s="34"/>
      <c r="R10" s="33"/>
    </row>
    <row r="11" spans="1:18">
      <c r="A11" s="6" t="s">
        <v>39</v>
      </c>
      <c r="B11" s="38">
        <f t="shared" si="0"/>
        <v>2766.25609504662</v>
      </c>
      <c r="C11" s="34"/>
      <c r="D11" s="38">
        <f>IF( ISERROR(IND_textiel_gas_kWh/1000),0,IND_textiel_gas_kWh/1000)*0.902</f>
        <v>1415.7098914940163</v>
      </c>
      <c r="E11" s="34">
        <f>C33*'E Balans VL '!I21/100/3.6*1000000</f>
        <v>5.3865429606589252</v>
      </c>
      <c r="F11" s="34">
        <f>C33*'E Balans VL '!L21/100/3.6*1000000+C33*'E Balans VL '!N21/100/3.6*1000000</f>
        <v>91.240203493923048</v>
      </c>
      <c r="G11" s="35"/>
      <c r="H11" s="34"/>
      <c r="I11" s="34"/>
      <c r="J11" s="41">
        <f>C33*'E Balans VL '!D21/100/3.6*1000000+C33*'E Balans VL '!E21/100/3.6*1000000</f>
        <v>0</v>
      </c>
      <c r="K11" s="34"/>
      <c r="L11" s="34"/>
      <c r="M11" s="34"/>
      <c r="N11" s="34">
        <f>C33*'E Balans VL '!Y21/100/3.6*1000000</f>
        <v>28.693351449603309</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894.646986082279</v>
      </c>
      <c r="C15" s="34"/>
      <c r="D15" s="38">
        <f>IF( ISERROR(IND_rest_gas_kWh/1000),0,IND_rest_gas_kWh/1000)*0.902</f>
        <v>693.62651114326059</v>
      </c>
      <c r="E15" s="34">
        <f>C37*'E Balans VL '!I15/100/3.6*1000000</f>
        <v>8.0390213224919318</v>
      </c>
      <c r="F15" s="34">
        <f>C37*'E Balans VL '!L15/100/3.6*1000000+C37*'E Balans VL '!N15/100/3.6*1000000</f>
        <v>176.17430537753273</v>
      </c>
      <c r="G15" s="35"/>
      <c r="H15" s="34"/>
      <c r="I15" s="34"/>
      <c r="J15" s="41">
        <f>C37*'E Balans VL '!D15/100/3.6*1000000+C37*'E Balans VL '!E15/100/3.6*1000000</f>
        <v>4.4989742848390879</v>
      </c>
      <c r="K15" s="34"/>
      <c r="L15" s="34"/>
      <c r="M15" s="34"/>
      <c r="N15" s="34">
        <f>C37*'E Balans VL '!Y15/100/3.6*1000000</f>
        <v>27.46330555946178</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5545.7774011323772</v>
      </c>
      <c r="C18" s="22">
        <f>C5+C16</f>
        <v>0</v>
      </c>
      <c r="D18" s="22">
        <f>MAX((D5+D16),0)</f>
        <v>2943.9093996967067</v>
      </c>
      <c r="E18" s="22">
        <f>MAX((E5+E16),0)</f>
        <v>27.978319513176011</v>
      </c>
      <c r="F18" s="22">
        <f>MAX((F5+F16),0)</f>
        <v>1141.1558429572133</v>
      </c>
      <c r="G18" s="22"/>
      <c r="H18" s="22"/>
      <c r="I18" s="22"/>
      <c r="J18" s="22">
        <f>MAX((J5+J16),0)</f>
        <v>5.8711827885544405</v>
      </c>
      <c r="K18" s="22"/>
      <c r="L18" s="22">
        <f>MAX((L5+L16),0)</f>
        <v>0</v>
      </c>
      <c r="M18" s="22"/>
      <c r="N18" s="22">
        <f>MAX((N5+N16),0)</f>
        <v>142.20593089897949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0.20800272740428552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1153.5368250125848</v>
      </c>
      <c r="C22" s="24">
        <f ca="1">C18*C20</f>
        <v>0</v>
      </c>
      <c r="D22" s="24">
        <f>D18*D20</f>
        <v>594.66969873873484</v>
      </c>
      <c r="E22" s="24">
        <f>E18*E20</f>
        <v>6.3510785294909544</v>
      </c>
      <c r="F22" s="24">
        <f>F18*F20</f>
        <v>304.68861006957599</v>
      </c>
      <c r="G22" s="24"/>
      <c r="H22" s="24"/>
      <c r="I22" s="24"/>
      <c r="J22" s="24">
        <f>J18*J20</f>
        <v>2.0783987071482719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77.891865274599596</v>
      </c>
      <c r="C30" s="40">
        <f>IF(ISERROR(B30*3.6/1000000/'E Balans VL '!Z18*100),0,B30*3.6/1000000/'E Balans VL '!Z18*100)</f>
        <v>4.3341614440972056E-3</v>
      </c>
      <c r="D30" s="236" t="s">
        <v>685</v>
      </c>
    </row>
    <row r="31" spans="1:18">
      <c r="A31" s="6" t="s">
        <v>32</v>
      </c>
      <c r="B31" s="38">
        <f>IF( ISERROR(IND_ander_ele_kWh/1000),0,IND_ander_ele_kWh/1000)</f>
        <v>968.28847630560006</v>
      </c>
      <c r="C31" s="40">
        <f>IF(ISERROR(B31*3.6/1000000/'E Balans VL '!Z19*100),0,B31*3.6/1000000/'E Balans VL '!Z19*100)</f>
        <v>4.5013188244791801E-2</v>
      </c>
      <c r="D31" s="236" t="s">
        <v>685</v>
      </c>
    </row>
    <row r="32" spans="1:18">
      <c r="A32" s="171" t="s">
        <v>40</v>
      </c>
      <c r="B32" s="38">
        <f>IF( ISERROR(IND_voed_ele_kWh/1000),0,IND_voed_ele_kWh/1000)</f>
        <v>838.69397842327896</v>
      </c>
      <c r="C32" s="40">
        <f>IF(ISERROR(B32*3.6/1000000/'E Balans VL '!Z20*100),0,B32*3.6/1000000/'E Balans VL '!Z20*100)</f>
        <v>2.9646138323039715E-2</v>
      </c>
      <c r="D32" s="236" t="s">
        <v>685</v>
      </c>
    </row>
    <row r="33" spans="1:5">
      <c r="A33" s="171" t="s">
        <v>39</v>
      </c>
      <c r="B33" s="38">
        <f>IF( ISERROR(IND_textiel_ele_kWh/1000),0,IND_textiel_ele_kWh/1000)</f>
        <v>2766.25609504662</v>
      </c>
      <c r="C33" s="40">
        <f>IF(ISERROR(B33*3.6/1000000/'E Balans VL '!Z21*100),0,B33*3.6/1000000/'E Balans VL '!Z21*100)</f>
        <v>0.37362486063070821</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894.646986082279</v>
      </c>
      <c r="C37" s="40">
        <f>IF(ISERROR(B37*3.6/1000000/'E Balans VL '!Z15*100),0,B37*3.6/1000000/'E Balans VL '!Z15*100)</f>
        <v>6.7559063383643607E-3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651.620782654153</v>
      </c>
      <c r="C5" s="18">
        <f>'Eigen informatie GS &amp; warmtenet'!B60</f>
        <v>0</v>
      </c>
      <c r="D5" s="31">
        <f>IF(ISERROR(SUM(LB_lb_gas_kWh,LB_rest_gas_kWh)/1000),0,SUM(LB_lb_gas_kWh,LB_rest_gas_kWh)/1000)*0.902</f>
        <v>258.99686263949138</v>
      </c>
      <c r="E5" s="18">
        <f>B17*'E Balans VL '!I25/3.6*1000000/100</f>
        <v>6.1387043728483386</v>
      </c>
      <c r="F5" s="18">
        <f>B17*('E Balans VL '!L25/3.6*1000000+'E Balans VL '!N25/3.6*1000000)/100</f>
        <v>2126.4548677461366</v>
      </c>
      <c r="G5" s="19"/>
      <c r="H5" s="18"/>
      <c r="I5" s="18"/>
      <c r="J5" s="18">
        <f>('E Balans VL '!D25+'E Balans VL '!E25)/3.6*1000000*landbouw!B17/100</f>
        <v>80.608660297196707</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651.620782654153</v>
      </c>
      <c r="C8" s="22">
        <f>C5+C6</f>
        <v>0</v>
      </c>
      <c r="D8" s="22">
        <f>MAX((D5+D6),0)</f>
        <v>258.99686263949138</v>
      </c>
      <c r="E8" s="22">
        <f>MAX((E5+E6),0)</f>
        <v>6.1387043728483386</v>
      </c>
      <c r="F8" s="22">
        <f>MAX((F5+F6),0)</f>
        <v>2126.4548677461366</v>
      </c>
      <c r="G8" s="22"/>
      <c r="H8" s="22"/>
      <c r="I8" s="22"/>
      <c r="J8" s="22">
        <f>MAX((J5+J6),0)</f>
        <v>80.608660297196707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0.20800272740428552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135.53890002537898</v>
      </c>
      <c r="C12" s="24">
        <f ca="1">C8*C10</f>
        <v>0</v>
      </c>
      <c r="D12" s="24">
        <f>D8*D10</f>
        <v>52.317366253177262</v>
      </c>
      <c r="E12" s="24">
        <f>E8*E10</f>
        <v>1.393485892636573</v>
      </c>
      <c r="F12" s="24">
        <f>F8*F10</f>
        <v>567.76344968821854</v>
      </c>
      <c r="G12" s="24"/>
      <c r="H12" s="24"/>
      <c r="I12" s="24"/>
      <c r="J12" s="24">
        <f>J8*J10</f>
        <v>28.535465745207631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8.8219041404123705E-2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97.044283987227303</v>
      </c>
      <c r="C26" s="246">
        <f>B26*'GWP N2O_CH4'!B5</f>
        <v>2037.9299637317733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26.949805532858647</v>
      </c>
      <c r="C27" s="246">
        <f>B27*'GWP N2O_CH4'!B5</f>
        <v>565.94591619003154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1.5148010734353243</v>
      </c>
      <c r="C28" s="246">
        <f>B28*'GWP N2O_CH4'!B4</f>
        <v>469.58833276495056</v>
      </c>
      <c r="D28" s="51"/>
    </row>
    <row r="29" spans="1:4">
      <c r="A29" s="42" t="s">
        <v>266</v>
      </c>
      <c r="B29" s="246">
        <f>B34*'ha_N2O bodem landbouw'!B4</f>
        <v>5.9069557587844406</v>
      </c>
      <c r="C29" s="246">
        <f>B29*'GWP N2O_CH4'!B4</f>
        <v>1831.1562852231766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1.5946921023283101E-3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5.9090798487990253E-6</v>
      </c>
      <c r="C5" s="433" t="s">
        <v>204</v>
      </c>
      <c r="D5" s="418">
        <f>SUM(D6:D11)</f>
        <v>7.9140138383110114E-6</v>
      </c>
      <c r="E5" s="418">
        <f>SUM(E6:E11)</f>
        <v>5.0238229418752384E-4</v>
      </c>
      <c r="F5" s="431" t="s">
        <v>204</v>
      </c>
      <c r="G5" s="418">
        <f>SUM(G6:G11)</f>
        <v>0.1098088871660762</v>
      </c>
      <c r="H5" s="418">
        <f>SUM(H6:H11)</f>
        <v>1.8936440399529086E-2</v>
      </c>
      <c r="I5" s="433" t="s">
        <v>204</v>
      </c>
      <c r="J5" s="433" t="s">
        <v>204</v>
      </c>
      <c r="K5" s="433" t="s">
        <v>204</v>
      </c>
      <c r="L5" s="433" t="s">
        <v>204</v>
      </c>
      <c r="M5" s="418">
        <f>SUM(M6:M11)</f>
        <v>5.7534108764120285E-3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4.0093110194397187E-6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4.6695702615488745E-6</v>
      </c>
      <c r="E6" s="421">
        <f>vkm_GW_PW*SUMIFS(TableVerdeelsleutelVkm[LPG],TableVerdeelsleutelVkm[Voertuigtype],"Lichte voertuigen")*SUMIFS(TableECFTransport[EnergieConsumptieFactor (PJ per km)],TableECFTransport[Index],CONCATENATE($A6,"_LPG_LPG"))</f>
        <v>3.0294971914501351E-4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4.7265851934659098E-2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1.1391062838013406E-2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2.6249007560887258E-3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1.697171302956973E-7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2.8074958812656516E-2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7.5335118827506604E-7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1.2492440814822496E-3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1.7056519943609724E-6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3.2444435767621369E-6</v>
      </c>
      <c r="E8" s="421">
        <f>vkm_NGW_PW*SUMIFS(TableVerdeelsleutelVkm[LPG],TableVerdeelsleutelVkm[Voertuigtype],"Lichte voertuigen")*SUMIFS(TableECFTransport[EnergieConsumptieFactor (PJ per km)],TableECFTransport[Index],CONCATENATE($A8,"_LPG_LPG"))</f>
        <v>1.9943257504251034E-4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2.9292210192955696E-2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7.5444934810639233E-3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1.6489572500935073E-3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2.4399704702637399E-8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5.1758662258049072E-3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1.3072926348158988E-7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2.3030878874754623E-4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1.6414110691108403</v>
      </c>
      <c r="C14" s="22"/>
      <c r="D14" s="22">
        <f t="shared" ref="D14:M14" si="0">((D5)*10^9/3600)+D12</f>
        <v>2.1983371773086144</v>
      </c>
      <c r="E14" s="22">
        <f t="shared" si="0"/>
        <v>139.55063727431218</v>
      </c>
      <c r="F14" s="22"/>
      <c r="G14" s="22">
        <f t="shared" si="0"/>
        <v>30502.468657243389</v>
      </c>
      <c r="H14" s="22">
        <f t="shared" si="0"/>
        <v>5260.1223332025238</v>
      </c>
      <c r="I14" s="22"/>
      <c r="J14" s="22"/>
      <c r="K14" s="22"/>
      <c r="L14" s="22"/>
      <c r="M14" s="22">
        <f t="shared" si="0"/>
        <v>1598.1696878922301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0.20800272740428552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0.34141797916663896</v>
      </c>
      <c r="C18" s="24"/>
      <c r="D18" s="24">
        <f t="shared" ref="D18:M18" si="1">D14*D16</f>
        <v>0.44406410981634015</v>
      </c>
      <c r="E18" s="24">
        <f t="shared" si="1"/>
        <v>31.677994661268865</v>
      </c>
      <c r="F18" s="24"/>
      <c r="G18" s="24">
        <f t="shared" si="1"/>
        <v>8144.1591314839852</v>
      </c>
      <c r="H18" s="24">
        <f t="shared" si="1"/>
        <v>1309.7704609674283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9.0142699466742978E-6</v>
      </c>
      <c r="C50" s="316">
        <f t="shared" ref="C50:P50" si="2">SUM(C51:C52)</f>
        <v>0</v>
      </c>
      <c r="D50" s="316">
        <f t="shared" si="2"/>
        <v>0</v>
      </c>
      <c r="E50" s="316">
        <f t="shared" si="2"/>
        <v>0</v>
      </c>
      <c r="F50" s="316">
        <f t="shared" si="2"/>
        <v>0</v>
      </c>
      <c r="G50" s="316">
        <f t="shared" si="2"/>
        <v>1.7979139130864525E-3</v>
      </c>
      <c r="H50" s="316">
        <f t="shared" si="2"/>
        <v>0</v>
      </c>
      <c r="I50" s="316">
        <f t="shared" si="2"/>
        <v>0</v>
      </c>
      <c r="J50" s="316">
        <f t="shared" si="2"/>
        <v>0</v>
      </c>
      <c r="K50" s="316">
        <f t="shared" si="2"/>
        <v>0</v>
      </c>
      <c r="L50" s="316">
        <f t="shared" si="2"/>
        <v>0</v>
      </c>
      <c r="M50" s="316">
        <f t="shared" si="2"/>
        <v>7.9465880072614325E-5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9.0142699466742978E-6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1.7979139130864525E-3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7.9465880072614325E-5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2.5039638740761938</v>
      </c>
      <c r="C54" s="22">
        <f t="shared" ref="C54:P54" si="3">(C50)*10^9/3600</f>
        <v>0</v>
      </c>
      <c r="D54" s="22">
        <f t="shared" si="3"/>
        <v>0</v>
      </c>
      <c r="E54" s="22">
        <f t="shared" si="3"/>
        <v>0</v>
      </c>
      <c r="F54" s="22">
        <f t="shared" si="3"/>
        <v>0</v>
      </c>
      <c r="G54" s="22">
        <f t="shared" si="3"/>
        <v>499.42053141290347</v>
      </c>
      <c r="H54" s="22">
        <f t="shared" si="3"/>
        <v>0</v>
      </c>
      <c r="I54" s="22">
        <f t="shared" si="3"/>
        <v>0</v>
      </c>
      <c r="J54" s="22">
        <f t="shared" si="3"/>
        <v>0</v>
      </c>
      <c r="K54" s="22">
        <f t="shared" si="3"/>
        <v>0</v>
      </c>
      <c r="L54" s="22">
        <f t="shared" si="3"/>
        <v>0</v>
      </c>
      <c r="M54" s="22">
        <f t="shared" si="3"/>
        <v>22.073855575726203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0.20800272740428552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0.52083131512964931</v>
      </c>
      <c r="C58" s="24">
        <f t="shared" ref="C58:P58" ca="1" si="4">C54*C56</f>
        <v>0</v>
      </c>
      <c r="D58" s="24">
        <f t="shared" si="4"/>
        <v>0</v>
      </c>
      <c r="E58" s="24">
        <f t="shared" si="4"/>
        <v>0</v>
      </c>
      <c r="F58" s="24">
        <f t="shared" si="4"/>
        <v>0</v>
      </c>
      <c r="G58" s="24">
        <f t="shared" si="4"/>
        <v>133.34528188724522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2405.1135585682691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2405.1135585682691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2021-11-11T13:36:04Z</dcterms:modified>
</cp:coreProperties>
</file>